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45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47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48.xml" ContentType="application/vnd.openxmlformats-officedocument.drawingml.chart+xml"/>
  <Override PartName="/xl/drawings/drawing55.xml" ContentType="application/vnd.openxmlformats-officedocument.drawing+xml"/>
  <Override PartName="/xl/charts/chart49.xml" ContentType="application/vnd.openxmlformats-officedocument.drawingml.chart+xml"/>
  <Override PartName="/xl/drawings/drawing56.xml" ContentType="application/vnd.openxmlformats-officedocument.drawing+xml"/>
  <Override PartName="/xl/charts/chart50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51.xml" ContentType="application/vnd.openxmlformats-officedocument.drawingml.chart+xml"/>
  <Override PartName="/xl/drawings/drawing59.xml" ContentType="application/vnd.openxmlformats-officedocument.drawing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HVAC-CE300545\"/>
    </mc:Choice>
  </mc:AlternateContent>
  <bookViews>
    <workbookView xWindow="-30" yWindow="-180" windowWidth="15360" windowHeight="6630" tabRatio="601" activeTab="4"/>
  </bookViews>
  <sheets>
    <sheet name="A" sheetId="1" r:id="rId1"/>
    <sheet name="B" sheetId="2" r:id="rId2"/>
    <sheet name="C" sheetId="57" r:id="rId3"/>
    <sheet name="D" sheetId="58" r:id="rId4"/>
    <sheet name="E" sheetId="60" r:id="rId5"/>
    <sheet name="F" sheetId="61" r:id="rId6"/>
    <sheet name="G" sheetId="62" r:id="rId7"/>
    <sheet name="YD" sheetId="63" r:id="rId8"/>
    <sheet name="I" sheetId="64" r:id="rId9"/>
    <sheet name="J" sheetId="65" r:id="rId10"/>
    <sheet name="Q" sheetId="17" r:id="rId11"/>
    <sheet name="R" sheetId="66" r:id="rId12"/>
    <sheet name="S" sheetId="123" r:id="rId13"/>
    <sheet name="T" sheetId="97" r:id="rId14"/>
    <sheet name="Qdata" sheetId="36" r:id="rId15"/>
    <sheet name="Rdata" sheetId="82" r:id="rId16"/>
    <sheet name="Sdata" sheetId="90" r:id="rId17"/>
    <sheet name="Tdata" sheetId="98" r:id="rId18"/>
    <sheet name="Qtot" sheetId="68" r:id="rId19"/>
    <sheet name="dQtot" sheetId="100" r:id="rId20"/>
    <sheet name="Ptot" sheetId="83" r:id="rId21"/>
    <sheet name="dPtot" sheetId="112" r:id="rId22"/>
    <sheet name="Qcomp" sheetId="38" r:id="rId23"/>
    <sheet name="dQcomp" sheetId="104" r:id="rId24"/>
    <sheet name="Qidfan" sheetId="69" r:id="rId25"/>
    <sheet name="dQidfan" sheetId="105" r:id="rId26"/>
    <sheet name="Qodfan" sheetId="71" r:id="rId27"/>
    <sheet name="dQodfan" sheetId="106" r:id="rId28"/>
    <sheet name="QCtot" sheetId="75" r:id="rId29"/>
    <sheet name="PCtot" sheetId="85" r:id="rId30"/>
    <sheet name="dPCtot" sheetId="113" r:id="rId31"/>
    <sheet name="QCSens" sheetId="76" r:id="rId32"/>
    <sheet name="dQCsens" sheetId="107" r:id="rId33"/>
    <sheet name="PCSens" sheetId="172" r:id="rId34"/>
    <sheet name="QClat" sheetId="78" r:id="rId35"/>
    <sheet name="dQClat" sheetId="108" r:id="rId36"/>
    <sheet name="PClat" sheetId="84" r:id="rId37"/>
    <sheet name="dPClat" sheetId="114" r:id="rId38"/>
    <sheet name="COP2" sheetId="79" r:id="rId39"/>
    <sheet name="dCOP2" sheetId="109" r:id="rId40"/>
    <sheet name="MxCOP2" sheetId="130" r:id="rId41"/>
    <sheet name="dMxCOP2" sheetId="132" r:id="rId42"/>
    <sheet name="MnCOP2" sheetId="131" r:id="rId43"/>
    <sheet name="dMnCOP2" sheetId="133" r:id="rId44"/>
    <sheet name="IDB" sheetId="80" r:id="rId45"/>
    <sheet name="dIDB" sheetId="110" r:id="rId46"/>
    <sheet name="MxIDB" sheetId="86" r:id="rId47"/>
    <sheet name="dMxIDB" sheetId="115" r:id="rId48"/>
    <sheet name="MnIDB" sheetId="87" r:id="rId49"/>
    <sheet name="Humrat" sheetId="81" r:id="rId50"/>
    <sheet name="dHumrat" sheetId="111" r:id="rId51"/>
    <sheet name="MxHum" sheetId="88" r:id="rId52"/>
    <sheet name="dMxHumrat" sheetId="116" r:id="rId53"/>
    <sheet name="MnHum" sheetId="89" r:id="rId54"/>
    <sheet name="RelHum" sheetId="125" r:id="rId55"/>
    <sheet name="dRelHum" sheetId="126" r:id="rId56"/>
    <sheet name="MxRelHum" sheetId="127" r:id="rId57"/>
    <sheet name="dMxRelHum" sheetId="128" r:id="rId58"/>
    <sheet name="MnRelHum" sheetId="135" r:id="rId59"/>
    <sheet name="Qf(ODB)" sheetId="120" r:id="rId60"/>
    <sheet name="QCf(ODB)" sheetId="117" r:id="rId61"/>
    <sheet name="COP2f(ODB)" sheetId="188" r:id="rId62"/>
    <sheet name="Humratf(ODB)" sheetId="119" r:id="rId63"/>
    <sheet name="HrQ" sheetId="91" r:id="rId64"/>
    <sheet name="HrQC" sheetId="166" r:id="rId65"/>
    <sheet name="HrCOP2" sheetId="94" r:id="rId66"/>
    <sheet name="HrHum" sheetId="93" r:id="rId67"/>
    <sheet name="HrEDB,EWB" sheetId="129" r:id="rId68"/>
    <sheet name="HrODB" sheetId="95" r:id="rId69"/>
    <sheet name="HrOHR" sheetId="134" r:id="rId70"/>
  </sheets>
  <externalReferences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</externalReferences>
  <definedNames>
    <definedName name="_Fill" hidden="1">#REF!</definedName>
    <definedName name="_xlnm.Print_Area" localSheetId="10">Q!#REF!</definedName>
    <definedName name="_xlnm.Print_Area" localSheetId="12">S!#REF!</definedName>
    <definedName name="_xlnm.Print_Area" localSheetId="13">T!#REF!</definedName>
  </definedNames>
  <calcPr calcId="152511"/>
</workbook>
</file>

<file path=xl/sharedStrings.xml><?xml version="1.0" encoding="utf-8"?>
<sst xmlns="http://schemas.openxmlformats.org/spreadsheetml/2006/main" count="9288" uniqueCount="618">
  <si>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</si>
  <si>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</si>
  <si>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</si>
  <si>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</si>
  <si>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</si>
  <si>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</si>
  <si>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</si>
  <si>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</si>
  <si>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</si>
  <si>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</si>
  <si>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</si>
  <si>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</si>
  <si>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</si>
  <si>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</si>
  <si>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</si>
  <si>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</si>
  <si>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</si>
  <si>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</si>
  <si>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</si>
  <si>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</si>
  <si>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</si>
  <si>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</si>
  <si>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</si>
  <si>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>Space Cooling Electricity Consumption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</si>
  <si>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</si>
  <si>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</si>
  <si>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</si>
  <si>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</si>
  <si>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</si>
  <si>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</si>
  <si>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</si>
  <si>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SEE SHEET 'A'  FOR INSTRUCTIONS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</si>
  <si>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</si>
  <si>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</si>
  <si>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</si>
  <si>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</si>
  <si>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</si>
  <si>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</si>
  <si>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</si>
  <si>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</si>
  <si>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</si>
  <si>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</si>
  <si>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</si>
  <si>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</si>
  <si>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</si>
  <si>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</si>
  <si>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</si>
  <si>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</si>
  <si>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</si>
  <si>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</si>
  <si>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</si>
  <si>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</si>
  <si>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</si>
  <si>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</si>
  <si>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</si>
  <si>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</si>
  <si>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</si>
  <si>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</si>
  <si>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</si>
  <si>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</si>
  <si>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</si>
  <si>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</si>
  <si>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</si>
  <si>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</si>
  <si>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</si>
  <si>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</si>
  <si>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</si>
  <si>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</si>
  <si>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</si>
  <si>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</si>
  <si>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</si>
  <si>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</si>
  <si>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</si>
  <si>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</si>
  <si>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</si>
  <si>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</si>
  <si>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</si>
  <si>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</si>
  <si>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</si>
  <si>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</si>
  <si>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</si>
  <si>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</si>
  <si>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</si>
  <si>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</si>
  <si>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</si>
  <si>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</si>
  <si>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</si>
  <si>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</si>
  <si>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</si>
  <si>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</si>
  <si>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</si>
  <si>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</si>
  <si>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</si>
  <si>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</si>
  <si>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</si>
  <si>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</si>
  <si>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</si>
  <si>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</si>
  <si>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</si>
  <si>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</si>
  <si>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</si>
  <si>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</si>
  <si>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</si>
  <si>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</si>
  <si>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</si>
  <si>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</si>
  <si>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</si>
  <si>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</si>
  <si>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</si>
  <si>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</si>
  <si>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</si>
  <si>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</si>
  <si>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</si>
  <si>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</si>
  <si>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</si>
  <si>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</si>
  <si>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</si>
  <si>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</si>
  <si>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</si>
  <si>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</si>
  <si>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</si>
  <si>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</si>
  <si>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</si>
  <si>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</si>
  <si>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</si>
  <si>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</si>
  <si>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</si>
  <si>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</si>
  <si>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</si>
  <si>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</si>
  <si>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</si>
  <si>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</si>
  <si>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</si>
  <si>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</si>
  <si>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</si>
  <si>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</si>
  <si>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</si>
  <si>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</si>
  <si>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</si>
  <si>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</si>
  <si>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</si>
  <si>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</si>
  <si>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</si>
  <si>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</si>
  <si>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</si>
  <si>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</si>
  <si>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</si>
  <si>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</si>
  <si>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</si>
  <si>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</si>
  <si>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</si>
  <si>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</si>
  <si>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</si>
  <si>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</si>
  <si>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</si>
  <si>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</si>
  <si>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</si>
  <si>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</si>
  <si>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</si>
  <si>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</si>
  <si>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</si>
  <si>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</si>
  <si>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</si>
  <si>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</si>
  <si>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</si>
  <si>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</si>
  <si>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</si>
  <si>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</si>
  <si>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</si>
  <si>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</si>
  <si>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</si>
  <si>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</si>
  <si>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</si>
  <si>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</si>
  <si>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</si>
  <si>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</si>
  <si>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</si>
  <si>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</si>
  <si>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</si>
  <si>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</si>
  <si>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</si>
  <si>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</si>
  <si>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</si>
  <si>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</si>
  <si>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</si>
  <si>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</si>
  <si>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</si>
  <si>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</si>
  <si>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</si>
  <si>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</si>
  <si>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</si>
  <si>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</si>
  <si>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</si>
  <si>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</si>
  <si>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</si>
  <si>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</si>
  <si>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</si>
  <si>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</si>
  <si>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</si>
  <si>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</si>
  <si>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</si>
  <si>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</si>
  <si>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</si>
  <si>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</si>
  <si>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</si>
  <si>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</si>
  <si>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</si>
  <si>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</si>
  <si>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</si>
  <si>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</si>
  <si>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</si>
  <si>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</si>
  <si>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</si>
  <si>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</si>
  <si>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</si>
  <si>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</si>
  <si>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</si>
  <si>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</si>
  <si>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</si>
  <si>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</si>
  <si>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</si>
  <si>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</si>
  <si>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</si>
  <si>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</si>
  <si>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</si>
  <si>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</si>
  <si>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</si>
  <si>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"NREL0102</t>
  </si>
  <si>
    <t>Mean Relative Humidity</t>
  </si>
  <si>
    <t>JUNE 28 HOURLY OUTPUT</t>
  </si>
  <si>
    <t>ODB (°C)</t>
  </si>
  <si>
    <t>EDB (°C)</t>
  </si>
  <si>
    <t>EWB (°C)</t>
  </si>
  <si>
    <t>E500Apr30</t>
  </si>
  <si>
    <t>E500Jun25</t>
  </si>
  <si>
    <t>E530Apr30</t>
  </si>
  <si>
    <t>E530Jun25</t>
  </si>
  <si>
    <t>E500, E530 Average Daily Outputs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</si>
  <si>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</si>
  <si>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</si>
  <si>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</si>
  <si>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</si>
  <si>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</si>
  <si>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</si>
  <si>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</si>
  <si>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</si>
  <si>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</si>
  <si>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</si>
  <si>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</si>
  <si>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</si>
  <si>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</si>
  <si>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</si>
  <si>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</si>
  <si>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</si>
  <si>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</si>
  <si>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</si>
  <si>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</si>
  <si>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</si>
  <si>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</si>
  <si>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/Mean</t>
  </si>
  <si>
    <t>Space Cooling Coil Loads</t>
  </si>
  <si>
    <t>Total Sensible + Latent (kWh,th)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</si>
  <si>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</si>
  <si>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</si>
  <si>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</si>
  <si>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</si>
  <si>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</si>
  <si>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</si>
  <si>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</si>
  <si>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</si>
  <si>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</si>
  <si>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</si>
  <si>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</si>
  <si>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</si>
  <si>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Del E530</t>
  </si>
  <si>
    <t>Energy Consumption, Compr. + Both Fans (Wh,e)</t>
  </si>
  <si>
    <t>E300 Base, 15% OA</t>
  </si>
  <si>
    <t>E310, High Latent</t>
  </si>
  <si>
    <t>E320, High Infiltration</t>
  </si>
  <si>
    <t>E330, 100% OA</t>
  </si>
  <si>
    <t>E350, Tstat Set Up</t>
  </si>
  <si>
    <t>E360, Undersized System</t>
  </si>
  <si>
    <t>E500, Base w/ 0%OA</t>
  </si>
  <si>
    <t>E510 May-Sep, High PLR</t>
  </si>
  <si>
    <t>E520, EDB = 15°C</t>
  </si>
  <si>
    <t>E522, EDB = 20°C</t>
  </si>
  <si>
    <t>E525, EDB = 35°C</t>
  </si>
  <si>
    <t>E530, Dry Coil</t>
  </si>
  <si>
    <t>E410, Ec. Comp. Lockout</t>
  </si>
  <si>
    <t>E420, Ec. ODB Limit</t>
  </si>
  <si>
    <t>E440, Ec. Enthalpy Limit</t>
  </si>
  <si>
    <t>E400, Ec. Temp. Ctrl.</t>
  </si>
  <si>
    <t>E430, Ec. Enthalpy Ctrl.</t>
  </si>
  <si>
    <t>E540, Dry, EDB = 15°C</t>
  </si>
  <si>
    <t>E545, Dry, EDB = 35°C</t>
  </si>
  <si>
    <t>E310-E300</t>
  </si>
  <si>
    <t>E320-E300</t>
  </si>
  <si>
    <t>E330-E300</t>
  </si>
  <si>
    <t>E350-E300</t>
  </si>
  <si>
    <t>E360-E300</t>
  </si>
  <si>
    <t>E400-E300</t>
  </si>
  <si>
    <t>E500-E300</t>
  </si>
  <si>
    <t>E510-E500</t>
  </si>
  <si>
    <t>E525-E520</t>
  </si>
  <si>
    <t>E530-E500</t>
  </si>
  <si>
    <t>E545-E540</t>
  </si>
  <si>
    <t>E410-E300</t>
  </si>
  <si>
    <t>E420-E300</t>
  </si>
  <si>
    <t>E430-E300</t>
  </si>
  <si>
    <t>E440-E300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</si>
  <si>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</si>
  <si>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</si>
  <si>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</si>
  <si>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</si>
  <si>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</si>
  <si>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</si>
  <si>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</si>
  <si>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</si>
  <si>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</si>
  <si>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</si>
  <si>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</si>
  <si>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</si>
  <si>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</si>
  <si>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</si>
  <si>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</si>
  <si>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</si>
  <si>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Delta Cooling Coil Loads</t>
  </si>
  <si>
    <t>Total Consumption (Wh,e)</t>
  </si>
  <si>
    <t>Delta Annual Space Cooling Electricity Consumptions</t>
  </si>
  <si>
    <t>Total (kWh,e)</t>
  </si>
  <si>
    <t>Compressor (kWh,e)</t>
  </si>
  <si>
    <t>Supply Fan (kWh,e)</t>
  </si>
  <si>
    <t>Condenser Fan (kWh,e)</t>
  </si>
  <si>
    <t>Delta Hourly Integrated Maximum and Minimum COP2</t>
  </si>
  <si>
    <t>E330-E300, 100% OA</t>
  </si>
  <si>
    <t>E350-E300, Tstat Set Up</t>
  </si>
  <si>
    <t>E400-E300, Ec. T Ctrl</t>
  </si>
  <si>
    <t>E410-E300, Ec. No Compr.</t>
  </si>
  <si>
    <t>E420-E300, Ec. ODB Lim.</t>
  </si>
  <si>
    <t>E430-E300, Ec. Enth Ctrl</t>
  </si>
  <si>
    <t>E440-E300, Ec. Enth Lim</t>
  </si>
  <si>
    <t>E500-E300, 0%OA</t>
  </si>
  <si>
    <t>E510-E500, PLR</t>
  </si>
  <si>
    <t>E310-E300, Latent Gains</t>
  </si>
  <si>
    <t>E320-E300, Infiltration</t>
  </si>
  <si>
    <t>E525-E520, EDB</t>
  </si>
  <si>
    <t>E530-E500, Dry Coil</t>
  </si>
  <si>
    <t>E545-E540, EDB (Dry)</t>
  </si>
  <si>
    <t>(E360-E300)/4, Overload</t>
  </si>
  <si>
    <t>(E510-E500)/4, PLR</t>
  </si>
  <si>
    <t>E500 ODB Sensitivity</t>
  </si>
  <si>
    <t>f(ODB) Sensitivity E500 and E530, April 30 and June 25</t>
  </si>
  <si>
    <t>Del E500</t>
  </si>
  <si>
    <t>TRNSYS-TUD</t>
  </si>
  <si>
    <t>DOE-2.1E-E</t>
  </si>
  <si>
    <t>(E500-E300)/2, 0%OA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</si>
  <si>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</si>
  <si>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</si>
  <si>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</si>
  <si>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</si>
  <si>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</si>
  <si>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</si>
  <si>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</si>
  <si>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</si>
  <si>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</si>
  <si>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</si>
  <si>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</si>
  <si>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</si>
  <si>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</si>
  <si>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</si>
  <si>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</si>
  <si>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</si>
  <si>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</si>
  <si>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</si>
  <si>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UR0702</t>
  </si>
  <si>
    <t>Gard0702</t>
  </si>
  <si>
    <t>"NREL0702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</si>
  <si>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</si>
  <si>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</si>
  <si>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</si>
  <si>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</si>
  <si>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</si>
  <si>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</si>
  <si>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</si>
  <si>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</si>
  <si>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</si>
  <si>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</si>
  <si>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</si>
  <si>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</si>
  <si>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</si>
  <si>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</si>
  <si>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</si>
  <si>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</si>
  <si>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</si>
  <si>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</si>
  <si>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</si>
  <si>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</si>
  <si>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</si>
  <si>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</si>
  <si>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</si>
  <si>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</si>
  <si>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</si>
  <si>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</si>
  <si>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</si>
  <si>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</si>
  <si>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</si>
  <si>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</si>
  <si>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</si>
  <si>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</si>
  <si>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</si>
  <si>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</si>
  <si>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</si>
  <si>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</si>
  <si>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Weather Data Comparison, Annual Means E300 only</t>
  </si>
  <si>
    <t>OHR (kg/kg)</t>
  </si>
  <si>
    <t>Zone Humidity Ratio</t>
  </si>
  <si>
    <t>Coil Load, Total (kWh,thermal)</t>
  </si>
  <si>
    <t>TUD0302</t>
  </si>
  <si>
    <t>Total Coil Load (Wh,th)</t>
  </si>
  <si>
    <t>Energy Consumption, Total (Wh,e)</t>
  </si>
  <si>
    <t>Weather Data Checks, E300 only, Maxima</t>
  </si>
  <si>
    <t xml:space="preserve">Delta Total Consumption </t>
  </si>
  <si>
    <t>E330-E320</t>
  </si>
  <si>
    <t>E340-E300</t>
  </si>
  <si>
    <t>E330-E340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</si>
  <si>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</si>
  <si>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</si>
  <si>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</si>
  <si>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</si>
  <si>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</si>
  <si>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</si>
  <si>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</si>
  <si>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</si>
  <si>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Energy+</t>
  </si>
  <si>
    <t>GARD</t>
  </si>
  <si>
    <t xml:space="preserve">           Evaporator Coil Load</t>
  </si>
  <si>
    <t>EnergyPlus</t>
  </si>
  <si>
    <t>Zone Hum.</t>
  </si>
  <si>
    <t xml:space="preserve"> J u n e   2 8   H o u r l y   O u t p u t (Ctd.)   -   C a s e   E 3 0 0</t>
  </si>
  <si>
    <t>Delta Hourly Integrated Maximum and Minimum IDB</t>
  </si>
  <si>
    <t>Delta Hourly Integrated Maximum and Minimum Zone Humidity Ratio</t>
  </si>
  <si>
    <t>Delta Hourly Integrated Maximum and Minimum Zone Relative Humidity</t>
  </si>
  <si>
    <t>Delta Hourly Integrated Maximum and Minimum COP2 and Zone Conditions (IDB, Humidity Ratio, Relative Humidity)</t>
  </si>
  <si>
    <t>Weather Data Checks, E300 Only</t>
  </si>
  <si>
    <t>Annual Mean Output</t>
  </si>
  <si>
    <t>Annual Hourly Integrated Maxima</t>
  </si>
  <si>
    <t>TRNSYS TUD</t>
  </si>
  <si>
    <t>DOE21E-J NREL</t>
  </si>
  <si>
    <t>DOE21E-E NREL</t>
  </si>
  <si>
    <t>E340, 50% OA, 50% Infl</t>
  </si>
  <si>
    <t>CODY-evap</t>
  </si>
  <si>
    <t>Output file Name</t>
  </si>
  <si>
    <t>UR</t>
  </si>
  <si>
    <t>E330-E320, OA-Infl</t>
  </si>
  <si>
    <t>E340-E300, 50/50 OA/inf</t>
  </si>
  <si>
    <t>E330-E340, OA-50/50</t>
  </si>
  <si>
    <t>E510  High PLR</t>
  </si>
  <si>
    <t>HumRat</t>
  </si>
  <si>
    <t>Note 1</t>
  </si>
  <si>
    <t>Note 1 - Condenser fan power included with compressor power; cannot breakout</t>
  </si>
  <si>
    <t>E500 Apr30, Low ODB</t>
  </si>
  <si>
    <t>E500 Jun25, High ODB</t>
  </si>
  <si>
    <t>E530 Apr30, Low ODB</t>
  </si>
  <si>
    <t>E530 Jun25, high ODB</t>
  </si>
  <si>
    <t>E530 ODB Sensitivity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</si>
  <si>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</si>
  <si>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</si>
  <si>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</si>
  <si>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</si>
  <si>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</si>
  <si>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</si>
  <si>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</si>
  <si>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E360-E300, Overload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</si>
  <si>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</si>
  <si>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</si>
  <si>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</si>
  <si>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</si>
  <si>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</si>
  <si>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</si>
  <si>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</si>
  <si>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</si>
  <si>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</si>
  <si>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</si>
  <si>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</si>
  <si>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</si>
  <si>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</si>
  <si>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Hourly Integrated Maxima and Minima Sensitivities</t>
  </si>
  <si>
    <t xml:space="preserve">SENSITIVITY DIFFERENCE COMPARISONS ("DELTA") </t>
  </si>
  <si>
    <t>Gives locations in participant spreadsheets (E300OUT2.xls)</t>
  </si>
  <si>
    <t>Address guide starts at row 56</t>
  </si>
  <si>
    <t>E300RESULTS.XLS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</si>
  <si>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</si>
  <si>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</si>
  <si>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</si>
  <si>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</si>
  <si>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</si>
  <si>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E500,E530 avg daily starts at row 826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</si>
  <si>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</si>
  <si>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</si>
  <si>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</si>
  <si>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</si>
  <si>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</si>
  <si>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</si>
  <si>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</si>
  <si>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</si>
  <si>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>Import data so that Cell A1 of E300OUT2.XLS is in A1 of Sheet "YD" (your data)</t>
  </si>
  <si>
    <t>See E300RESULTS.DOC for spreadsheet navigation.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</si>
  <si>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</si>
  <si>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</si>
  <si>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</si>
  <si>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</si>
  <si>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</si>
  <si>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</si>
  <si>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</si>
  <si>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</si>
  <si>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EnargyPlus</t>
  </si>
  <si>
    <t>YourData</t>
  </si>
  <si>
    <t>Extra</t>
  </si>
  <si>
    <t xml:space="preserve">DIFFERENCE COMPARISONS ("DELTA") START AT 1450 </t>
  </si>
  <si>
    <t>Your</t>
  </si>
  <si>
    <t>Software</t>
  </si>
  <si>
    <t>Various Annual Means (COP2, IDB)</t>
  </si>
  <si>
    <t>Your Software</t>
  </si>
  <si>
    <t>Delta Annual Space Cooling Electricity Consumptions (ctd.)</t>
  </si>
  <si>
    <t>Delta Various Annual Means (COP2, IDB)</t>
  </si>
  <si>
    <t>Delta Various Annual Means (Zone Humidity)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</si>
  <si>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</si>
  <si>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</si>
  <si>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</si>
  <si>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</si>
  <si>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</si>
  <si>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</si>
  <si>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Check that the first value (Total consumption kWh for E300) lands in YD!B62.</t>
  </si>
  <si>
    <t>e300results.xls s:a130..n189; 08/11/03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</si>
  <si>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</si>
  <si>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</si>
  <si>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</si>
  <si>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</si>
  <si>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</si>
  <si>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</si>
  <si>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</si>
  <si>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</si>
  <si>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</si>
  <si>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e300results.XLS, July, 2004</t>
  </si>
  <si>
    <t>e300results.XLS, Jul, 2004</t>
  </si>
  <si>
    <t>e300results.xls q:a06..m55; 07/19/04</t>
  </si>
  <si>
    <t>e300results.xls q:a56..m105; 07/19/04</t>
  </si>
  <si>
    <t>e300results.xls q:a109..m119; 07/19/04</t>
  </si>
  <si>
    <t>e300results.xls q:a125..m198; 07/19/04</t>
  </si>
  <si>
    <t>e300results.xls q:a255..m304; 07/19/04</t>
  </si>
  <si>
    <t>e300results.xls q:a205..m254; 07/19/04</t>
  </si>
  <si>
    <t>e300results.xls q:a316..m69; 07/19/04</t>
  </si>
  <si>
    <t>e300results.xls q:a370..m402; 07/19/04</t>
  </si>
  <si>
    <t>e300results.xls r:a111..aa204; 07/19/04</t>
  </si>
  <si>
    <t>e300results.xls r:a215..aa308; 07/19/04</t>
  </si>
  <si>
    <t>e300results.xls s:a03..n62; 07/19/04</t>
  </si>
  <si>
    <t>e300results.xls s:a66..n125; 07/19/04</t>
  </si>
  <si>
    <t>e300results.xls t:a06..m49; 07/19/04</t>
  </si>
  <si>
    <t>e300results.xls t:a51..m94; 07/19/04</t>
  </si>
  <si>
    <t>e300results.xls t:a99..m142; 07/19/04</t>
  </si>
  <si>
    <t>e300results.xls t:a145..m188; 07/19/04</t>
  </si>
  <si>
    <t>e300results.xls t:a191..m234; 07/19/04</t>
  </si>
  <si>
    <t>e300results.xls t:a242..m264; 07/19/04</t>
  </si>
  <si>
    <t>e300results.xls t:a266..m330; 07/19/04</t>
  </si>
  <si>
    <t>e300results.xls t:a341..m384; 07/19/04</t>
  </si>
  <si>
    <t>e300results.xls t:a386..m429; 07/19/04</t>
  </si>
  <si>
    <t>e300results.xls t:a431..m474; 07/19/04</t>
  </si>
  <si>
    <t>e300results.xls t:a476..m519; 07/19/04</t>
  </si>
  <si>
    <t>(max-min)/mean</t>
  </si>
  <si>
    <t>TRNSYS/TUD</t>
  </si>
  <si>
    <t>DOE-2.2/NREL</t>
  </si>
  <si>
    <t>CODYRUN/UR</t>
  </si>
  <si>
    <t>HOT3000/NRCan</t>
  </si>
  <si>
    <t>DOE-2.1E-E/NREL</t>
  </si>
  <si>
    <t>Hourly Integrated Maxima (Total Cooling System Energy Consumption and Total Coil Load)</t>
  </si>
  <si>
    <t>Hourly Integrated Maxima (Sensible Coil Load and Latent Coil Load)</t>
  </si>
  <si>
    <t>e300results.xls r:a07..w102; 08/19/04</t>
  </si>
  <si>
    <t>Hourly Integrated Maxima and Minima (COP2)</t>
  </si>
  <si>
    <t>Hourly Integrated Maxima and Minima (IDB)</t>
  </si>
  <si>
    <t>Hourly Integrated Maxima and Minima (Zone Humidity Ratio)</t>
  </si>
  <si>
    <t>Hourly Integrated Maxima and Minima (Relative Humidity)</t>
  </si>
  <si>
    <t>Delta Hourly Integrated Maximum Total Consumptions</t>
  </si>
  <si>
    <t>Delta Hourly Integrated Maximum Coil Loads</t>
  </si>
  <si>
    <t>Various Annual Means (Humidity Ratio, Zone Relative Humidity)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</si>
  <si>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</si>
  <si>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</si>
  <si>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</si>
  <si>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</si>
  <si>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</si>
  <si>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</si>
  <si>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</si>
  <si>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</si>
  <si>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</si>
  <si>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</si>
  <si>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</si>
  <si>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</si>
  <si>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</si>
  <si>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CE500 May-Sep</t>
  </si>
  <si>
    <t>CE510 May-Sep</t>
  </si>
  <si>
    <t>CE520</t>
  </si>
  <si>
    <t>CE522</t>
  </si>
  <si>
    <t>CE525</t>
  </si>
  <si>
    <t>CE530</t>
  </si>
  <si>
    <t>CE540</t>
  </si>
  <si>
    <t>CE545</t>
  </si>
  <si>
    <t xml:space="preserve">CE500 </t>
  </si>
  <si>
    <t>CE510</t>
  </si>
  <si>
    <t>Annual Sums</t>
  </si>
  <si>
    <t>Annual Means</t>
  </si>
  <si>
    <t>Annual Hourly Integrated Maxima Consumptions and Loads</t>
  </si>
  <si>
    <t>Evaporator Coil Loads</t>
  </si>
  <si>
    <t>Weather Data Checks</t>
  </si>
  <si>
    <t>June 28 Hourly Output - Case CE300</t>
  </si>
  <si>
    <t xml:space="preserve">             Annual Hourly Integrated Maxima and Minima - COP2 and Zone</t>
  </si>
  <si>
    <t>Case CE500 Average Daily Outputs - f(ODB) sensitivity</t>
  </si>
  <si>
    <t>Case CE 530 Average Daily Outputs - f(ODB) sensitivity</t>
  </si>
  <si>
    <t>EnergyPlus {{ engine.config["EnergyPlusVersion"] }}</t>
  </si>
  <si>
    <t>ENERGY+ v{{ engine.config["EnergyPlusVersion"] }}/GARD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</si>
</sst>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</numFmts>
  <fonts count="2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6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8" fillId="0" borderId="10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2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1" xfId="0" applyNumberFormat="1" applyFont="1" applyBorder="1" applyAlignment="1" applyProtection="1">
      <alignment vertical="top"/>
    </xf>
    <xf numFmtId="164" fontId="8" fillId="0" borderId="13" xfId="0" applyNumberFormat="1" applyFont="1" applyBorder="1" applyAlignment="1" applyProtection="1">
      <alignment vertical="top"/>
    </xf>
    <xf numFmtId="164" fontId="7" fillId="0" borderId="13" xfId="0" applyNumberFormat="1" applyFont="1" applyBorder="1" applyAlignment="1" applyProtection="1">
      <alignment vertical="top"/>
    </xf>
    <xf numFmtId="169" fontId="8" fillId="0" borderId="14" xfId="0" applyNumberFormat="1" applyFont="1" applyBorder="1" applyAlignment="1" applyProtection="1">
      <alignment vertical="top"/>
    </xf>
    <xf numFmtId="0" fontId="6" fillId="0" borderId="15" xfId="0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164" fontId="8" fillId="0" borderId="9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7" xfId="0" applyFont="1" applyBorder="1" applyProtection="1"/>
    <xf numFmtId="0" fontId="4" fillId="0" borderId="18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20" xfId="0" applyBorder="1"/>
    <xf numFmtId="171" fontId="11" fillId="0" borderId="3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0" fillId="0" borderId="0" xfId="0" applyNumberFormat="1"/>
    <xf numFmtId="0" fontId="11" fillId="0" borderId="21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20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2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3" xfId="0" applyFont="1" applyBorder="1" applyProtection="1"/>
    <xf numFmtId="0" fontId="4" fillId="0" borderId="19" xfId="0" applyFont="1" applyBorder="1" applyProtection="1"/>
    <xf numFmtId="0" fontId="4" fillId="0" borderId="20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" fontId="0" fillId="0" borderId="0" xfId="0" applyNumberFormat="1" applyBorder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73" fontId="3" fillId="0" borderId="0" xfId="0" applyNumberFormat="1" applyFont="1" applyBorder="1" applyProtection="1"/>
    <xf numFmtId="173" fontId="0" fillId="0" borderId="0" xfId="0" applyNumberFormat="1" applyBorder="1"/>
    <xf numFmtId="16" fontId="3" fillId="0" borderId="0" xfId="0" applyNumberFormat="1" applyFont="1" applyProtection="1"/>
    <xf numFmtId="0" fontId="3" fillId="0" borderId="24" xfId="0" applyFont="1" applyBorder="1" applyAlignment="1" applyProtection="1">
      <alignment horizontal="right"/>
    </xf>
    <xf numFmtId="164" fontId="3" fillId="0" borderId="24" xfId="0" applyNumberFormat="1" applyFont="1" applyBorder="1" applyProtection="1"/>
    <xf numFmtId="0" fontId="0" fillId="0" borderId="24" xfId="0" applyBorder="1"/>
    <xf numFmtId="173" fontId="3" fillId="0" borderId="24" xfId="0" applyNumberFormat="1" applyFont="1" applyBorder="1" applyProtection="1"/>
    <xf numFmtId="168" fontId="3" fillId="0" borderId="24" xfId="0" applyNumberFormat="1" applyFont="1" applyBorder="1" applyProtection="1"/>
    <xf numFmtId="1" fontId="3" fillId="0" borderId="24" xfId="0" applyNumberFormat="1" applyFont="1" applyBorder="1" applyProtection="1"/>
    <xf numFmtId="167" fontId="3" fillId="0" borderId="24" xfId="0" applyNumberFormat="1" applyFont="1" applyBorder="1" applyProtection="1"/>
    <xf numFmtId="166" fontId="3" fillId="0" borderId="24" xfId="0" applyNumberFormat="1" applyFont="1" applyBorder="1" applyProtection="1"/>
    <xf numFmtId="164" fontId="3" fillId="0" borderId="24" xfId="0" applyNumberFormat="1" applyFont="1" applyBorder="1" applyAlignment="1" applyProtection="1">
      <alignment horizontal="right"/>
    </xf>
    <xf numFmtId="173" fontId="0" fillId="0" borderId="24" xfId="0" applyNumberFormat="1" applyBorder="1"/>
    <xf numFmtId="0" fontId="8" fillId="0" borderId="25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6" xfId="0" applyNumberFormat="1" applyFont="1" applyBorder="1" applyAlignment="1" applyProtection="1">
      <alignment vertical="top"/>
    </xf>
    <xf numFmtId="0" fontId="8" fillId="0" borderId="7" xfId="0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8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3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3" xfId="0" applyNumberFormat="1" applyFont="1" applyBorder="1" applyAlignment="1" applyProtection="1">
      <alignment vertical="top"/>
    </xf>
    <xf numFmtId="2" fontId="8" fillId="0" borderId="26" xfId="0" applyNumberFormat="1" applyFont="1" applyBorder="1" applyAlignment="1" applyProtection="1">
      <alignment vertical="top"/>
    </xf>
    <xf numFmtId="2" fontId="7" fillId="0" borderId="13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3" xfId="0" applyNumberFormat="1" applyFont="1" applyBorder="1" applyAlignment="1" applyProtection="1">
      <alignment vertical="top"/>
    </xf>
    <xf numFmtId="171" fontId="8" fillId="0" borderId="26" xfId="0" applyNumberFormat="1" applyFont="1" applyBorder="1" applyAlignment="1" applyProtection="1">
      <alignment vertical="top"/>
    </xf>
    <xf numFmtId="171" fontId="7" fillId="0" borderId="13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3" xfId="0" applyNumberFormat="1" applyFont="1" applyBorder="1" applyAlignment="1" applyProtection="1">
      <alignment vertical="top"/>
    </xf>
    <xf numFmtId="1" fontId="7" fillId="0" borderId="13" xfId="0" applyNumberFormat="1" applyFont="1" applyBorder="1" applyAlignment="1" applyProtection="1">
      <alignment vertical="top"/>
    </xf>
    <xf numFmtId="1" fontId="8" fillId="0" borderId="26" xfId="0" applyNumberFormat="1" applyFont="1" applyBorder="1" applyAlignment="1" applyProtection="1">
      <alignment vertical="top"/>
    </xf>
    <xf numFmtId="0" fontId="7" fillId="0" borderId="3" xfId="0" applyFont="1" applyBorder="1" applyAlignment="1" applyProtection="1">
      <alignment horizontal="right" vertical="top"/>
    </xf>
    <xf numFmtId="0" fontId="8" fillId="0" borderId="29" xfId="0" applyFont="1" applyBorder="1" applyAlignment="1" applyProtection="1">
      <alignment vertical="top"/>
    </xf>
    <xf numFmtId="0" fontId="8" fillId="0" borderId="30" xfId="0" applyFont="1" applyBorder="1" applyAlignment="1" applyProtection="1">
      <alignment vertical="top"/>
    </xf>
    <xf numFmtId="0" fontId="7" fillId="2" borderId="31" xfId="0" applyFont="1" applyFill="1" applyBorder="1"/>
    <xf numFmtId="0" fontId="7" fillId="2" borderId="29" xfId="0" applyFont="1" applyFill="1" applyBorder="1"/>
    <xf numFmtId="0" fontId="7" fillId="2" borderId="32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3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3" xfId="0" applyNumberFormat="1" applyFont="1" applyBorder="1" applyAlignment="1" applyProtection="1">
      <alignment vertical="top"/>
    </xf>
    <xf numFmtId="173" fontId="8" fillId="0" borderId="9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horizontal="right"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8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8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horizontal="right"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horizontal="right"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3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0" fontId="0" fillId="0" borderId="13" xfId="0" applyBorder="1"/>
    <xf numFmtId="0" fontId="8" fillId="0" borderId="3" xfId="0" applyFont="1" applyBorder="1" applyAlignment="1" applyProtection="1">
      <alignment horizontal="right" vertical="top"/>
    </xf>
    <xf numFmtId="0" fontId="0" fillId="0" borderId="34" xfId="0" applyBorder="1"/>
    <xf numFmtId="0" fontId="7" fillId="0" borderId="0" xfId="0" applyFont="1" applyBorder="1" applyAlignment="1" applyProtection="1">
      <alignment horizontal="right" vertical="top"/>
    </xf>
    <xf numFmtId="164" fontId="7" fillId="0" borderId="29" xfId="0" applyNumberFormat="1" applyFont="1" applyBorder="1" applyAlignment="1" applyProtection="1">
      <alignment vertical="top"/>
    </xf>
    <xf numFmtId="164" fontId="7" fillId="0" borderId="32" xfId="0" applyNumberFormat="1" applyFont="1" applyBorder="1" applyAlignment="1" applyProtection="1">
      <alignment vertical="top"/>
    </xf>
    <xf numFmtId="0" fontId="6" fillId="0" borderId="35" xfId="0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2" fontId="0" fillId="0" borderId="0" xfId="0" applyNumberFormat="1" applyBorder="1"/>
    <xf numFmtId="0" fontId="7" fillId="0" borderId="31" xfId="0" applyFont="1" applyBorder="1" applyProtection="1"/>
    <xf numFmtId="0" fontId="7" fillId="0" borderId="29" xfId="0" applyFont="1" applyBorder="1" applyProtection="1"/>
    <xf numFmtId="0" fontId="7" fillId="0" borderId="32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6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3" xfId="0" applyNumberFormat="1" applyFont="1" applyBorder="1" applyAlignment="1" applyProtection="1">
      <alignment vertical="top"/>
    </xf>
    <xf numFmtId="173" fontId="7" fillId="0" borderId="0" xfId="0" applyNumberFormat="1" applyFont="1"/>
    <xf numFmtId="0" fontId="7" fillId="2" borderId="3" xfId="0" applyFont="1" applyFill="1" applyBorder="1" applyAlignment="1">
      <alignment horizontal="right"/>
    </xf>
    <xf numFmtId="0" fontId="7" fillId="2" borderId="19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173" fontId="8" fillId="0" borderId="19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6" xfId="0" applyFont="1" applyFill="1" applyBorder="1" applyAlignment="1">
      <alignment horizontal="right"/>
    </xf>
    <xf numFmtId="0" fontId="7" fillId="2" borderId="27" xfId="0" applyFont="1" applyFill="1" applyBorder="1"/>
    <xf numFmtId="0" fontId="7" fillId="2" borderId="9" xfId="0" applyFont="1" applyFill="1" applyBorder="1"/>
    <xf numFmtId="0" fontId="7" fillId="2" borderId="15" xfId="0" applyFont="1" applyFill="1" applyBorder="1"/>
    <xf numFmtId="0" fontId="14" fillId="2" borderId="31" xfId="0" applyFont="1" applyFill="1" applyBorder="1"/>
    <xf numFmtId="0" fontId="14" fillId="2" borderId="29" xfId="0" applyFont="1" applyFill="1" applyBorder="1"/>
    <xf numFmtId="0" fontId="14" fillId="2" borderId="32" xfId="0" applyFont="1" applyFill="1" applyBorder="1"/>
    <xf numFmtId="1" fontId="8" fillId="0" borderId="28" xfId="0" applyNumberFormat="1" applyFont="1" applyBorder="1" applyAlignment="1" applyProtection="1">
      <alignment vertical="top"/>
    </xf>
    <xf numFmtId="173" fontId="8" fillId="0" borderId="37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7" xfId="0" applyFont="1" applyFill="1" applyBorder="1" applyAlignment="1">
      <alignment horizontal="right"/>
    </xf>
    <xf numFmtId="0" fontId="7" fillId="2" borderId="38" xfId="0" applyFont="1" applyFill="1" applyBorder="1"/>
    <xf numFmtId="0" fontId="0" fillId="0" borderId="15" xfId="0" applyBorder="1"/>
    <xf numFmtId="0" fontId="15" fillId="0" borderId="8" xfId="0" applyFont="1" applyBorder="1"/>
    <xf numFmtId="0" fontId="0" fillId="0" borderId="39" xfId="0" applyBorder="1"/>
    <xf numFmtId="0" fontId="0" fillId="0" borderId="40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41" xfId="0" applyFont="1" applyBorder="1" applyProtection="1">
      <protection locked="0"/>
    </xf>
    <xf numFmtId="0" fontId="11" fillId="0" borderId="18" xfId="0" applyFont="1" applyBorder="1" applyProtection="1">
      <protection locked="0"/>
    </xf>
    <xf numFmtId="0" fontId="11" fillId="0" borderId="41" xfId="0" applyFont="1" applyBorder="1"/>
    <xf numFmtId="0" fontId="11" fillId="0" borderId="17" xfId="0" applyFont="1" applyBorder="1"/>
    <xf numFmtId="0" fontId="11" fillId="0" borderId="18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41" xfId="0" applyFont="1" applyBorder="1" applyProtection="1"/>
    <xf numFmtId="0" fontId="4" fillId="0" borderId="16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41" xfId="0" applyNumberFormat="1" applyFont="1" applyBorder="1" applyProtection="1">
      <protection locked="0"/>
    </xf>
    <xf numFmtId="171" fontId="11" fillId="0" borderId="18" xfId="0" applyNumberFormat="1" applyFont="1" applyBorder="1" applyProtection="1">
      <protection locked="0"/>
    </xf>
    <xf numFmtId="16" fontId="11" fillId="0" borderId="17" xfId="0" applyNumberFormat="1" applyFont="1" applyBorder="1" applyProtection="1">
      <protection locked="0"/>
    </xf>
    <xf numFmtId="0" fontId="11" fillId="0" borderId="17" xfId="0" applyFont="1" applyBorder="1" applyProtection="1">
      <protection locked="0"/>
    </xf>
    <xf numFmtId="171" fontId="11" fillId="0" borderId="41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3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9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6" xfId="0" applyFont="1" applyBorder="1"/>
    <xf numFmtId="0" fontId="18" fillId="0" borderId="2" xfId="0" applyFont="1" applyBorder="1"/>
    <xf numFmtId="0" fontId="12" fillId="0" borderId="16" xfId="0" applyFont="1" applyBorder="1"/>
    <xf numFmtId="0" fontId="18" fillId="0" borderId="39" xfId="0" applyFont="1" applyBorder="1"/>
    <xf numFmtId="0" fontId="18" fillId="0" borderId="40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6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7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9" xfId="0" applyFont="1" applyBorder="1"/>
    <xf numFmtId="0" fontId="18" fillId="0" borderId="2" xfId="0" applyFont="1" applyBorder="1" applyAlignment="1">
      <alignment horizontal="right"/>
    </xf>
    <xf numFmtId="0" fontId="18" fillId="0" borderId="19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20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3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41" xfId="0" applyNumberFormat="1" applyFont="1" applyBorder="1"/>
    <xf numFmtId="171" fontId="11" fillId="0" borderId="17" xfId="0" applyNumberFormat="1" applyFont="1" applyBorder="1"/>
    <xf numFmtId="2" fontId="11" fillId="0" borderId="19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21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21" xfId="0" applyNumberFormat="1" applyFont="1" applyBorder="1" applyProtection="1">
      <protection locked="0"/>
    </xf>
    <xf numFmtId="2" fontId="11" fillId="0" borderId="42" xfId="0" applyNumberFormat="1" applyFont="1" applyBorder="1" applyProtection="1">
      <protection locked="0"/>
    </xf>
    <xf numFmtId="0" fontId="11" fillId="0" borderId="33" xfId="0" applyFont="1" applyBorder="1" applyProtection="1">
      <protection locked="0"/>
    </xf>
    <xf numFmtId="0" fontId="11" fillId="0" borderId="43" xfId="0" applyFont="1" applyBorder="1" applyProtection="1">
      <protection locked="0"/>
    </xf>
    <xf numFmtId="173" fontId="11" fillId="0" borderId="42" xfId="0" applyNumberFormat="1" applyFont="1" applyBorder="1" applyProtection="1">
      <protection locked="0"/>
    </xf>
    <xf numFmtId="49" fontId="11" fillId="0" borderId="33" xfId="0" applyNumberFormat="1" applyFont="1" applyBorder="1" applyProtection="1">
      <protection locked="0"/>
    </xf>
    <xf numFmtId="0" fontId="0" fillId="0" borderId="16" xfId="0" applyFill="1" applyBorder="1"/>
    <xf numFmtId="2" fontId="11" fillId="0" borderId="20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2" fontId="0" fillId="0" borderId="24" xfId="0" applyNumberFormat="1" applyBorder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0" xfId="0" applyFont="1" applyFill="1" applyBorder="1" applyAlignment="1" applyProtection="1">
      <alignment horizontal="right" vertical="top"/>
    </xf>
    <xf numFmtId="0" fontId="7" fillId="0" borderId="36" xfId="0" applyFont="1" applyBorder="1" applyAlignment="1">
      <alignment horizontal="right"/>
    </xf>
    <xf numFmtId="164" fontId="7" fillId="0" borderId="4" xfId="0" applyNumberFormat="1" applyFont="1" applyBorder="1" applyAlignment="1" applyProtection="1">
      <alignment vertical="top"/>
    </xf>
    <xf numFmtId="164" fontId="7" fillId="0" borderId="5" xfId="0" applyNumberFormat="1" applyFont="1" applyBorder="1" applyAlignment="1" applyProtection="1">
      <alignment vertical="top"/>
    </xf>
    <xf numFmtId="164" fontId="8" fillId="0" borderId="6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173" fontId="7" fillId="0" borderId="4" xfId="0" applyNumberFormat="1" applyFont="1" applyBorder="1" applyAlignment="1" applyProtection="1">
      <alignment vertical="top"/>
    </xf>
    <xf numFmtId="173" fontId="7" fillId="0" borderId="5" xfId="0" applyNumberFormat="1" applyFont="1" applyBorder="1" applyAlignment="1" applyProtection="1">
      <alignment vertical="top"/>
    </xf>
    <xf numFmtId="1" fontId="7" fillId="0" borderId="0" xfId="0" applyNumberFormat="1" applyFont="1" applyBorder="1" applyAlignment="1" applyProtection="1">
      <alignment vertical="top"/>
    </xf>
    <xf numFmtId="1" fontId="7" fillId="0" borderId="3" xfId="0" applyNumberFormat="1" applyFont="1" applyBorder="1" applyAlignment="1" applyProtection="1">
      <alignment vertical="top"/>
    </xf>
    <xf numFmtId="171" fontId="7" fillId="0" borderId="4" xfId="0" applyNumberFormat="1" applyFont="1" applyBorder="1" applyAlignment="1" applyProtection="1">
      <alignment vertical="top"/>
    </xf>
    <xf numFmtId="171" fontId="7" fillId="0" borderId="5" xfId="0" applyNumberFormat="1" applyFont="1" applyBorder="1" applyAlignment="1" applyProtection="1">
      <alignment vertical="top"/>
    </xf>
    <xf numFmtId="164" fontId="7" fillId="0" borderId="30" xfId="0" applyNumberFormat="1" applyFont="1" applyBorder="1" applyAlignment="1" applyProtection="1">
      <alignment vertical="top"/>
    </xf>
    <xf numFmtId="164" fontId="8" fillId="0" borderId="5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vertical="top"/>
    </xf>
    <xf numFmtId="0" fontId="0" fillId="0" borderId="44" xfId="0" applyBorder="1"/>
    <xf numFmtId="0" fontId="0" fillId="0" borderId="11" xfId="0" applyBorder="1"/>
    <xf numFmtId="164" fontId="14" fillId="0" borderId="15" xfId="0" applyNumberFormat="1" applyFont="1" applyBorder="1" applyAlignment="1" applyProtection="1">
      <alignment vertical="top"/>
    </xf>
    <xf numFmtId="2" fontId="0" fillId="0" borderId="3" xfId="0" applyNumberFormat="1" applyBorder="1"/>
    <xf numFmtId="0" fontId="7" fillId="2" borderId="29" xfId="0" applyFont="1" applyFill="1" applyBorder="1" applyAlignment="1">
      <alignment horizontal="left"/>
    </xf>
    <xf numFmtId="0" fontId="7" fillId="0" borderId="3" xfId="0" applyFont="1" applyFill="1" applyBorder="1" applyAlignment="1" applyProtection="1">
      <alignment horizontal="right" vertical="top"/>
    </xf>
    <xf numFmtId="0" fontId="7" fillId="0" borderId="45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7" fillId="0" borderId="21" xfId="0" applyFont="1" applyBorder="1" applyAlignment="1" applyProtection="1">
      <alignment horizontal="right" vertical="top"/>
    </xf>
    <xf numFmtId="0" fontId="8" fillId="0" borderId="46" xfId="0" applyFont="1" applyBorder="1" applyAlignment="1" applyProtection="1">
      <alignment horizontal="right" vertical="top"/>
    </xf>
    <xf numFmtId="173" fontId="7" fillId="0" borderId="21" xfId="0" applyNumberFormat="1" applyFont="1" applyBorder="1" applyAlignment="1" applyProtection="1">
      <alignment vertical="top"/>
    </xf>
    <xf numFmtId="2" fontId="7" fillId="0" borderId="21" xfId="0" applyNumberFormat="1" applyFont="1" applyBorder="1" applyAlignment="1" applyProtection="1">
      <alignment vertical="top"/>
    </xf>
    <xf numFmtId="2" fontId="7" fillId="0" borderId="21" xfId="0" applyNumberFormat="1" applyFont="1" applyBorder="1" applyAlignment="1" applyProtection="1">
      <alignment horizontal="right" vertical="top"/>
    </xf>
    <xf numFmtId="2" fontId="8" fillId="0" borderId="46" xfId="0" applyNumberFormat="1" applyFont="1" applyBorder="1" applyAlignment="1" applyProtection="1">
      <alignment horizontal="right" vertical="top"/>
    </xf>
    <xf numFmtId="0" fontId="7" fillId="0" borderId="47" xfId="0" applyFont="1" applyBorder="1" applyAlignment="1">
      <alignment horizontal="right"/>
    </xf>
    <xf numFmtId="0" fontId="7" fillId="0" borderId="21" xfId="0" applyFont="1" applyFill="1" applyBorder="1" applyAlignment="1" applyProtection="1">
      <alignment horizontal="right" vertical="top"/>
    </xf>
    <xf numFmtId="16" fontId="7" fillId="0" borderId="13" xfId="0" applyNumberFormat="1" applyFont="1" applyBorder="1" applyAlignment="1" applyProtection="1">
      <alignment horizontal="right" vertical="top"/>
    </xf>
    <xf numFmtId="2" fontId="7" fillId="0" borderId="48" xfId="0" applyNumberFormat="1" applyFont="1" applyBorder="1" applyAlignment="1" applyProtection="1">
      <alignment vertical="top"/>
    </xf>
    <xf numFmtId="171" fontId="7" fillId="0" borderId="21" xfId="0" applyNumberFormat="1" applyFont="1" applyBorder="1" applyAlignment="1" applyProtection="1">
      <alignment vertical="top"/>
    </xf>
    <xf numFmtId="171" fontId="7" fillId="0" borderId="21" xfId="0" applyNumberFormat="1" applyFont="1" applyBorder="1" applyAlignment="1" applyProtection="1">
      <alignment horizontal="right" vertical="top"/>
    </xf>
    <xf numFmtId="171" fontId="8" fillId="0" borderId="46" xfId="0" applyNumberFormat="1" applyFont="1" applyBorder="1" applyAlignment="1" applyProtection="1">
      <alignment horizontal="right" vertical="top"/>
    </xf>
    <xf numFmtId="1" fontId="8" fillId="0" borderId="16" xfId="0" applyNumberFormat="1" applyFont="1" applyBorder="1" applyAlignment="1" applyProtection="1">
      <alignment vertical="top"/>
    </xf>
    <xf numFmtId="0" fontId="0" fillId="0" borderId="25" xfId="0" applyBorder="1"/>
    <xf numFmtId="0" fontId="0" fillId="0" borderId="9" xfId="0" applyBorder="1"/>
    <xf numFmtId="0" fontId="7" fillId="2" borderId="20" xfId="0" applyFont="1" applyFill="1" applyBorder="1" applyAlignment="1">
      <alignment horizontal="right"/>
    </xf>
    <xf numFmtId="0" fontId="0" fillId="0" borderId="49" xfId="0" applyBorder="1"/>
    <xf numFmtId="0" fontId="7" fillId="2" borderId="50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8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171" fontId="8" fillId="0" borderId="51" xfId="0" applyNumberFormat="1" applyFont="1" applyBorder="1" applyAlignment="1" applyProtection="1">
      <alignment vertical="top"/>
    </xf>
    <xf numFmtId="1" fontId="0" fillId="0" borderId="25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3" xfId="0" applyNumberFormat="1" applyFont="1" applyBorder="1" applyAlignment="1" applyProtection="1">
      <alignment vertical="top"/>
    </xf>
    <xf numFmtId="171" fontId="8" fillId="0" borderId="19" xfId="0" applyNumberFormat="1" applyFont="1" applyBorder="1" applyAlignment="1" applyProtection="1">
      <alignment vertical="top"/>
    </xf>
    <xf numFmtId="171" fontId="8" fillId="0" borderId="37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8" xfId="0" applyNumberFormat="1" applyFont="1" applyFill="1" applyBorder="1"/>
    <xf numFmtId="173" fontId="7" fillId="2" borderId="19" xfId="0" applyNumberFormat="1" applyFont="1" applyFill="1" applyBorder="1" applyAlignment="1">
      <alignment horizontal="right"/>
    </xf>
    <xf numFmtId="173" fontId="7" fillId="2" borderId="20" xfId="0" applyNumberFormat="1" applyFont="1" applyFill="1" applyBorder="1" applyAlignment="1">
      <alignment horizontal="right"/>
    </xf>
    <xf numFmtId="171" fontId="0" fillId="0" borderId="49" xfId="0" applyNumberFormat="1" applyBorder="1"/>
    <xf numFmtId="171" fontId="7" fillId="2" borderId="50" xfId="0" applyNumberFormat="1" applyFont="1" applyFill="1" applyBorder="1" applyAlignment="1">
      <alignment horizontal="right"/>
    </xf>
    <xf numFmtId="2" fontId="8" fillId="0" borderId="52" xfId="0" applyNumberFormat="1" applyFont="1" applyBorder="1" applyAlignment="1" applyProtection="1">
      <alignment vertical="top"/>
    </xf>
    <xf numFmtId="2" fontId="8" fillId="0" borderId="24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2" fontId="8" fillId="0" borderId="55" xfId="0" applyNumberFormat="1" applyFont="1" applyBorder="1" applyAlignment="1" applyProtection="1">
      <alignment vertical="top"/>
    </xf>
    <xf numFmtId="2" fontId="8" fillId="0" borderId="56" xfId="0" applyNumberFormat="1" applyFont="1" applyBorder="1" applyAlignment="1" applyProtection="1">
      <alignment vertical="top"/>
    </xf>
    <xf numFmtId="171" fontId="8" fillId="0" borderId="57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8" xfId="0" applyNumberFormat="1" applyFont="1" applyBorder="1" applyAlignment="1" applyProtection="1">
      <alignment vertical="top"/>
    </xf>
    <xf numFmtId="171" fontId="8" fillId="0" borderId="58" xfId="0" applyNumberFormat="1" applyFont="1" applyBorder="1" applyAlignment="1" applyProtection="1">
      <alignment vertical="top"/>
    </xf>
    <xf numFmtId="171" fontId="7" fillId="2" borderId="59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8" xfId="0" applyNumberFormat="1" applyFont="1" applyBorder="1" applyAlignment="1" applyProtection="1">
      <alignment vertical="top"/>
    </xf>
    <xf numFmtId="174" fontId="7" fillId="0" borderId="0" xfId="0" applyNumberFormat="1" applyFont="1" applyBorder="1" applyAlignment="1" applyProtection="1">
      <alignment vertical="top"/>
    </xf>
    <xf numFmtId="164" fontId="14" fillId="0" borderId="29" xfId="0" applyNumberFormat="1" applyFont="1" applyBorder="1" applyAlignment="1" applyProtection="1">
      <alignment vertical="top"/>
    </xf>
    <xf numFmtId="174" fontId="7" fillId="0" borderId="13" xfId="0" applyNumberFormat="1" applyFont="1" applyBorder="1" applyAlignment="1" applyProtection="1">
      <alignment vertical="top"/>
    </xf>
    <xf numFmtId="0" fontId="11" fillId="0" borderId="19" xfId="0" applyFont="1" applyBorder="1" applyProtection="1">
      <protection locked="0"/>
    </xf>
    <xf numFmtId="0" fontId="11" fillId="0" borderId="0" xfId="0" applyFont="1"/>
    <xf numFmtId="0" fontId="11" fillId="0" borderId="20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60" xfId="0" applyFont="1" applyBorder="1" applyAlignment="1">
      <alignment horizontal="right"/>
    </xf>
    <xf numFmtId="164" fontId="7" fillId="0" borderId="7" xfId="0" applyNumberFormat="1" applyFont="1" applyBorder="1" applyAlignment="1" applyProtection="1">
      <alignment vertical="top"/>
    </xf>
    <xf numFmtId="164" fontId="7" fillId="0" borderId="26" xfId="0" applyNumberFormat="1" applyFont="1" applyBorder="1" applyAlignment="1" applyProtection="1">
      <alignment vertical="top"/>
    </xf>
    <xf numFmtId="164" fontId="7" fillId="0" borderId="61" xfId="0" applyNumberFormat="1" applyFont="1" applyBorder="1" applyAlignment="1" applyProtection="1">
      <alignment vertical="top"/>
    </xf>
    <xf numFmtId="164" fontId="7" fillId="0" borderId="62" xfId="0" applyNumberFormat="1" applyFont="1" applyBorder="1" applyAlignment="1" applyProtection="1">
      <alignment vertical="top"/>
    </xf>
    <xf numFmtId="164" fontId="7" fillId="0" borderId="56" xfId="0" applyNumberFormat="1" applyFont="1" applyBorder="1" applyAlignment="1" applyProtection="1">
      <alignment vertical="top"/>
    </xf>
    <xf numFmtId="164" fontId="7" fillId="0" borderId="63" xfId="0" applyNumberFormat="1" applyFont="1" applyBorder="1" applyAlignment="1" applyProtection="1">
      <alignment vertical="top"/>
    </xf>
    <xf numFmtId="173" fontId="7" fillId="0" borderId="7" xfId="0" applyNumberFormat="1" applyFont="1" applyBorder="1" applyAlignment="1" applyProtection="1">
      <alignment vertical="top"/>
    </xf>
    <xf numFmtId="173" fontId="7" fillId="0" borderId="26" xfId="0" applyNumberFormat="1" applyFont="1" applyBorder="1" applyAlignment="1" applyProtection="1">
      <alignment vertical="top"/>
    </xf>
    <xf numFmtId="171" fontId="7" fillId="0" borderId="7" xfId="0" applyNumberFormat="1" applyFont="1" applyBorder="1" applyAlignment="1" applyProtection="1">
      <alignment vertical="top"/>
    </xf>
    <xf numFmtId="171" fontId="7" fillId="0" borderId="26" xfId="0" applyNumberFormat="1" applyFont="1" applyBorder="1" applyAlignment="1" applyProtection="1">
      <alignment vertical="top"/>
    </xf>
    <xf numFmtId="2" fontId="7" fillId="0" borderId="7" xfId="0" applyNumberFormat="1" applyFont="1" applyBorder="1" applyAlignment="1" applyProtection="1">
      <alignment vertical="top"/>
    </xf>
    <xf numFmtId="2" fontId="7" fillId="0" borderId="26" xfId="0" applyNumberFormat="1" applyFont="1" applyBorder="1" applyAlignment="1" applyProtection="1">
      <alignment vertical="top"/>
    </xf>
    <xf numFmtId="171" fontId="8" fillId="0" borderId="27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27" xfId="0" applyNumberFormat="1" applyFont="1" applyBorder="1" applyAlignment="1" applyProtection="1">
      <alignment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27" xfId="0" applyNumberFormat="1" applyFont="1" applyBorder="1" applyAlignment="1" applyProtection="1">
      <alignment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7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6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170" fontId="11" fillId="0" borderId="5" xfId="0" applyNumberFormat="1" applyFont="1" applyBorder="1"/>
    <xf numFmtId="174" fontId="7" fillId="0" borderId="3" xfId="0" applyNumberFormat="1" applyFont="1" applyBorder="1" applyAlignment="1" applyProtection="1">
      <alignment vertical="top"/>
    </xf>
    <xf numFmtId="174" fontId="7" fillId="0" borderId="28" xfId="0" applyNumberFormat="1" applyFont="1" applyBorder="1" applyAlignment="1" applyProtection="1">
      <alignment vertical="top"/>
    </xf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3" fillId="0" borderId="0" xfId="0" applyFont="1"/>
    <xf numFmtId="16" fontId="11" fillId="0" borderId="65" xfId="0" applyNumberFormat="1" applyFont="1" applyBorder="1" applyProtection="1">
      <protection locked="0"/>
    </xf>
    <xf numFmtId="0" fontId="11" fillId="0" borderId="66" xfId="0" applyFont="1" applyBorder="1"/>
    <xf numFmtId="0" fontId="11" fillId="0" borderId="65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" applyFont="1" applyBorder="1" applyProtection="1">
      <protection locked="0"/>
    </xf>
    <xf numFmtId="9" fontId="11" fillId="0" borderId="0" xfId="1" applyFont="1" applyBorder="1"/>
    <xf numFmtId="9" fontId="11" fillId="0" borderId="0" xfId="1" applyFont="1"/>
    <xf numFmtId="9" fontId="11" fillId="0" borderId="33" xfId="1" applyFont="1" applyBorder="1"/>
    <xf numFmtId="9" fontId="0" fillId="0" borderId="0" xfId="1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9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0" fillId="2" borderId="67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68" xfId="0" applyFill="1" applyBorder="1"/>
    <xf numFmtId="0" fontId="0" fillId="2" borderId="69" xfId="0" applyFill="1" applyBorder="1"/>
    <xf numFmtId="0" fontId="0" fillId="2" borderId="42" xfId="0" applyFill="1" applyBorder="1"/>
    <xf numFmtId="0" fontId="0" fillId="2" borderId="33" xfId="0" applyFill="1" applyBorder="1"/>
    <xf numFmtId="0" fontId="0" fillId="2" borderId="43" xfId="0" applyFill="1" applyBorder="1"/>
    <xf numFmtId="0" fontId="0" fillId="2" borderId="40" xfId="0" applyFill="1" applyBorder="1" applyAlignment="1">
      <alignment horizontal="right"/>
    </xf>
    <xf numFmtId="0" fontId="0" fillId="2" borderId="68" xfId="0" applyFill="1" applyBorder="1" applyAlignment="1">
      <alignment horizontal="right"/>
    </xf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70" xfId="0" applyFill="1" applyBorder="1"/>
    <xf numFmtId="0" fontId="0" fillId="2" borderId="4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0" fillId="2" borderId="43" xfId="0" applyFill="1" applyBorder="1" applyAlignment="1">
      <alignment horizontal="right"/>
    </xf>
    <xf numFmtId="0" fontId="0" fillId="2" borderId="71" xfId="0" applyFill="1" applyBorder="1"/>
    <xf numFmtId="0" fontId="0" fillId="2" borderId="72" xfId="0" applyFill="1" applyBorder="1" applyAlignment="1">
      <alignment horizontal="right"/>
    </xf>
    <xf numFmtId="0" fontId="11" fillId="2" borderId="39" xfId="0" applyFont="1" applyFill="1" applyBorder="1" applyProtection="1">
      <protection locked="0"/>
    </xf>
    <xf numFmtId="0" fontId="11" fillId="2" borderId="40" xfId="0" applyFont="1" applyFill="1" applyBorder="1" applyProtection="1">
      <protection locked="0"/>
    </xf>
    <xf numFmtId="0" fontId="11" fillId="2" borderId="73" xfId="0" applyFont="1" applyFill="1" applyBorder="1" applyProtection="1">
      <protection locked="0"/>
    </xf>
    <xf numFmtId="0" fontId="11" fillId="2" borderId="68" xfId="0" applyFont="1" applyFill="1" applyBorder="1" applyProtection="1">
      <protection locked="0"/>
    </xf>
    <xf numFmtId="16" fontId="11" fillId="2" borderId="40" xfId="0" applyNumberFormat="1" applyFont="1" applyFill="1" applyBorder="1" applyProtection="1">
      <protection locked="0"/>
    </xf>
    <xf numFmtId="0" fontId="11" fillId="2" borderId="21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2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42" xfId="0" applyFont="1" applyFill="1" applyBorder="1" applyProtection="1">
      <protection locked="0"/>
    </xf>
    <xf numFmtId="0" fontId="11" fillId="2" borderId="33" xfId="0" applyFont="1" applyFill="1" applyBorder="1" applyProtection="1">
      <protection locked="0"/>
    </xf>
    <xf numFmtId="0" fontId="11" fillId="2" borderId="72" xfId="0" applyFont="1" applyFill="1" applyBorder="1" applyProtection="1">
      <protection locked="0"/>
    </xf>
    <xf numFmtId="0" fontId="11" fillId="2" borderId="43" xfId="0" applyFont="1" applyFill="1" applyBorder="1" applyProtection="1">
      <protection locked="0"/>
    </xf>
    <xf numFmtId="16" fontId="11" fillId="2" borderId="33" xfId="0" applyNumberFormat="1" applyFont="1" applyFill="1" applyBorder="1" applyProtection="1">
      <protection locked="0"/>
    </xf>
    <xf numFmtId="0" fontId="11" fillId="2" borderId="21" xfId="0" applyFont="1" applyFill="1" applyBorder="1"/>
    <xf numFmtId="0" fontId="11" fillId="2" borderId="0" xfId="0" applyFont="1" applyFill="1" applyBorder="1"/>
    <xf numFmtId="0" fontId="11" fillId="2" borderId="22" xfId="0" applyFont="1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7" xfId="0" applyFill="1" applyBorder="1" applyAlignment="1">
      <alignment horizontal="right"/>
    </xf>
    <xf numFmtId="0" fontId="0" fillId="2" borderId="7" xfId="0" applyFill="1" applyBorder="1"/>
    <xf numFmtId="0" fontId="0" fillId="2" borderId="69" xfId="0" applyFill="1" applyBorder="1" applyAlignment="1">
      <alignment horizontal="right"/>
    </xf>
    <xf numFmtId="0" fontId="0" fillId="2" borderId="7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7" xfId="0" applyFont="1" applyFill="1" applyBorder="1" applyProtection="1">
      <protection locked="0"/>
    </xf>
    <xf numFmtId="0" fontId="11" fillId="2" borderId="39" xfId="0" applyFont="1" applyFill="1" applyBorder="1"/>
    <xf numFmtId="0" fontId="11" fillId="2" borderId="40" xfId="0" applyFont="1" applyFill="1" applyBorder="1"/>
    <xf numFmtId="0" fontId="11" fillId="2" borderId="68" xfId="0" applyFont="1" applyFill="1" applyBorder="1"/>
    <xf numFmtId="0" fontId="11" fillId="2" borderId="67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74" xfId="0" applyFont="1" applyFill="1" applyBorder="1" applyProtection="1">
      <protection locked="0"/>
    </xf>
    <xf numFmtId="2" fontId="11" fillId="2" borderId="0" xfId="1" applyNumberFormat="1" applyFont="1" applyFill="1" applyBorder="1" applyProtection="1">
      <protection locked="0"/>
    </xf>
    <xf numFmtId="1" fontId="11" fillId="2" borderId="0" xfId="1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9" xfId="0" applyFont="1" applyFill="1" applyBorder="1" applyProtection="1">
      <protection locked="0"/>
    </xf>
    <xf numFmtId="0" fontId="11" fillId="2" borderId="69" xfId="0" applyFont="1" applyFill="1" applyBorder="1"/>
    <xf numFmtId="0" fontId="11" fillId="3" borderId="22" xfId="0" applyFont="1" applyFill="1" applyBorder="1" applyProtection="1">
      <protection locked="0"/>
    </xf>
    <xf numFmtId="2" fontId="11" fillId="2" borderId="39" xfId="1" applyNumberFormat="1" applyFont="1" applyFill="1" applyBorder="1" applyProtection="1">
      <protection locked="0"/>
    </xf>
    <xf numFmtId="1" fontId="11" fillId="2" borderId="39" xfId="1" applyNumberFormat="1" applyFont="1" applyFill="1" applyBorder="1" applyProtection="1">
      <protection locked="0"/>
    </xf>
    <xf numFmtId="2" fontId="11" fillId="2" borderId="21" xfId="1" applyNumberFormat="1" applyFont="1" applyFill="1" applyBorder="1" applyProtection="1">
      <protection locked="0"/>
    </xf>
    <xf numFmtId="1" fontId="11" fillId="2" borderId="21" xfId="1" applyNumberFormat="1" applyFont="1" applyFill="1" applyBorder="1" applyProtection="1">
      <protection locked="0"/>
    </xf>
    <xf numFmtId="0" fontId="11" fillId="2" borderId="42" xfId="0" applyFont="1" applyFill="1" applyBorder="1"/>
    <xf numFmtId="0" fontId="11" fillId="2" borderId="43" xfId="0" applyFont="1" applyFill="1" applyBorder="1"/>
    <xf numFmtId="2" fontId="11" fillId="2" borderId="42" xfId="1" applyNumberFormat="1" applyFont="1" applyFill="1" applyBorder="1" applyProtection="1">
      <protection locked="0"/>
    </xf>
    <xf numFmtId="1" fontId="11" fillId="2" borderId="42" xfId="1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71" xfId="0" applyFont="1" applyFill="1" applyBorder="1" applyProtection="1">
      <protection locked="0"/>
    </xf>
    <xf numFmtId="0" fontId="11" fillId="2" borderId="33" xfId="0" applyFont="1" applyFill="1" applyBorder="1"/>
    <xf numFmtId="0" fontId="11" fillId="2" borderId="71" xfId="0" applyFont="1" applyFill="1" applyBorder="1"/>
    <xf numFmtId="16" fontId="0" fillId="2" borderId="67" xfId="0" quotePrefix="1" applyNumberFormat="1" applyFill="1" applyBorder="1"/>
    <xf numFmtId="16" fontId="0" fillId="2" borderId="71" xfId="0" quotePrefix="1" applyNumberFormat="1" applyFill="1" applyBorder="1"/>
    <xf numFmtId="2" fontId="7" fillId="0" borderId="0" xfId="0" applyNumberFormat="1" applyFont="1"/>
    <xf numFmtId="174" fontId="11" fillId="2" borderId="40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21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75" xfId="0" applyNumberFormat="1" applyFont="1" applyBorder="1" applyAlignment="1" applyProtection="1">
      <alignment vertical="top"/>
    </xf>
    <xf numFmtId="16" fontId="7" fillId="0" borderId="76" xfId="0" applyNumberFormat="1" applyFont="1" applyBorder="1" applyAlignment="1" applyProtection="1">
      <alignment vertical="top"/>
    </xf>
    <xf numFmtId="1" fontId="7" fillId="0" borderId="76" xfId="0" applyNumberFormat="1" applyFont="1" applyBorder="1" applyAlignment="1" applyProtection="1">
      <alignment vertical="top"/>
    </xf>
    <xf numFmtId="1" fontId="7" fillId="0" borderId="77" xfId="0" applyNumberFormat="1" applyFont="1" applyBorder="1" applyAlignment="1" applyProtection="1">
      <alignment vertical="top"/>
    </xf>
    <xf numFmtId="0" fontId="7" fillId="0" borderId="31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9" xfId="0" applyFont="1" applyFill="1" applyBorder="1"/>
    <xf numFmtId="0" fontId="7" fillId="0" borderId="29" xfId="0" applyFont="1" applyFill="1" applyBorder="1" applyAlignment="1">
      <alignment horizontal="left"/>
    </xf>
    <xf numFmtId="0" fontId="7" fillId="0" borderId="32" xfId="0" applyFont="1" applyFill="1" applyBorder="1"/>
    <xf numFmtId="164" fontId="7" fillId="0" borderId="28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9" xfId="0" applyFont="1" applyFill="1" applyBorder="1" applyAlignment="1" applyProtection="1">
      <alignment vertical="top"/>
    </xf>
    <xf numFmtId="0" fontId="7" fillId="0" borderId="0" xfId="0" applyFont="1" applyFill="1" applyAlignment="1" applyProtection="1">
      <alignment horizontal="right" vertical="top"/>
    </xf>
    <xf numFmtId="16" fontId="7" fillId="0" borderId="0" xfId="0" applyNumberFormat="1" applyFont="1" applyFill="1" applyAlignment="1" applyProtection="1">
      <alignment horizontal="right" vertical="top"/>
    </xf>
    <xf numFmtId="16" fontId="0" fillId="0" borderId="0" xfId="0" applyNumberFormat="1" applyFill="1"/>
    <xf numFmtId="0" fontId="8" fillId="0" borderId="30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3" xfId="0" applyFont="1" applyFill="1" applyBorder="1" applyAlignment="1" applyProtection="1">
      <alignment horizontal="right" vertical="top"/>
    </xf>
    <xf numFmtId="0" fontId="7" fillId="0" borderId="45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3" xfId="0" applyBorder="1"/>
    <xf numFmtId="171" fontId="11" fillId="0" borderId="0" xfId="0" applyNumberFormat="1" applyFont="1"/>
    <xf numFmtId="2" fontId="11" fillId="0" borderId="21" xfId="0" applyNumberFormat="1" applyFont="1" applyBorder="1"/>
    <xf numFmtId="171" fontId="11" fillId="0" borderId="21" xfId="0" applyNumberFormat="1" applyFont="1" applyBorder="1"/>
    <xf numFmtId="2" fontId="11" fillId="0" borderId="42" xfId="0" applyNumberFormat="1" applyFont="1" applyBorder="1"/>
    <xf numFmtId="16" fontId="11" fillId="0" borderId="33" xfId="0" applyNumberFormat="1" applyFont="1" applyBorder="1"/>
    <xf numFmtId="0" fontId="11" fillId="0" borderId="33" xfId="0" applyFont="1" applyBorder="1"/>
    <xf numFmtId="171" fontId="11" fillId="0" borderId="42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7" xfId="0" applyFont="1" applyFill="1" applyBorder="1" applyProtection="1">
      <protection locked="0"/>
    </xf>
    <xf numFmtId="0" fontId="11" fillId="2" borderId="18" xfId="0" applyFont="1" applyFill="1" applyBorder="1" applyProtection="1">
      <protection locked="0"/>
    </xf>
    <xf numFmtId="2" fontId="11" fillId="0" borderId="0" xfId="1" applyNumberFormat="1" applyFont="1" applyBorder="1" applyProtection="1">
      <protection locked="0"/>
    </xf>
    <xf numFmtId="1" fontId="11" fillId="0" borderId="0" xfId="1" applyNumberFormat="1" applyFont="1" applyBorder="1" applyProtection="1">
      <protection locked="0"/>
    </xf>
    <xf numFmtId="9" fontId="11" fillId="0" borderId="0" xfId="1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21" xfId="0" applyFont="1" applyBorder="1"/>
    <xf numFmtId="16" fontId="5" fillId="0" borderId="0" xfId="0" applyNumberFormat="1" applyFont="1"/>
    <xf numFmtId="0" fontId="5" fillId="0" borderId="22" xfId="0" applyFont="1" applyBorder="1"/>
    <xf numFmtId="0" fontId="5" fillId="0" borderId="42" xfId="0" applyFont="1" applyBorder="1"/>
    <xf numFmtId="16" fontId="5" fillId="0" borderId="33" xfId="0" applyNumberFormat="1" applyFont="1" applyBorder="1"/>
    <xf numFmtId="0" fontId="5" fillId="0" borderId="33" xfId="0" applyFont="1" applyBorder="1"/>
    <xf numFmtId="0" fontId="5" fillId="0" borderId="43" xfId="0" applyFont="1" applyBorder="1"/>
    <xf numFmtId="0" fontId="5" fillId="0" borderId="5" xfId="0" applyFont="1" applyBorder="1"/>
    <xf numFmtId="164" fontId="7" fillId="0" borderId="78" xfId="0" applyNumberFormat="1" applyFont="1" applyBorder="1" applyAlignment="1" applyProtection="1">
      <alignment vertical="top"/>
    </xf>
    <xf numFmtId="164" fontId="7" fillId="0" borderId="79" xfId="0" applyNumberFormat="1" applyFont="1" applyBorder="1" applyAlignment="1" applyProtection="1">
      <alignment vertical="top"/>
    </xf>
    <xf numFmtId="164" fontId="7" fillId="0" borderId="76" xfId="0" applyNumberFormat="1" applyFont="1" applyBorder="1" applyAlignment="1" applyProtection="1">
      <alignment vertical="top"/>
    </xf>
    <xf numFmtId="0" fontId="26" fillId="0" borderId="0" xfId="0" applyFont="1"/>
    <xf numFmtId="0" fontId="7" fillId="2" borderId="0" xfId="0" applyFont="1" applyFill="1" applyBorder="1"/>
    <xf numFmtId="169" fontId="8" fillId="0" borderId="0" xfId="0" applyNumberFormat="1" applyFont="1" applyBorder="1" applyAlignment="1" applyProtection="1">
      <alignment vertical="top"/>
    </xf>
    <xf numFmtId="0" fontId="7" fillId="0" borderId="0" xfId="0" applyFont="1"/>
    <xf numFmtId="171" fontId="7" fillId="0" borderId="0" xfId="0" applyNumberFormat="1" applyFont="1"/>
    <xf numFmtId="174" fontId="7" fillId="0" borderId="0" xfId="0" applyNumberFormat="1" applyFont="1"/>
    <xf numFmtId="1" fontId="7" fillId="0" borderId="0" xfId="0" applyNumberFormat="1" applyFont="1"/>
    <xf numFmtId="164" fontId="7" fillId="0" borderId="80" xfId="0" applyNumberFormat="1" applyFont="1" applyBorder="1" applyAlignment="1" applyProtection="1">
      <alignment vertical="top"/>
    </xf>
    <xf numFmtId="0" fontId="2" fillId="0" borderId="0" xfId="0" applyFont="1" applyBorder="1" applyProtection="1"/>
    <xf numFmtId="2" fontId="7" fillId="0" borderId="0" xfId="0" applyNumberFormat="1" applyFont="1" applyProtection="1"/>
    <xf numFmtId="1" fontId="8" fillId="0" borderId="33" xfId="0" applyNumberFormat="1" applyFont="1" applyFill="1" applyBorder="1" applyAlignment="1" applyProtection="1">
      <alignment horizontal="right" vertical="top"/>
    </xf>
    <xf numFmtId="16" fontId="7" fillId="0" borderId="0" xfId="0" applyNumberFormat="1" applyFont="1"/>
    <xf numFmtId="173" fontId="8" fillId="0" borderId="33" xfId="0" applyNumberFormat="1" applyFont="1" applyFill="1" applyBorder="1" applyAlignment="1" applyProtection="1">
      <alignment horizontal="right" vertical="top"/>
    </xf>
    <xf numFmtId="2" fontId="8" fillId="0" borderId="33" xfId="0" applyNumberFormat="1" applyFont="1" applyFill="1" applyBorder="1" applyAlignment="1" applyProtection="1">
      <alignment horizontal="right" vertical="top"/>
    </xf>
    <xf numFmtId="171" fontId="8" fillId="0" borderId="33" xfId="0" applyNumberFormat="1" applyFont="1" applyFill="1" applyBorder="1" applyAlignment="1" applyProtection="1">
      <alignment horizontal="right" vertical="top"/>
    </xf>
    <xf numFmtId="1" fontId="8" fillId="0" borderId="5" xfId="0" applyNumberFormat="1" applyFont="1" applyFill="1" applyBorder="1" applyAlignment="1" applyProtection="1">
      <alignment horizontal="right" vertical="top"/>
    </xf>
    <xf numFmtId="0" fontId="7" fillId="0" borderId="0" xfId="0" applyFont="1" applyProtection="1"/>
    <xf numFmtId="1" fontId="7" fillId="0" borderId="0" xfId="0" applyNumberFormat="1" applyFont="1" applyProtection="1"/>
    <xf numFmtId="173" fontId="7" fillId="0" borderId="0" xfId="0" applyNumberFormat="1" applyFont="1" applyProtection="1"/>
    <xf numFmtId="173" fontId="8" fillId="0" borderId="5" xfId="0" applyNumberFormat="1" applyFont="1" applyFill="1" applyBorder="1" applyAlignment="1" applyProtection="1">
      <alignment horizontal="right" vertical="top"/>
    </xf>
    <xf numFmtId="2" fontId="8" fillId="0" borderId="5" xfId="0" applyNumberFormat="1" applyFont="1" applyFill="1" applyBorder="1" applyAlignment="1" applyProtection="1">
      <alignment horizontal="right" vertical="top"/>
    </xf>
    <xf numFmtId="171" fontId="8" fillId="0" borderId="5" xfId="0" applyNumberFormat="1" applyFont="1" applyFill="1" applyBorder="1" applyAlignment="1" applyProtection="1">
      <alignment horizontal="right" vertical="top"/>
    </xf>
    <xf numFmtId="0" fontId="27" fillId="0" borderId="0" xfId="0" applyFont="1" applyBorder="1" applyProtection="1">
      <protection locked="0"/>
    </xf>
    <xf numFmtId="1" fontId="11" fillId="0" borderId="22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21" xfId="0" applyNumberFormat="1" applyFont="1" applyBorder="1"/>
    <xf numFmtId="2" fontId="18" fillId="0" borderId="42" xfId="0" applyNumberFormat="1" applyFont="1" applyBorder="1"/>
    <xf numFmtId="16" fontId="18" fillId="0" borderId="33" xfId="0" applyNumberFormat="1" applyFont="1" applyBorder="1"/>
    <xf numFmtId="171" fontId="18" fillId="0" borderId="21" xfId="0" applyNumberFormat="1" applyFont="1" applyBorder="1"/>
    <xf numFmtId="171" fontId="18" fillId="0" borderId="42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81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/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3" xfId="0" applyNumberFormat="1" applyFont="1" applyFill="1" applyBorder="1" applyAlignment="1" applyProtection="1">
      <alignment vertical="top"/>
    </xf>
    <xf numFmtId="16" fontId="7" fillId="0" borderId="13" xfId="0" applyNumberFormat="1" applyFont="1" applyFill="1" applyBorder="1" applyAlignment="1" applyProtection="1">
      <alignment vertical="top"/>
    </xf>
    <xf numFmtId="0" fontId="2" fillId="0" borderId="13" xfId="0" applyFont="1" applyBorder="1" applyAlignment="1" applyProtection="1">
      <alignment vertical="top"/>
    </xf>
    <xf numFmtId="0" fontId="7" fillId="0" borderId="21" xfId="0" applyFont="1" applyBorder="1" applyAlignment="1" applyProtection="1">
      <alignment horizontal="right"/>
    </xf>
    <xf numFmtId="0" fontId="0" fillId="0" borderId="22" xfId="0" applyBorder="1"/>
    <xf numFmtId="0" fontId="8" fillId="0" borderId="43" xfId="0" applyFont="1" applyBorder="1" applyAlignment="1" applyProtection="1">
      <alignment horizontal="right" vertical="top"/>
    </xf>
    <xf numFmtId="0" fontId="7" fillId="0" borderId="3" xfId="0" applyFont="1" applyBorder="1" applyAlignment="1" applyProtection="1">
      <alignment horizontal="right"/>
    </xf>
    <xf numFmtId="0" fontId="8" fillId="0" borderId="64" xfId="0" applyFont="1" applyBorder="1" applyAlignment="1" applyProtection="1">
      <alignment horizontal="right" vertical="top"/>
    </xf>
    <xf numFmtId="0" fontId="7" fillId="0" borderId="3" xfId="0" applyFont="1" applyFill="1" applyBorder="1" applyAlignment="1" applyProtection="1">
      <alignment horizontal="right"/>
    </xf>
    <xf numFmtId="0" fontId="0" fillId="0" borderId="7" xfId="0" applyFill="1" applyBorder="1"/>
    <xf numFmtId="0" fontId="8" fillId="0" borderId="64" xfId="0" applyFont="1" applyFill="1" applyBorder="1" applyAlignment="1" applyProtection="1">
      <alignment horizontal="right" vertical="top"/>
    </xf>
    <xf numFmtId="0" fontId="7" fillId="0" borderId="47" xfId="0" applyFont="1" applyFill="1" applyBorder="1" applyAlignment="1">
      <alignment horizontal="right"/>
    </xf>
    <xf numFmtId="0" fontId="8" fillId="0" borderId="43" xfId="0" applyFont="1" applyFill="1" applyBorder="1" applyAlignment="1" applyProtection="1">
      <alignment horizontal="right" vertical="top"/>
    </xf>
    <xf numFmtId="0" fontId="7" fillId="0" borderId="7" xfId="0" applyFont="1" applyBorder="1" applyAlignment="1" applyProtection="1">
      <alignment horizontal="right" vertical="top"/>
    </xf>
    <xf numFmtId="1" fontId="8" fillId="0" borderId="64" xfId="0" applyNumberFormat="1" applyFont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" fontId="7" fillId="0" borderId="7" xfId="0" applyNumberFormat="1" applyFont="1" applyBorder="1" applyAlignment="1" applyProtection="1">
      <alignment horizontal="right" vertical="top"/>
    </xf>
    <xf numFmtId="1" fontId="0" fillId="0" borderId="7" xfId="0" applyNumberFormat="1" applyBorder="1"/>
    <xf numFmtId="173" fontId="7" fillId="0" borderId="48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8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1" fontId="18" fillId="0" borderId="3" xfId="0" applyNumberFormat="1" applyFont="1" applyBorder="1" applyProtection="1">
      <protection locked="0"/>
    </xf>
    <xf numFmtId="1" fontId="18" fillId="0" borderId="0" xfId="0" applyNumberFormat="1" applyFont="1" applyBorder="1" applyProtection="1">
      <protection locked="0"/>
    </xf>
    <xf numFmtId="0" fontId="18" fillId="0" borderId="0" xfId="0" applyFont="1" applyAlignment="1" applyProtection="1">
      <alignment horizontal="right"/>
      <protection locked="0"/>
    </xf>
    <xf numFmtId="1" fontId="18" fillId="0" borderId="0" xfId="0" applyNumberFormat="1" applyFont="1" applyProtection="1">
      <protection locked="0"/>
    </xf>
    <xf numFmtId="2" fontId="18" fillId="0" borderId="3" xfId="0" applyNumberFormat="1" applyFont="1" applyBorder="1" applyProtection="1">
      <protection locked="0"/>
    </xf>
    <xf numFmtId="2" fontId="18" fillId="0" borderId="0" xfId="0" applyNumberFormat="1" applyFont="1" applyProtection="1">
      <protection locked="0"/>
    </xf>
    <xf numFmtId="171" fontId="18" fillId="0" borderId="0" xfId="0" applyNumberFormat="1" applyFont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41" xfId="0" applyNumberFormat="1" applyFont="1" applyBorder="1" applyProtection="1">
      <protection locked="0"/>
    </xf>
    <xf numFmtId="171" fontId="18" fillId="0" borderId="18" xfId="0" applyNumberFormat="1" applyFont="1" applyBorder="1" applyProtection="1">
      <protection locked="0"/>
    </xf>
    <xf numFmtId="18" fontId="18" fillId="0" borderId="0" xfId="0" applyNumberFormat="1" applyFont="1" applyProtection="1">
      <protection locked="0"/>
    </xf>
    <xf numFmtId="18" fontId="18" fillId="0" borderId="2" xfId="0" applyNumberFormat="1" applyFont="1" applyBorder="1" applyProtection="1">
      <protection locked="0"/>
    </xf>
    <xf numFmtId="0" fontId="18" fillId="0" borderId="17" xfId="0" applyFont="1" applyBorder="1"/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1" fontId="18" fillId="0" borderId="17" xfId="0" applyNumberFormat="1" applyFont="1" applyBorder="1"/>
    <xf numFmtId="0" fontId="18" fillId="0" borderId="3" xfId="0" applyFont="1" applyBorder="1" applyProtection="1">
      <protection locked="0"/>
    </xf>
    <xf numFmtId="0" fontId="18" fillId="0" borderId="0" xfId="0" applyFont="1" applyProtection="1">
      <protection locked="0"/>
    </xf>
    <xf numFmtId="18" fontId="18" fillId="0" borderId="7" xfId="0" applyNumberFormat="1" applyFont="1" applyBorder="1" applyProtection="1">
      <protection locked="0"/>
    </xf>
    <xf numFmtId="1" fontId="18" fillId="0" borderId="4" xfId="0" applyNumberFormat="1" applyFont="1" applyBorder="1" applyProtection="1">
      <protection locked="0"/>
    </xf>
    <xf numFmtId="1" fontId="18" fillId="0" borderId="5" xfId="0" applyNumberFormat="1" applyFont="1" applyBorder="1" applyProtection="1">
      <protection locked="0"/>
    </xf>
    <xf numFmtId="0" fontId="18" fillId="0" borderId="5" xfId="0" applyFont="1" applyBorder="1" applyAlignment="1" applyProtection="1">
      <alignment horizontal="right"/>
      <protection locked="0"/>
    </xf>
    <xf numFmtId="2" fontId="18" fillId="0" borderId="4" xfId="0" applyNumberFormat="1" applyFont="1" applyBorder="1" applyProtection="1">
      <protection locked="0"/>
    </xf>
    <xf numFmtId="2" fontId="18" fillId="0" borderId="5" xfId="0" applyNumberFormat="1" applyFont="1" applyBorder="1" applyProtection="1">
      <protection locked="0"/>
    </xf>
    <xf numFmtId="171" fontId="18" fillId="0" borderId="5" xfId="0" applyNumberFormat="1" applyFont="1" applyBorder="1" applyProtection="1">
      <protection locked="0"/>
    </xf>
    <xf numFmtId="170" fontId="18" fillId="0" borderId="6" xfId="0" applyNumberFormat="1" applyFont="1" applyBorder="1" applyProtection="1">
      <protection locked="0"/>
    </xf>
    <xf numFmtId="18" fontId="18" fillId="0" borderId="5" xfId="0" applyNumberFormat="1" applyFont="1" applyBorder="1" applyProtection="1">
      <protection locked="0"/>
    </xf>
    <xf numFmtId="18" fontId="18" fillId="0" borderId="6" xfId="0" applyNumberFormat="1" applyFont="1" applyBorder="1" applyProtection="1">
      <protection locked="0"/>
    </xf>
    <xf numFmtId="0" fontId="18" fillId="0" borderId="33" xfId="0" applyFont="1" applyBorder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18" fillId="0" borderId="0" xfId="0" applyFont="1" applyBorder="1" applyAlignment="1" applyProtection="1">
      <alignment horizontal="right"/>
      <protection locked="0"/>
    </xf>
    <xf numFmtId="171" fontId="18" fillId="0" borderId="3" xfId="0" applyNumberFormat="1" applyFont="1" applyBorder="1" applyProtection="1">
      <protection locked="0"/>
    </xf>
    <xf numFmtId="2" fontId="18" fillId="0" borderId="19" xfId="0" applyNumberFormat="1" applyFont="1" applyBorder="1" applyProtection="1">
      <protection locked="0"/>
    </xf>
    <xf numFmtId="171" fontId="18" fillId="0" borderId="7" xfId="0" applyNumberFormat="1" applyFont="1" applyBorder="1"/>
    <xf numFmtId="170" fontId="18" fillId="0" borderId="3" xfId="0" applyNumberFormat="1" applyFont="1" applyBorder="1" applyProtection="1">
      <protection locked="0"/>
    </xf>
    <xf numFmtId="0" fontId="18" fillId="0" borderId="7" xfId="0" applyFont="1" applyBorder="1" applyProtection="1">
      <protection locked="0"/>
    </xf>
    <xf numFmtId="170" fontId="18" fillId="0" borderId="4" xfId="0" applyNumberFormat="1" applyFont="1" applyBorder="1" applyProtection="1">
      <protection locked="0"/>
    </xf>
    <xf numFmtId="171" fontId="18" fillId="0" borderId="4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2" fontId="18" fillId="0" borderId="20" xfId="0" applyNumberFormat="1" applyFont="1" applyBorder="1" applyProtection="1">
      <protection locked="0"/>
    </xf>
    <xf numFmtId="170" fontId="18" fillId="0" borderId="5" xfId="0" applyNumberFormat="1" applyFont="1" applyBorder="1"/>
    <xf numFmtId="171" fontId="18" fillId="0" borderId="20" xfId="0" applyNumberFormat="1" applyFont="1" applyBorder="1"/>
    <xf numFmtId="1" fontId="18" fillId="0" borderId="2" xfId="0" applyNumberFormat="1" applyFont="1" applyBorder="1" applyProtection="1">
      <protection locked="0"/>
    </xf>
    <xf numFmtId="171" fontId="18" fillId="0" borderId="0" xfId="0" applyNumberFormat="1" applyFont="1" applyBorder="1" applyProtection="1">
      <protection locked="0"/>
    </xf>
    <xf numFmtId="170" fontId="18" fillId="0" borderId="0" xfId="0" applyNumberFormat="1" applyFont="1" applyBorder="1" applyProtection="1">
      <protection locked="0"/>
    </xf>
    <xf numFmtId="2" fontId="18" fillId="0" borderId="2" xfId="0" applyNumberFormat="1" applyFont="1" applyBorder="1" applyProtection="1">
      <protection locked="0"/>
    </xf>
    <xf numFmtId="1" fontId="18" fillId="0" borderId="33" xfId="0" applyNumberFormat="1" applyFont="1" applyBorder="1" applyProtection="1">
      <protection locked="0"/>
    </xf>
    <xf numFmtId="1" fontId="18" fillId="0" borderId="64" xfId="0" applyNumberFormat="1" applyFont="1" applyBorder="1" applyProtection="1">
      <protection locked="0"/>
    </xf>
    <xf numFmtId="171" fontId="18" fillId="0" borderId="33" xfId="0" applyNumberFormat="1" applyFont="1" applyBorder="1" applyProtection="1">
      <protection locked="0"/>
    </xf>
    <xf numFmtId="170" fontId="18" fillId="0" borderId="33" xfId="0" applyNumberFormat="1" applyFont="1" applyBorder="1" applyProtection="1">
      <protection locked="0"/>
    </xf>
    <xf numFmtId="2" fontId="18" fillId="0" borderId="64" xfId="0" applyNumberFormat="1" applyFont="1" applyBorder="1" applyProtection="1">
      <protection locked="0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8.xml"/><Relationship Id="rId39" Type="http://schemas.openxmlformats.org/officeDocument/2006/relationships/chartsheet" Target="chartsheets/sheet21.xml"/><Relationship Id="rId21" Type="http://schemas.openxmlformats.org/officeDocument/2006/relationships/chartsheet" Target="chartsheets/sheet3.xml"/><Relationship Id="rId34" Type="http://schemas.openxmlformats.org/officeDocument/2006/relationships/chartsheet" Target="chartsheets/sheet16.xml"/><Relationship Id="rId42" Type="http://schemas.openxmlformats.org/officeDocument/2006/relationships/chartsheet" Target="chartsheets/sheet24.xml"/><Relationship Id="rId47" Type="http://schemas.openxmlformats.org/officeDocument/2006/relationships/chartsheet" Target="chartsheets/sheet29.xml"/><Relationship Id="rId50" Type="http://schemas.openxmlformats.org/officeDocument/2006/relationships/chartsheet" Target="chartsheets/sheet32.xml"/><Relationship Id="rId55" Type="http://schemas.openxmlformats.org/officeDocument/2006/relationships/chartsheet" Target="chartsheets/sheet37.xml"/><Relationship Id="rId63" Type="http://schemas.openxmlformats.org/officeDocument/2006/relationships/chartsheet" Target="chartsheets/sheet45.xml"/><Relationship Id="rId68" Type="http://schemas.openxmlformats.org/officeDocument/2006/relationships/chartsheet" Target="chartsheets/sheet50.xml"/><Relationship Id="rId76" Type="http://schemas.openxmlformats.org/officeDocument/2006/relationships/externalLink" Target="externalLinks/externalLink6.xml"/><Relationship Id="rId84" Type="http://schemas.openxmlformats.org/officeDocument/2006/relationships/externalLink" Target="externalLinks/externalLink14.xml"/><Relationship Id="rId89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hartsheet" Target="chartsheets/sheet11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6.xml"/><Relationship Id="rId32" Type="http://schemas.openxmlformats.org/officeDocument/2006/relationships/chartsheet" Target="chartsheets/sheet14.xml"/><Relationship Id="rId37" Type="http://schemas.openxmlformats.org/officeDocument/2006/relationships/chartsheet" Target="chartsheets/sheet19.xml"/><Relationship Id="rId40" Type="http://schemas.openxmlformats.org/officeDocument/2006/relationships/chartsheet" Target="chartsheets/sheet22.xml"/><Relationship Id="rId45" Type="http://schemas.openxmlformats.org/officeDocument/2006/relationships/chartsheet" Target="chartsheets/sheet27.xml"/><Relationship Id="rId53" Type="http://schemas.openxmlformats.org/officeDocument/2006/relationships/chartsheet" Target="chartsheets/sheet35.xml"/><Relationship Id="rId58" Type="http://schemas.openxmlformats.org/officeDocument/2006/relationships/chartsheet" Target="chartsheets/sheet40.xml"/><Relationship Id="rId66" Type="http://schemas.openxmlformats.org/officeDocument/2006/relationships/chartsheet" Target="chartsheets/sheet48.xml"/><Relationship Id="rId74" Type="http://schemas.openxmlformats.org/officeDocument/2006/relationships/externalLink" Target="externalLinks/externalLink4.xml"/><Relationship Id="rId79" Type="http://schemas.openxmlformats.org/officeDocument/2006/relationships/externalLink" Target="externalLinks/externalLink9.xml"/><Relationship Id="rId87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43.xml"/><Relationship Id="rId82" Type="http://schemas.openxmlformats.org/officeDocument/2006/relationships/externalLink" Target="externalLinks/externalLink12.xml"/><Relationship Id="rId90" Type="http://schemas.openxmlformats.org/officeDocument/2006/relationships/externalLink" Target="externalLinks/externalLink20.xml"/><Relationship Id="rId95" Type="http://schemas.openxmlformats.org/officeDocument/2006/relationships/calcChain" Target="calcChain.xml"/><Relationship Id="rId19" Type="http://schemas.openxmlformats.org/officeDocument/2006/relationships/chartsheet" Target="chartsheets/sheet1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4.xml"/><Relationship Id="rId27" Type="http://schemas.openxmlformats.org/officeDocument/2006/relationships/chartsheet" Target="chartsheets/sheet9.xml"/><Relationship Id="rId30" Type="http://schemas.openxmlformats.org/officeDocument/2006/relationships/chartsheet" Target="chartsheets/sheet12.xml"/><Relationship Id="rId35" Type="http://schemas.openxmlformats.org/officeDocument/2006/relationships/chartsheet" Target="chartsheets/sheet17.xml"/><Relationship Id="rId43" Type="http://schemas.openxmlformats.org/officeDocument/2006/relationships/chartsheet" Target="chartsheets/sheet25.xml"/><Relationship Id="rId48" Type="http://schemas.openxmlformats.org/officeDocument/2006/relationships/chartsheet" Target="chartsheets/sheet30.xml"/><Relationship Id="rId56" Type="http://schemas.openxmlformats.org/officeDocument/2006/relationships/chartsheet" Target="chartsheets/sheet38.xml"/><Relationship Id="rId64" Type="http://schemas.openxmlformats.org/officeDocument/2006/relationships/chartsheet" Target="chartsheets/sheet46.xml"/><Relationship Id="rId69" Type="http://schemas.openxmlformats.org/officeDocument/2006/relationships/chartsheet" Target="chartsheets/sheet51.xml"/><Relationship Id="rId77" Type="http://schemas.openxmlformats.org/officeDocument/2006/relationships/externalLink" Target="externalLinks/externalLink7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33.xml"/><Relationship Id="rId72" Type="http://schemas.openxmlformats.org/officeDocument/2006/relationships/externalLink" Target="externalLinks/externalLink2.xml"/><Relationship Id="rId80" Type="http://schemas.openxmlformats.org/officeDocument/2006/relationships/externalLink" Target="externalLinks/externalLink10.xml"/><Relationship Id="rId85" Type="http://schemas.openxmlformats.org/officeDocument/2006/relationships/externalLink" Target="externalLinks/externalLink1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7.xml"/><Relationship Id="rId33" Type="http://schemas.openxmlformats.org/officeDocument/2006/relationships/chartsheet" Target="chartsheets/sheet15.xml"/><Relationship Id="rId38" Type="http://schemas.openxmlformats.org/officeDocument/2006/relationships/chartsheet" Target="chartsheets/sheet20.xml"/><Relationship Id="rId46" Type="http://schemas.openxmlformats.org/officeDocument/2006/relationships/chartsheet" Target="chartsheets/sheet28.xml"/><Relationship Id="rId59" Type="http://schemas.openxmlformats.org/officeDocument/2006/relationships/chartsheet" Target="chartsheets/sheet41.xml"/><Relationship Id="rId67" Type="http://schemas.openxmlformats.org/officeDocument/2006/relationships/chartsheet" Target="chartsheets/sheet49.xml"/><Relationship Id="rId20" Type="http://schemas.openxmlformats.org/officeDocument/2006/relationships/chartsheet" Target="chartsheets/sheet2.xml"/><Relationship Id="rId41" Type="http://schemas.openxmlformats.org/officeDocument/2006/relationships/chartsheet" Target="chartsheets/sheet23.xml"/><Relationship Id="rId54" Type="http://schemas.openxmlformats.org/officeDocument/2006/relationships/chartsheet" Target="chartsheets/sheet36.xml"/><Relationship Id="rId62" Type="http://schemas.openxmlformats.org/officeDocument/2006/relationships/chartsheet" Target="chartsheets/sheet44.xml"/><Relationship Id="rId70" Type="http://schemas.openxmlformats.org/officeDocument/2006/relationships/chartsheet" Target="chartsheets/sheet52.xml"/><Relationship Id="rId75" Type="http://schemas.openxmlformats.org/officeDocument/2006/relationships/externalLink" Target="externalLinks/externalLink5.xml"/><Relationship Id="rId83" Type="http://schemas.openxmlformats.org/officeDocument/2006/relationships/externalLink" Target="externalLinks/externalLink13.xml"/><Relationship Id="rId88" Type="http://schemas.openxmlformats.org/officeDocument/2006/relationships/externalLink" Target="externalLinks/externalLink18.xml"/><Relationship Id="rId91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5.xml"/><Relationship Id="rId28" Type="http://schemas.openxmlformats.org/officeDocument/2006/relationships/chartsheet" Target="chartsheets/sheet10.xml"/><Relationship Id="rId36" Type="http://schemas.openxmlformats.org/officeDocument/2006/relationships/chartsheet" Target="chartsheets/sheet18.xml"/><Relationship Id="rId49" Type="http://schemas.openxmlformats.org/officeDocument/2006/relationships/chartsheet" Target="chartsheets/sheet31.xml"/><Relationship Id="rId57" Type="http://schemas.openxmlformats.org/officeDocument/2006/relationships/chartsheet" Target="chartsheets/sheet39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3.xml"/><Relationship Id="rId44" Type="http://schemas.openxmlformats.org/officeDocument/2006/relationships/chartsheet" Target="chartsheets/sheet26.xml"/><Relationship Id="rId52" Type="http://schemas.openxmlformats.org/officeDocument/2006/relationships/chartsheet" Target="chartsheets/sheet34.xml"/><Relationship Id="rId60" Type="http://schemas.openxmlformats.org/officeDocument/2006/relationships/chartsheet" Target="chartsheets/sheet42.xml"/><Relationship Id="rId65" Type="http://schemas.openxmlformats.org/officeDocument/2006/relationships/chartsheet" Target="chartsheets/sheet47.xml"/><Relationship Id="rId73" Type="http://schemas.openxmlformats.org/officeDocument/2006/relationships/externalLink" Target="externalLinks/externalLink3.xml"/><Relationship Id="rId78" Type="http://schemas.openxmlformats.org/officeDocument/2006/relationships/externalLink" Target="externalLinks/externalLink8.xml"/><Relationship Id="rId81" Type="http://schemas.openxmlformats.org/officeDocument/2006/relationships/externalLink" Target="externalLinks/externalLink11.xml"/><Relationship Id="rId86" Type="http://schemas.openxmlformats.org/officeDocument/2006/relationships/externalLink" Target="externalLinks/externalLink1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0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42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43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44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0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ARD%20Results%20E300OUT2-Round%205-Revised-NewCurv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1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2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2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25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3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10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4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545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2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3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4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5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36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40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4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00"/>
    </sheetNames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420"/>
    </sheetNames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430"/>
    </sheetNames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440"/>
    </sheetNames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00"/>
    </sheet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P2 Calcs"/>
    </sheetNames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10"/>
    </sheetNames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20"/>
    </sheetNames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22"/>
    </sheetNames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25"/>
    </sheetNames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30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10"/>
    </sheetNames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40"/>
    </sheetNames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54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20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30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40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50"/>
    </sheetNames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360"/>
    </sheetNames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400"/>
    </sheet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410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N2137"/>
  <sheetViews>
    <sheetView defaultGridColor="0" topLeftCell="A63" colorId="22" zoomScale="75" workbookViewId="0">
      <selection activeCell="E78" sqref="E78"/>
    </sheetView>
  </sheetViews>
  <sheetFormatPr defaultColWidth="9.6640625" defaultRowHeight="15"/>
  <cols>
    <col min="1" max="1" width="13.109375" customWidth="1"/>
    <col min="2" max="3" width="10.33203125" bestFit="1" customWidth="1"/>
    <col min="4" max="4" width="14.109375" bestFit="1" customWidth="1"/>
    <col min="5" max="5" width="10.6640625" customWidth="1"/>
    <col min="6" max="7" width="9.77734375" bestFit="1" customWidth="1"/>
    <col min="15" max="15" width="7.88671875" customWidth="1"/>
    <col min="16" max="16" width="5.6640625" customWidth="1"/>
  </cols>
  <sheetData>
    <row r="1" spans="1:28">
      <c r="A1" t="s">
        <v>490</v>
      </c>
      <c r="G1" t="s">
        <v>0</v>
      </c>
    </row>
    <row r="2" spans="1:28">
      <c r="A2" t="s">
        <v>1</v>
      </c>
      <c r="G2" t="s">
        <v>505</v>
      </c>
    </row>
    <row r="3" spans="1:28" ht="15.75">
      <c r="A3" s="58" t="s">
        <v>535</v>
      </c>
      <c r="G3" s="2" t="s">
        <v>532</v>
      </c>
    </row>
    <row r="4" spans="1:28" ht="18.75">
      <c r="A4" s="709"/>
      <c r="B4" s="710"/>
      <c r="C4" s="711"/>
      <c r="D4" s="711"/>
      <c r="E4" s="711"/>
      <c r="F4" s="2"/>
      <c r="G4" s="2" t="s">
        <v>529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>
      <c r="A5" s="58" t="s">
        <v>316</v>
      </c>
      <c r="G5" s="2" t="s">
        <v>530</v>
      </c>
    </row>
    <row r="6" spans="1:28">
      <c r="A6" t="s">
        <v>488</v>
      </c>
      <c r="G6" s="2" t="s">
        <v>531</v>
      </c>
    </row>
    <row r="7" spans="1:28">
      <c r="G7" s="2" t="s">
        <v>506</v>
      </c>
    </row>
    <row r="8" spans="1:28">
      <c r="A8" t="s">
        <v>489</v>
      </c>
    </row>
    <row r="10" spans="1:28">
      <c r="A10" t="s">
        <v>491</v>
      </c>
    </row>
    <row r="12" spans="1:28">
      <c r="A12" t="s">
        <v>492</v>
      </c>
    </row>
    <row r="13" spans="1:28">
      <c r="A13" t="s">
        <v>495</v>
      </c>
    </row>
    <row r="14" spans="1:28">
      <c r="A14" t="s">
        <v>496</v>
      </c>
    </row>
    <row r="15" spans="1:28">
      <c r="A15" t="s">
        <v>493</v>
      </c>
    </row>
    <row r="16" spans="1:28">
      <c r="A16" t="s">
        <v>494</v>
      </c>
    </row>
    <row r="18" spans="1:5">
      <c r="A18" s="670"/>
    </row>
    <row r="20" spans="1:5" ht="15.75">
      <c r="A20" s="58" t="s">
        <v>272</v>
      </c>
    </row>
    <row r="22" spans="1:5">
      <c r="A22" t="s">
        <v>528</v>
      </c>
    </row>
    <row r="23" spans="1:5">
      <c r="A23" t="s">
        <v>502</v>
      </c>
    </row>
    <row r="24" spans="1:5">
      <c r="A24" s="509" t="s">
        <v>542</v>
      </c>
      <c r="B24" s="509"/>
      <c r="C24" s="509"/>
      <c r="D24" s="509"/>
      <c r="E24" s="509"/>
    </row>
    <row r="25" spans="1:5">
      <c r="A25" s="509" t="s">
        <v>541</v>
      </c>
      <c r="B25" s="509"/>
      <c r="C25" s="509"/>
      <c r="D25" s="509"/>
      <c r="E25" s="509"/>
    </row>
    <row r="26" spans="1:5">
      <c r="A26" t="s">
        <v>503</v>
      </c>
    </row>
    <row r="27" spans="1:5">
      <c r="A27" t="s">
        <v>504</v>
      </c>
    </row>
    <row r="28" spans="1:5">
      <c r="A28" s="509" t="s">
        <v>540</v>
      </c>
      <c r="B28" s="509"/>
      <c r="C28" s="509"/>
    </row>
    <row r="29" spans="1:5">
      <c r="A29" t="s">
        <v>510</v>
      </c>
    </row>
    <row r="30" spans="1:5">
      <c r="A30" t="s">
        <v>514</v>
      </c>
    </row>
    <row r="32" spans="1:5">
      <c r="A32" t="s">
        <v>497</v>
      </c>
    </row>
    <row r="33" spans="1:8">
      <c r="A33" t="s">
        <v>498</v>
      </c>
    </row>
    <row r="34" spans="1:8">
      <c r="A34" s="509" t="s">
        <v>534</v>
      </c>
      <c r="B34" s="509"/>
      <c r="C34" s="509"/>
      <c r="D34" s="509"/>
      <c r="E34" s="509"/>
      <c r="F34" s="509"/>
      <c r="G34" s="509"/>
      <c r="H34" s="509"/>
    </row>
    <row r="35" spans="1:8">
      <c r="A35" t="s">
        <v>499</v>
      </c>
    </row>
    <row r="37" spans="1:8">
      <c r="A37" t="s">
        <v>500</v>
      </c>
    </row>
    <row r="38" spans="1:8">
      <c r="A38" t="s">
        <v>501</v>
      </c>
    </row>
    <row r="39" spans="1:8">
      <c r="A39" t="s">
        <v>511</v>
      </c>
    </row>
    <row r="40" spans="1:8">
      <c r="A40" t="s">
        <v>512</v>
      </c>
    </row>
    <row r="42" spans="1:8">
      <c r="A42" t="s">
        <v>513</v>
      </c>
    </row>
    <row r="43" spans="1:8">
      <c r="A43" s="708"/>
      <c r="B43" s="509"/>
      <c r="C43" s="509"/>
      <c r="D43" s="509"/>
      <c r="E43" s="509"/>
      <c r="F43" s="509"/>
    </row>
    <row r="54" spans="1:34">
      <c r="B54" s="36"/>
    </row>
    <row r="56" spans="1:34">
      <c r="A56" s="41"/>
      <c r="B56" s="41"/>
      <c r="C56" s="42"/>
      <c r="D56" s="42" t="s">
        <v>80</v>
      </c>
      <c r="E56" s="42"/>
      <c r="F56" s="42"/>
      <c r="G56" s="42"/>
      <c r="H56" s="42"/>
      <c r="I56" s="41" t="s">
        <v>81</v>
      </c>
      <c r="J56" s="42"/>
      <c r="K56" s="42"/>
      <c r="L56" s="42"/>
      <c r="M56" s="41" t="s">
        <v>357</v>
      </c>
      <c r="N56" s="43"/>
      <c r="O56" s="42"/>
      <c r="P56" s="41"/>
      <c r="Q56" s="41" t="s">
        <v>358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3"/>
      <c r="AC56" s="41"/>
      <c r="AD56" s="42" t="s">
        <v>359</v>
      </c>
      <c r="AE56" s="42"/>
      <c r="AF56" s="42"/>
      <c r="AG56" s="42"/>
      <c r="AH56" s="43"/>
    </row>
    <row r="57" spans="1:34">
      <c r="A57" s="44"/>
      <c r="B57" s="45"/>
      <c r="C57" s="46"/>
      <c r="D57" s="46"/>
      <c r="E57" s="46"/>
      <c r="F57" s="46"/>
      <c r="G57" s="46"/>
      <c r="H57" s="46"/>
      <c r="I57" s="45"/>
      <c r="J57" s="46"/>
      <c r="K57" s="46"/>
      <c r="L57" s="46"/>
      <c r="M57" s="45" t="s">
        <v>360</v>
      </c>
      <c r="N57" s="47"/>
      <c r="O57" s="120"/>
      <c r="P57" s="44"/>
      <c r="Q57" s="45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7"/>
      <c r="AC57" s="45"/>
      <c r="AD57" s="46"/>
      <c r="AE57" s="46"/>
      <c r="AF57" s="46"/>
      <c r="AG57" s="46"/>
      <c r="AH57" s="47"/>
    </row>
    <row r="58" spans="1:34">
      <c r="A58" s="44"/>
      <c r="B58" s="44"/>
      <c r="C58" s="120"/>
      <c r="D58" s="120"/>
      <c r="E58" s="120"/>
      <c r="F58" s="120"/>
      <c r="G58" s="120"/>
      <c r="H58" s="120"/>
      <c r="I58" s="44"/>
      <c r="J58" s="120"/>
      <c r="K58" s="252" t="s">
        <v>361</v>
      </c>
      <c r="L58" s="252" t="s">
        <v>361</v>
      </c>
      <c r="M58" s="44"/>
      <c r="N58" s="50" t="s">
        <v>362</v>
      </c>
      <c r="O58" s="49"/>
      <c r="P58" s="44"/>
      <c r="Q58" s="41"/>
      <c r="R58" s="42"/>
      <c r="S58" s="43"/>
      <c r="T58" s="120"/>
      <c r="U58" s="120"/>
      <c r="V58" s="120"/>
      <c r="W58" s="120"/>
      <c r="X58" s="120"/>
      <c r="Y58" s="120"/>
      <c r="Z58" s="120"/>
      <c r="AA58" s="120"/>
      <c r="AB58" s="48"/>
      <c r="AD58" t="s">
        <v>363</v>
      </c>
      <c r="AH58" s="43"/>
    </row>
    <row r="59" spans="1:34">
      <c r="A59" s="44"/>
      <c r="B59" s="44" t="s">
        <v>364</v>
      </c>
      <c r="C59" s="120"/>
      <c r="F59" s="44" t="s">
        <v>365</v>
      </c>
      <c r="G59" s="120"/>
      <c r="I59" s="44"/>
      <c r="K59" s="49" t="s">
        <v>2</v>
      </c>
      <c r="L59" s="49" t="s">
        <v>82</v>
      </c>
      <c r="M59" s="44"/>
      <c r="N59" s="50" t="s">
        <v>2</v>
      </c>
      <c r="O59" s="49"/>
      <c r="P59" s="44"/>
      <c r="Q59" s="253" t="s">
        <v>366</v>
      </c>
      <c r="R59" s="120"/>
      <c r="S59" s="48"/>
      <c r="T59" s="120"/>
      <c r="V59" t="s">
        <v>83</v>
      </c>
      <c r="AB59" s="48"/>
      <c r="AE59" s="48"/>
      <c r="AH59" s="48"/>
    </row>
    <row r="60" spans="1:34">
      <c r="A60" s="44" t="s">
        <v>3</v>
      </c>
      <c r="B60" s="51" t="s">
        <v>4</v>
      </c>
      <c r="C60" s="252" t="s">
        <v>5</v>
      </c>
      <c r="D60" s="49" t="s">
        <v>84</v>
      </c>
      <c r="E60" s="49" t="s">
        <v>85</v>
      </c>
      <c r="F60" s="51" t="s">
        <v>4</v>
      </c>
      <c r="G60" s="252" t="s">
        <v>6</v>
      </c>
      <c r="H60" s="49" t="s">
        <v>7</v>
      </c>
      <c r="I60" s="51" t="s">
        <v>86</v>
      </c>
      <c r="J60" s="49" t="s">
        <v>8</v>
      </c>
      <c r="K60" s="49" t="s">
        <v>9</v>
      </c>
      <c r="L60" s="49" t="s">
        <v>2</v>
      </c>
      <c r="M60" s="51" t="s">
        <v>151</v>
      </c>
      <c r="N60" s="50" t="s">
        <v>9</v>
      </c>
      <c r="O60" s="49"/>
      <c r="P60" s="44" t="s">
        <v>3</v>
      </c>
      <c r="Q60" s="44" t="s">
        <v>87</v>
      </c>
      <c r="T60" s="44"/>
      <c r="U60" s="49" t="s">
        <v>6</v>
      </c>
      <c r="W60" s="44"/>
      <c r="X60" s="49" t="s">
        <v>7</v>
      </c>
      <c r="Z60" s="44" t="s">
        <v>88</v>
      </c>
      <c r="AB60" s="48"/>
      <c r="AD60" t="s">
        <v>367</v>
      </c>
      <c r="AE60" s="48"/>
      <c r="AF60" t="s">
        <v>368</v>
      </c>
      <c r="AH60" s="48"/>
    </row>
    <row r="61" spans="1:34">
      <c r="A61" s="45"/>
      <c r="B61" s="52" t="s">
        <v>10</v>
      </c>
      <c r="C61" s="53" t="s">
        <v>10</v>
      </c>
      <c r="D61" s="53" t="s">
        <v>10</v>
      </c>
      <c r="E61" s="53" t="s">
        <v>10</v>
      </c>
      <c r="F61" s="52" t="s">
        <v>10</v>
      </c>
      <c r="G61" s="53" t="s">
        <v>10</v>
      </c>
      <c r="H61" s="53" t="s">
        <v>10</v>
      </c>
      <c r="I61" s="45"/>
      <c r="J61" s="53" t="s">
        <v>11</v>
      </c>
      <c r="K61" s="53" t="s">
        <v>22</v>
      </c>
      <c r="L61" s="53" t="s">
        <v>89</v>
      </c>
      <c r="M61" s="52" t="s">
        <v>11</v>
      </c>
      <c r="N61" s="54" t="s">
        <v>22</v>
      </c>
      <c r="O61" s="53"/>
      <c r="P61" s="45"/>
      <c r="Q61" s="52" t="s">
        <v>90</v>
      </c>
      <c r="R61" s="53" t="s">
        <v>77</v>
      </c>
      <c r="S61" s="53" t="s">
        <v>78</v>
      </c>
      <c r="T61" s="52" t="s">
        <v>90</v>
      </c>
      <c r="U61" s="53" t="s">
        <v>77</v>
      </c>
      <c r="V61" s="53" t="s">
        <v>78</v>
      </c>
      <c r="W61" s="52" t="s">
        <v>90</v>
      </c>
      <c r="X61" s="53" t="s">
        <v>77</v>
      </c>
      <c r="Y61" s="53" t="s">
        <v>78</v>
      </c>
      <c r="Z61" s="52" t="s">
        <v>90</v>
      </c>
      <c r="AA61" s="53" t="s">
        <v>77</v>
      </c>
      <c r="AB61" s="54" t="s">
        <v>78</v>
      </c>
      <c r="AC61" s="52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34" ht="15.75">
      <c r="A62" s="44" t="s">
        <v>91</v>
      </c>
      <c r="B62" s="3" t="str">
        <f t="shared" ref="B62:N77" ca="1" si="0">ADDRESS(CELL("row",$A62),CELL("col",B$1),4,TRUE)</f>
        <v>B62</v>
      </c>
      <c r="C62" s="36" t="str">
        <f t="shared" ca="1" si="0"/>
        <v>C62</v>
      </c>
      <c r="D62" s="36" t="str">
        <f t="shared" ca="1" si="0"/>
        <v>D62</v>
      </c>
      <c r="E62" s="36" t="str">
        <f t="shared" ca="1" si="0"/>
        <v>E62</v>
      </c>
      <c r="F62" s="3" t="str">
        <f t="shared" ca="1" si="0"/>
        <v>F62</v>
      </c>
      <c r="G62" s="36" t="str">
        <f ca="1">ADDRESS(CELL("row",$A62),CELL("col",G$1),4,TRUE)</f>
        <v>G62</v>
      </c>
      <c r="H62" s="36" t="str">
        <f t="shared" ca="1" si="0"/>
        <v>H62</v>
      </c>
      <c r="I62" s="3" t="str">
        <f t="shared" ref="I62:I82" ca="1" si="1">ADDRESS(CELL("row",$A62),CELL("col",I$1),4,TRUE)</f>
        <v>I62</v>
      </c>
      <c r="J62" s="36" t="str">
        <f t="shared" ca="1" si="0"/>
        <v>J62</v>
      </c>
      <c r="K62" s="36" t="str">
        <f t="shared" ca="1" si="0"/>
        <v>K62</v>
      </c>
      <c r="L62" s="36" t="str">
        <f t="shared" ca="1" si="0"/>
        <v>L62</v>
      </c>
      <c r="M62" s="264" t="str">
        <f t="shared" ca="1" si="0"/>
        <v>M62</v>
      </c>
      <c r="N62" s="57" t="str">
        <f t="shared" ca="1" si="0"/>
        <v>N62</v>
      </c>
      <c r="O62" s="97"/>
      <c r="P62" s="44" t="s">
        <v>91</v>
      </c>
      <c r="Q62" s="3" t="str">
        <f t="shared" ref="Q62:AH77" ca="1" si="2">ADDRESS(CELL("row",$A62),CELL("col",Q$1),4,TRUE)</f>
        <v>Q62</v>
      </c>
      <c r="R62" s="265" t="str">
        <f t="shared" ca="1" si="2"/>
        <v>R62</v>
      </c>
      <c r="S62" s="265" t="str">
        <f t="shared" ca="1" si="2"/>
        <v>S62</v>
      </c>
      <c r="T62" s="3" t="str">
        <f t="shared" ca="1" si="2"/>
        <v>T62</v>
      </c>
      <c r="U62" s="265" t="str">
        <f t="shared" ca="1" si="2"/>
        <v>U62</v>
      </c>
      <c r="V62" s="265" t="str">
        <f t="shared" ca="1" si="2"/>
        <v>V62</v>
      </c>
      <c r="W62" s="3" t="str">
        <f t="shared" ca="1" si="2"/>
        <v>W62</v>
      </c>
      <c r="X62" s="265" t="str">
        <f t="shared" ca="1" si="2"/>
        <v>X62</v>
      </c>
      <c r="Y62" s="265" t="str">
        <f t="shared" ca="1" si="2"/>
        <v>Y62</v>
      </c>
      <c r="Z62" s="3" t="str">
        <f t="shared" ca="1" si="2"/>
        <v>Z62</v>
      </c>
      <c r="AA62" s="265" t="str">
        <f t="shared" ca="1" si="2"/>
        <v>AA62</v>
      </c>
      <c r="AB62" s="265" t="str">
        <f t="shared" ca="1" si="2"/>
        <v>AB62</v>
      </c>
      <c r="AC62" s="264" t="str">
        <f t="shared" ca="1" si="2"/>
        <v>AC62</v>
      </c>
      <c r="AD62" s="56" t="str">
        <f t="shared" ca="1" si="2"/>
        <v>AD62</v>
      </c>
      <c r="AE62" s="56" t="str">
        <f t="shared" ca="1" si="2"/>
        <v>AE62</v>
      </c>
      <c r="AF62" s="264" t="str">
        <f t="shared" ca="1" si="2"/>
        <v>AF62</v>
      </c>
      <c r="AG62" s="56" t="str">
        <f t="shared" ca="1" si="2"/>
        <v>AG62</v>
      </c>
      <c r="AH62" s="57" t="str">
        <f t="shared" ca="1" si="2"/>
        <v>AH62</v>
      </c>
    </row>
    <row r="63" spans="1:34" ht="15.75">
      <c r="A63" s="44" t="s">
        <v>96</v>
      </c>
      <c r="B63" s="5" t="str">
        <f t="shared" ca="1" si="0"/>
        <v>B63</v>
      </c>
      <c r="C63" s="36" t="str">
        <f t="shared" ca="1" si="0"/>
        <v>C63</v>
      </c>
      <c r="D63" s="36" t="str">
        <f t="shared" ca="1" si="0"/>
        <v>D63</v>
      </c>
      <c r="E63" s="36" t="str">
        <f t="shared" ca="1" si="0"/>
        <v>E63</v>
      </c>
      <c r="F63" s="5" t="str">
        <f t="shared" ca="1" si="0"/>
        <v>F63</v>
      </c>
      <c r="G63" s="36" t="str">
        <f t="shared" ca="1" si="0"/>
        <v>G63</v>
      </c>
      <c r="H63" s="36" t="str">
        <f t="shared" ca="1" si="0"/>
        <v>H63</v>
      </c>
      <c r="I63" s="5" t="str">
        <f t="shared" ca="1" si="1"/>
        <v>I63</v>
      </c>
      <c r="J63" s="36" t="str">
        <f t="shared" ca="1" si="0"/>
        <v>J63</v>
      </c>
      <c r="K63" s="36" t="str">
        <f t="shared" ca="1" si="0"/>
        <v>K63</v>
      </c>
      <c r="L63" s="36" t="str">
        <f t="shared" ca="1" si="0"/>
        <v>L63</v>
      </c>
      <c r="M63" s="74"/>
      <c r="N63" s="60"/>
      <c r="O63" s="60"/>
      <c r="P63" s="44" t="s">
        <v>96</v>
      </c>
      <c r="Q63" s="5" t="str">
        <f t="shared" ca="1" si="2"/>
        <v>Q63</v>
      </c>
      <c r="R63" s="36" t="str">
        <f t="shared" ca="1" si="2"/>
        <v>R63</v>
      </c>
      <c r="S63" s="36" t="str">
        <f t="shared" ca="1" si="2"/>
        <v>S63</v>
      </c>
      <c r="T63" s="5" t="str">
        <f t="shared" ca="1" si="2"/>
        <v>T63</v>
      </c>
      <c r="U63" s="36" t="str">
        <f t="shared" ca="1" si="2"/>
        <v>U63</v>
      </c>
      <c r="V63" s="36" t="str">
        <f t="shared" ca="1" si="2"/>
        <v>V63</v>
      </c>
      <c r="W63" s="5" t="str">
        <f t="shared" ca="1" si="2"/>
        <v>W63</v>
      </c>
      <c r="X63" s="36" t="str">
        <f t="shared" ca="1" si="2"/>
        <v>X63</v>
      </c>
      <c r="Y63" s="36" t="str">
        <f t="shared" ca="1" si="2"/>
        <v>Y63</v>
      </c>
      <c r="Z63" s="5" t="str">
        <f t="shared" ca="1" si="2"/>
        <v>Z63</v>
      </c>
      <c r="AA63" s="36" t="str">
        <f t="shared" ca="1" si="2"/>
        <v>AA63</v>
      </c>
      <c r="AB63" s="9" t="str">
        <f t="shared" ca="1" si="2"/>
        <v>AB63</v>
      </c>
    </row>
    <row r="64" spans="1:34" ht="15.75">
      <c r="A64" s="44" t="s">
        <v>98</v>
      </c>
      <c r="B64" s="5" t="str">
        <f t="shared" ca="1" si="0"/>
        <v>B64</v>
      </c>
      <c r="C64" s="36" t="str">
        <f t="shared" ca="1" si="0"/>
        <v>C64</v>
      </c>
      <c r="D64" s="36" t="str">
        <f t="shared" ca="1" si="0"/>
        <v>D64</v>
      </c>
      <c r="E64" s="36" t="str">
        <f t="shared" ca="1" si="0"/>
        <v>E64</v>
      </c>
      <c r="F64" s="5" t="str">
        <f t="shared" ca="1" si="0"/>
        <v>F64</v>
      </c>
      <c r="G64" s="36" t="str">
        <f t="shared" ca="1" si="0"/>
        <v>G64</v>
      </c>
      <c r="H64" s="36" t="str">
        <f t="shared" ca="1" si="0"/>
        <v>H64</v>
      </c>
      <c r="I64" s="5" t="str">
        <f t="shared" ca="1" si="1"/>
        <v>I64</v>
      </c>
      <c r="J64" s="36" t="str">
        <f t="shared" ca="1" si="0"/>
        <v>J64</v>
      </c>
      <c r="K64" s="36" t="str">
        <f t="shared" ca="1" si="0"/>
        <v>K64</v>
      </c>
      <c r="L64" s="36" t="str">
        <f t="shared" ca="1" si="0"/>
        <v>L64</v>
      </c>
      <c r="M64" s="74"/>
      <c r="N64" s="60"/>
      <c r="O64" s="60"/>
      <c r="P64" s="44" t="s">
        <v>98</v>
      </c>
      <c r="Q64" s="5" t="str">
        <f t="shared" ca="1" si="2"/>
        <v>Q64</v>
      </c>
      <c r="R64" s="36" t="str">
        <f t="shared" ca="1" si="2"/>
        <v>R64</v>
      </c>
      <c r="S64" s="36" t="str">
        <f t="shared" ca="1" si="2"/>
        <v>S64</v>
      </c>
      <c r="T64" s="5" t="str">
        <f t="shared" ca="1" si="2"/>
        <v>T64</v>
      </c>
      <c r="U64" s="36" t="str">
        <f t="shared" ca="1" si="2"/>
        <v>U64</v>
      </c>
      <c r="V64" s="36" t="str">
        <f t="shared" ca="1" si="2"/>
        <v>V64</v>
      </c>
      <c r="W64" s="5" t="str">
        <f t="shared" ca="1" si="2"/>
        <v>W64</v>
      </c>
      <c r="X64" s="36" t="str">
        <f t="shared" ca="1" si="2"/>
        <v>X64</v>
      </c>
      <c r="Y64" s="36" t="str">
        <f t="shared" ca="1" si="2"/>
        <v>Y64</v>
      </c>
      <c r="Z64" s="5" t="str">
        <f t="shared" ca="1" si="2"/>
        <v>Z64</v>
      </c>
      <c r="AA64" s="36" t="str">
        <f t="shared" ca="1" si="2"/>
        <v>AA64</v>
      </c>
      <c r="AB64" s="9" t="str">
        <f t="shared" ca="1" si="2"/>
        <v>AB64</v>
      </c>
    </row>
    <row r="65" spans="1:28" ht="15.75">
      <c r="A65" s="44" t="s">
        <v>102</v>
      </c>
      <c r="B65" s="5" t="str">
        <f t="shared" ca="1" si="0"/>
        <v>B65</v>
      </c>
      <c r="C65" s="36" t="str">
        <f t="shared" ca="1" si="0"/>
        <v>C65</v>
      </c>
      <c r="D65" s="36" t="str">
        <f t="shared" ca="1" si="0"/>
        <v>D65</v>
      </c>
      <c r="E65" s="36" t="str">
        <f t="shared" ca="1" si="0"/>
        <v>E65</v>
      </c>
      <c r="F65" s="5" t="str">
        <f t="shared" ca="1" si="0"/>
        <v>F65</v>
      </c>
      <c r="G65" s="36" t="str">
        <f t="shared" ca="1" si="0"/>
        <v>G65</v>
      </c>
      <c r="H65" s="36" t="str">
        <f t="shared" ca="1" si="0"/>
        <v>H65</v>
      </c>
      <c r="I65" s="5" t="str">
        <f t="shared" ca="1" si="1"/>
        <v>I65</v>
      </c>
      <c r="J65" s="36" t="str">
        <f t="shared" ca="1" si="0"/>
        <v>J65</v>
      </c>
      <c r="K65" s="36" t="str">
        <f t="shared" ca="1" si="0"/>
        <v>K65</v>
      </c>
      <c r="L65" s="36" t="str">
        <f t="shared" ca="1" si="0"/>
        <v>L65</v>
      </c>
      <c r="M65" s="74"/>
      <c r="N65" s="60"/>
      <c r="O65" s="60"/>
      <c r="P65" s="44" t="s">
        <v>102</v>
      </c>
      <c r="Q65" s="5" t="str">
        <f t="shared" ca="1" si="2"/>
        <v>Q65</v>
      </c>
      <c r="R65" s="36" t="str">
        <f t="shared" ca="1" si="2"/>
        <v>R65</v>
      </c>
      <c r="S65" s="36" t="str">
        <f t="shared" ca="1" si="2"/>
        <v>S65</v>
      </c>
      <c r="T65" s="5" t="str">
        <f t="shared" ca="1" si="2"/>
        <v>T65</v>
      </c>
      <c r="U65" s="36" t="str">
        <f t="shared" ca="1" si="2"/>
        <v>U65</v>
      </c>
      <c r="V65" s="36" t="str">
        <f t="shared" ca="1" si="2"/>
        <v>V65</v>
      </c>
      <c r="W65" s="5" t="str">
        <f t="shared" ca="1" si="2"/>
        <v>W65</v>
      </c>
      <c r="X65" s="36" t="str">
        <f t="shared" ca="1" si="2"/>
        <v>X65</v>
      </c>
      <c r="Y65" s="36" t="str">
        <f t="shared" ca="1" si="2"/>
        <v>Y65</v>
      </c>
      <c r="Z65" s="5" t="str">
        <f t="shared" ca="1" si="2"/>
        <v>Z65</v>
      </c>
      <c r="AA65" s="36" t="str">
        <f t="shared" ca="1" si="2"/>
        <v>AA65</v>
      </c>
      <c r="AB65" s="9" t="str">
        <f t="shared" ca="1" si="2"/>
        <v>AB65</v>
      </c>
    </row>
    <row r="66" spans="1:28" ht="15.75">
      <c r="A66" s="44" t="s">
        <v>356</v>
      </c>
      <c r="B66" s="5" t="str">
        <f t="shared" ca="1" si="0"/>
        <v>B66</v>
      </c>
      <c r="C66" s="36" t="str">
        <f t="shared" ca="1" si="0"/>
        <v>C66</v>
      </c>
      <c r="D66" s="36" t="str">
        <f t="shared" ca="1" si="0"/>
        <v>D66</v>
      </c>
      <c r="E66" s="36" t="str">
        <f t="shared" ca="1" si="0"/>
        <v>E66</v>
      </c>
      <c r="F66" s="5" t="str">
        <f t="shared" ca="1" si="0"/>
        <v>F66</v>
      </c>
      <c r="G66" s="36" t="str">
        <f t="shared" ca="1" si="0"/>
        <v>G66</v>
      </c>
      <c r="H66" s="36" t="str">
        <f t="shared" ca="1" si="0"/>
        <v>H66</v>
      </c>
      <c r="I66" s="5" t="str">
        <f t="shared" ca="1" si="1"/>
        <v>I66</v>
      </c>
      <c r="J66" s="36" t="str">
        <f t="shared" ca="1" si="0"/>
        <v>J66</v>
      </c>
      <c r="K66" s="36" t="str">
        <f t="shared" ca="1" si="0"/>
        <v>K66</v>
      </c>
      <c r="L66" s="36" t="str">
        <f t="shared" ca="1" si="0"/>
        <v>L66</v>
      </c>
      <c r="M66" s="74"/>
      <c r="N66" s="60"/>
      <c r="O66" s="60"/>
      <c r="P66" s="44" t="s">
        <v>356</v>
      </c>
      <c r="Q66" s="5" t="str">
        <f t="shared" ca="1" si="2"/>
        <v>Q66</v>
      </c>
      <c r="R66" s="36" t="str">
        <f t="shared" ca="1" si="2"/>
        <v>R66</v>
      </c>
      <c r="S66" s="36" t="str">
        <f t="shared" ca="1" si="2"/>
        <v>S66</v>
      </c>
      <c r="T66" s="5" t="str">
        <f t="shared" ca="1" si="2"/>
        <v>T66</v>
      </c>
      <c r="U66" s="36" t="str">
        <f t="shared" ca="1" si="2"/>
        <v>U66</v>
      </c>
      <c r="V66" s="36" t="str">
        <f t="shared" ca="1" si="2"/>
        <v>V66</v>
      </c>
      <c r="W66" s="5" t="str">
        <f t="shared" ca="1" si="2"/>
        <v>W66</v>
      </c>
      <c r="X66" s="36" t="str">
        <f t="shared" ca="1" si="2"/>
        <v>X66</v>
      </c>
      <c r="Y66" s="36" t="str">
        <f t="shared" ca="1" si="2"/>
        <v>Y66</v>
      </c>
      <c r="Z66" s="5" t="str">
        <f t="shared" ca="1" si="2"/>
        <v>Z66</v>
      </c>
      <c r="AA66" s="36" t="str">
        <f t="shared" ca="1" si="2"/>
        <v>AA66</v>
      </c>
      <c r="AB66" s="9" t="str">
        <f t="shared" ca="1" si="2"/>
        <v>AB66</v>
      </c>
    </row>
    <row r="67" spans="1:28" ht="15.75">
      <c r="A67" s="44" t="s">
        <v>105</v>
      </c>
      <c r="B67" s="5" t="str">
        <f t="shared" ca="1" si="0"/>
        <v>B67</v>
      </c>
      <c r="C67" s="36" t="str">
        <f t="shared" ca="1" si="0"/>
        <v>C67</v>
      </c>
      <c r="D67" s="36" t="str">
        <f t="shared" ca="1" si="0"/>
        <v>D67</v>
      </c>
      <c r="E67" s="36" t="str">
        <f t="shared" ca="1" si="0"/>
        <v>E67</v>
      </c>
      <c r="F67" s="5" t="str">
        <f t="shared" ca="1" si="0"/>
        <v>F67</v>
      </c>
      <c r="G67" s="36" t="str">
        <f t="shared" ca="1" si="0"/>
        <v>G67</v>
      </c>
      <c r="H67" s="36" t="str">
        <f t="shared" ca="1" si="0"/>
        <v>H67</v>
      </c>
      <c r="I67" s="5" t="str">
        <f t="shared" ca="1" si="1"/>
        <v>I67</v>
      </c>
      <c r="J67" s="36" t="str">
        <f t="shared" ca="1" si="0"/>
        <v>J67</v>
      </c>
      <c r="K67" s="36" t="str">
        <f t="shared" ca="1" si="0"/>
        <v>K67</v>
      </c>
      <c r="L67" s="36" t="str">
        <f t="shared" ca="1" si="0"/>
        <v>L67</v>
      </c>
      <c r="M67" s="74"/>
      <c r="N67" s="60"/>
      <c r="O67" s="60"/>
      <c r="P67" s="44" t="s">
        <v>105</v>
      </c>
      <c r="Q67" s="5" t="str">
        <f t="shared" ca="1" si="2"/>
        <v>Q67</v>
      </c>
      <c r="R67" s="36" t="str">
        <f t="shared" ca="1" si="2"/>
        <v>R67</v>
      </c>
      <c r="S67" s="36" t="str">
        <f t="shared" ca="1" si="2"/>
        <v>S67</v>
      </c>
      <c r="T67" s="5" t="str">
        <f t="shared" ca="1" si="2"/>
        <v>T67</v>
      </c>
      <c r="U67" s="36" t="str">
        <f t="shared" ca="1" si="2"/>
        <v>U67</v>
      </c>
      <c r="V67" s="36" t="str">
        <f t="shared" ca="1" si="2"/>
        <v>V67</v>
      </c>
      <c r="W67" s="5" t="str">
        <f t="shared" ca="1" si="2"/>
        <v>W67</v>
      </c>
      <c r="X67" s="36" t="str">
        <f t="shared" ca="1" si="2"/>
        <v>X67</v>
      </c>
      <c r="Y67" s="36" t="str">
        <f t="shared" ca="1" si="2"/>
        <v>Y67</v>
      </c>
      <c r="Z67" s="5" t="str">
        <f t="shared" ca="1" si="2"/>
        <v>Z67</v>
      </c>
      <c r="AA67" s="36" t="str">
        <f t="shared" ca="1" si="2"/>
        <v>AA67</v>
      </c>
      <c r="AB67" s="9" t="str">
        <f t="shared" ca="1" si="2"/>
        <v>AB67</v>
      </c>
    </row>
    <row r="68" spans="1:28" ht="15.75">
      <c r="A68" s="44" t="s">
        <v>108</v>
      </c>
      <c r="B68" s="5" t="str">
        <f t="shared" ca="1" si="0"/>
        <v>B68</v>
      </c>
      <c r="C68" s="36" t="str">
        <f t="shared" ca="1" si="0"/>
        <v>C68</v>
      </c>
      <c r="D68" s="36" t="str">
        <f t="shared" ca="1" si="0"/>
        <v>D68</v>
      </c>
      <c r="E68" s="36" t="str">
        <f t="shared" ca="1" si="0"/>
        <v>E68</v>
      </c>
      <c r="F68" s="5" t="str">
        <f t="shared" ca="1" si="0"/>
        <v>F68</v>
      </c>
      <c r="G68" s="36" t="str">
        <f t="shared" ca="1" si="0"/>
        <v>G68</v>
      </c>
      <c r="H68" s="36" t="str">
        <f t="shared" ca="1" si="0"/>
        <v>H68</v>
      </c>
      <c r="I68" s="5" t="str">
        <f t="shared" ca="1" si="1"/>
        <v>I68</v>
      </c>
      <c r="J68" s="36" t="str">
        <f t="shared" ca="1" si="0"/>
        <v>J68</v>
      </c>
      <c r="K68" s="36" t="str">
        <f t="shared" ca="1" si="0"/>
        <v>K68</v>
      </c>
      <c r="L68" s="36" t="str">
        <f t="shared" ca="1" si="0"/>
        <v>L68</v>
      </c>
      <c r="M68" s="74"/>
      <c r="N68" s="60"/>
      <c r="O68" s="60"/>
      <c r="P68" s="44" t="s">
        <v>108</v>
      </c>
      <c r="Q68" s="5" t="str">
        <f t="shared" ca="1" si="2"/>
        <v>Q68</v>
      </c>
      <c r="R68" s="36" t="str">
        <f t="shared" ca="1" si="2"/>
        <v>R68</v>
      </c>
      <c r="S68" s="36" t="str">
        <f t="shared" ca="1" si="2"/>
        <v>S68</v>
      </c>
      <c r="T68" s="5" t="str">
        <f t="shared" ca="1" si="2"/>
        <v>T68</v>
      </c>
      <c r="U68" s="36" t="str">
        <f t="shared" ca="1" si="2"/>
        <v>U68</v>
      </c>
      <c r="V68" s="36" t="str">
        <f t="shared" ca="1" si="2"/>
        <v>V68</v>
      </c>
      <c r="W68" s="5" t="str">
        <f t="shared" ca="1" si="2"/>
        <v>W68</v>
      </c>
      <c r="X68" s="36" t="str">
        <f t="shared" ca="1" si="2"/>
        <v>X68</v>
      </c>
      <c r="Y68" s="36" t="str">
        <f t="shared" ca="1" si="2"/>
        <v>Y68</v>
      </c>
      <c r="Z68" s="5" t="str">
        <f t="shared" ca="1" si="2"/>
        <v>Z68</v>
      </c>
      <c r="AA68" s="36" t="str">
        <f t="shared" ca="1" si="2"/>
        <v>AA68</v>
      </c>
      <c r="AB68" s="9" t="str">
        <f t="shared" ca="1" si="2"/>
        <v>AB68</v>
      </c>
    </row>
    <row r="69" spans="1:28" ht="15.75">
      <c r="A69" s="44" t="s">
        <v>109</v>
      </c>
      <c r="B69" s="5" t="str">
        <f t="shared" ca="1" si="0"/>
        <v>B69</v>
      </c>
      <c r="C69" s="36" t="str">
        <f t="shared" ca="1" si="0"/>
        <v>C69</v>
      </c>
      <c r="D69" s="36" t="str">
        <f t="shared" ca="1" si="0"/>
        <v>D69</v>
      </c>
      <c r="E69" s="36" t="str">
        <f t="shared" ca="1" si="0"/>
        <v>E69</v>
      </c>
      <c r="F69" s="5" t="str">
        <f t="shared" ca="1" si="0"/>
        <v>F69</v>
      </c>
      <c r="G69" s="36" t="str">
        <f t="shared" ca="1" si="0"/>
        <v>G69</v>
      </c>
      <c r="H69" s="36" t="str">
        <f t="shared" ca="1" si="0"/>
        <v>H69</v>
      </c>
      <c r="I69" s="5" t="str">
        <f t="shared" ca="1" si="1"/>
        <v>I69</v>
      </c>
      <c r="J69" s="36" t="str">
        <f t="shared" ca="1" si="0"/>
        <v>J69</v>
      </c>
      <c r="K69" s="36" t="str">
        <f t="shared" ca="1" si="0"/>
        <v>K69</v>
      </c>
      <c r="L69" s="36" t="str">
        <f t="shared" ca="1" si="0"/>
        <v>L69</v>
      </c>
      <c r="M69" s="74"/>
      <c r="N69" s="60"/>
      <c r="O69" s="60"/>
      <c r="P69" s="44" t="s">
        <v>109</v>
      </c>
      <c r="Q69" s="5" t="str">
        <f t="shared" ca="1" si="2"/>
        <v>Q69</v>
      </c>
      <c r="R69" s="36" t="str">
        <f t="shared" ca="1" si="2"/>
        <v>R69</v>
      </c>
      <c r="S69" s="36" t="str">
        <f t="shared" ca="1" si="2"/>
        <v>S69</v>
      </c>
      <c r="T69" s="5" t="str">
        <f t="shared" ca="1" si="2"/>
        <v>T69</v>
      </c>
      <c r="U69" s="36" t="str">
        <f t="shared" ca="1" si="2"/>
        <v>U69</v>
      </c>
      <c r="V69" s="36" t="str">
        <f t="shared" ca="1" si="2"/>
        <v>V69</v>
      </c>
      <c r="W69" s="5" t="str">
        <f t="shared" ca="1" si="2"/>
        <v>W69</v>
      </c>
      <c r="X69" s="36" t="str">
        <f t="shared" ca="1" si="2"/>
        <v>X69</v>
      </c>
      <c r="Y69" s="36" t="str">
        <f t="shared" ca="1" si="2"/>
        <v>Y69</v>
      </c>
      <c r="Z69" s="5" t="str">
        <f t="shared" ca="1" si="2"/>
        <v>Z69</v>
      </c>
      <c r="AA69" s="36" t="str">
        <f t="shared" ca="1" si="2"/>
        <v>AA69</v>
      </c>
      <c r="AB69" s="9" t="str">
        <f t="shared" ca="1" si="2"/>
        <v>AB69</v>
      </c>
    </row>
    <row r="70" spans="1:28" ht="15.75">
      <c r="A70" s="44" t="s">
        <v>111</v>
      </c>
      <c r="B70" s="5" t="str">
        <f t="shared" ca="1" si="0"/>
        <v>B70</v>
      </c>
      <c r="C70" s="36" t="str">
        <f t="shared" ca="1" si="0"/>
        <v>C70</v>
      </c>
      <c r="D70" s="36" t="str">
        <f t="shared" ca="1" si="0"/>
        <v>D70</v>
      </c>
      <c r="E70" s="36" t="str">
        <f t="shared" ca="1" si="0"/>
        <v>E70</v>
      </c>
      <c r="F70" s="5" t="str">
        <f t="shared" ca="1" si="0"/>
        <v>F70</v>
      </c>
      <c r="G70" s="36" t="str">
        <f t="shared" ca="1" si="0"/>
        <v>G70</v>
      </c>
      <c r="H70" s="36" t="str">
        <f t="shared" ca="1" si="0"/>
        <v>H70</v>
      </c>
      <c r="I70" s="5" t="str">
        <f t="shared" ca="1" si="1"/>
        <v>I70</v>
      </c>
      <c r="J70" s="36" t="str">
        <f t="shared" ca="1" si="0"/>
        <v>J70</v>
      </c>
      <c r="K70" s="36" t="str">
        <f t="shared" ca="1" si="0"/>
        <v>K70</v>
      </c>
      <c r="L70" s="36" t="str">
        <f t="shared" ca="1" si="0"/>
        <v>L70</v>
      </c>
      <c r="M70" s="74"/>
      <c r="N70" s="60"/>
      <c r="O70" s="60"/>
      <c r="P70" s="44" t="s">
        <v>111</v>
      </c>
      <c r="Q70" s="5" t="str">
        <f t="shared" ca="1" si="2"/>
        <v>Q70</v>
      </c>
      <c r="R70" s="36" t="str">
        <f t="shared" ca="1" si="2"/>
        <v>R70</v>
      </c>
      <c r="S70" s="36" t="str">
        <f t="shared" ca="1" si="2"/>
        <v>S70</v>
      </c>
      <c r="T70" s="5" t="str">
        <f t="shared" ca="1" si="2"/>
        <v>T70</v>
      </c>
      <c r="U70" s="36" t="str">
        <f t="shared" ca="1" si="2"/>
        <v>U70</v>
      </c>
      <c r="V70" s="36" t="str">
        <f t="shared" ca="1" si="2"/>
        <v>V70</v>
      </c>
      <c r="W70" s="5" t="str">
        <f t="shared" ca="1" si="2"/>
        <v>W70</v>
      </c>
      <c r="X70" s="36" t="str">
        <f t="shared" ca="1" si="2"/>
        <v>X70</v>
      </c>
      <c r="Y70" s="36" t="str">
        <f t="shared" ca="1" si="2"/>
        <v>Y70</v>
      </c>
      <c r="Z70" s="5" t="str">
        <f t="shared" ca="1" si="2"/>
        <v>Z70</v>
      </c>
      <c r="AA70" s="36" t="str">
        <f t="shared" ca="1" si="2"/>
        <v>AA70</v>
      </c>
      <c r="AB70" s="9" t="str">
        <f t="shared" ca="1" si="2"/>
        <v>AB70</v>
      </c>
    </row>
    <row r="71" spans="1:28" ht="15.75">
      <c r="A71" s="44" t="s">
        <v>112</v>
      </c>
      <c r="B71" s="5" t="str">
        <f t="shared" ca="1" si="0"/>
        <v>B71</v>
      </c>
      <c r="C71" s="36" t="str">
        <f t="shared" ca="1" si="0"/>
        <v>C71</v>
      </c>
      <c r="D71" s="36" t="str">
        <f t="shared" ca="1" si="0"/>
        <v>D71</v>
      </c>
      <c r="E71" s="36" t="str">
        <f t="shared" ca="1" si="0"/>
        <v>E71</v>
      </c>
      <c r="F71" s="5" t="str">
        <f t="shared" ca="1" si="0"/>
        <v>F71</v>
      </c>
      <c r="G71" s="36" t="str">
        <f t="shared" ca="1" si="0"/>
        <v>G71</v>
      </c>
      <c r="H71" s="36" t="str">
        <f t="shared" ca="1" si="0"/>
        <v>H71</v>
      </c>
      <c r="I71" s="5" t="str">
        <f t="shared" ca="1" si="1"/>
        <v>I71</v>
      </c>
      <c r="J71" s="36" t="str">
        <f t="shared" ca="1" si="0"/>
        <v>J71</v>
      </c>
      <c r="K71" s="36" t="str">
        <f t="shared" ca="1" si="0"/>
        <v>K71</v>
      </c>
      <c r="L71" s="36" t="str">
        <f t="shared" ca="1" si="0"/>
        <v>L71</v>
      </c>
      <c r="M71" s="74"/>
      <c r="N71" s="60"/>
      <c r="O71" s="60"/>
      <c r="P71" s="44" t="s">
        <v>112</v>
      </c>
      <c r="Q71" s="5" t="str">
        <f t="shared" ca="1" si="2"/>
        <v>Q71</v>
      </c>
      <c r="R71" s="36" t="str">
        <f t="shared" ca="1" si="2"/>
        <v>R71</v>
      </c>
      <c r="S71" s="36" t="str">
        <f t="shared" ca="1" si="2"/>
        <v>S71</v>
      </c>
      <c r="T71" s="5" t="str">
        <f t="shared" ca="1" si="2"/>
        <v>T71</v>
      </c>
      <c r="U71" s="36" t="str">
        <f t="shared" ca="1" si="2"/>
        <v>U71</v>
      </c>
      <c r="V71" s="36" t="str">
        <f t="shared" ca="1" si="2"/>
        <v>V71</v>
      </c>
      <c r="W71" s="5" t="str">
        <f t="shared" ca="1" si="2"/>
        <v>W71</v>
      </c>
      <c r="X71" s="36" t="str">
        <f t="shared" ca="1" si="2"/>
        <v>X71</v>
      </c>
      <c r="Y71" s="36" t="str">
        <f t="shared" ca="1" si="2"/>
        <v>Y71</v>
      </c>
      <c r="Z71" s="5" t="str">
        <f t="shared" ca="1" si="2"/>
        <v>Z71</v>
      </c>
      <c r="AA71" s="36" t="str">
        <f t="shared" ca="1" si="2"/>
        <v>AA71</v>
      </c>
      <c r="AB71" s="9" t="str">
        <f t="shared" ca="1" si="2"/>
        <v>AB71</v>
      </c>
    </row>
    <row r="72" spans="1:28" ht="15.75">
      <c r="A72" s="44" t="s">
        <v>113</v>
      </c>
      <c r="B72" s="5" t="str">
        <f t="shared" ca="1" si="0"/>
        <v>B72</v>
      </c>
      <c r="C72" s="36" t="str">
        <f t="shared" ca="1" si="0"/>
        <v>C72</v>
      </c>
      <c r="D72" s="36" t="str">
        <f t="shared" ca="1" si="0"/>
        <v>D72</v>
      </c>
      <c r="E72" s="36" t="str">
        <f t="shared" ca="1" si="0"/>
        <v>E72</v>
      </c>
      <c r="F72" s="5" t="str">
        <f t="shared" ca="1" si="0"/>
        <v>F72</v>
      </c>
      <c r="G72" s="36" t="str">
        <f t="shared" ca="1" si="0"/>
        <v>G72</v>
      </c>
      <c r="H72" s="36" t="str">
        <f t="shared" ca="1" si="0"/>
        <v>H72</v>
      </c>
      <c r="I72" s="5" t="str">
        <f t="shared" ca="1" si="1"/>
        <v>I72</v>
      </c>
      <c r="J72" s="36" t="str">
        <f t="shared" ca="1" si="0"/>
        <v>J72</v>
      </c>
      <c r="K72" s="36" t="str">
        <f t="shared" ca="1" si="0"/>
        <v>K72</v>
      </c>
      <c r="L72" s="36" t="str">
        <f t="shared" ca="1" si="0"/>
        <v>L72</v>
      </c>
      <c r="M72" s="74"/>
      <c r="N72" s="60"/>
      <c r="O72" s="60"/>
      <c r="P72" s="44" t="s">
        <v>113</v>
      </c>
      <c r="Q72" s="5" t="str">
        <f t="shared" ca="1" si="2"/>
        <v>Q72</v>
      </c>
      <c r="R72" s="36" t="str">
        <f t="shared" ca="1" si="2"/>
        <v>R72</v>
      </c>
      <c r="S72" s="36" t="str">
        <f t="shared" ca="1" si="2"/>
        <v>S72</v>
      </c>
      <c r="T72" s="5" t="str">
        <f t="shared" ca="1" si="2"/>
        <v>T72</v>
      </c>
      <c r="U72" s="36" t="str">
        <f t="shared" ca="1" si="2"/>
        <v>U72</v>
      </c>
      <c r="V72" s="36" t="str">
        <f t="shared" ca="1" si="2"/>
        <v>V72</v>
      </c>
      <c r="W72" s="5" t="str">
        <f t="shared" ca="1" si="2"/>
        <v>W72</v>
      </c>
      <c r="X72" s="36" t="str">
        <f t="shared" ca="1" si="2"/>
        <v>X72</v>
      </c>
      <c r="Y72" s="36" t="str">
        <f t="shared" ca="1" si="2"/>
        <v>Y72</v>
      </c>
      <c r="Z72" s="5" t="str">
        <f t="shared" ca="1" si="2"/>
        <v>Z72</v>
      </c>
      <c r="AA72" s="36" t="str">
        <f t="shared" ca="1" si="2"/>
        <v>AA72</v>
      </c>
      <c r="AB72" s="9" t="str">
        <f t="shared" ca="1" si="2"/>
        <v>AB72</v>
      </c>
    </row>
    <row r="73" spans="1:28" ht="15.75">
      <c r="A73" s="44" t="s">
        <v>114</v>
      </c>
      <c r="B73" s="5" t="str">
        <f t="shared" ca="1" si="0"/>
        <v>B73</v>
      </c>
      <c r="C73" s="36" t="str">
        <f t="shared" ca="1" si="0"/>
        <v>C73</v>
      </c>
      <c r="D73" s="36" t="str">
        <f t="shared" ca="1" si="0"/>
        <v>D73</v>
      </c>
      <c r="E73" s="36" t="str">
        <f t="shared" ca="1" si="0"/>
        <v>E73</v>
      </c>
      <c r="F73" s="5" t="str">
        <f t="shared" ca="1" si="0"/>
        <v>F73</v>
      </c>
      <c r="G73" s="36" t="str">
        <f t="shared" ca="1" si="0"/>
        <v>G73</v>
      </c>
      <c r="H73" s="36" t="str">
        <f t="shared" ca="1" si="0"/>
        <v>H73</v>
      </c>
      <c r="I73" s="5" t="str">
        <f t="shared" ca="1" si="1"/>
        <v>I73</v>
      </c>
      <c r="J73" s="36" t="str">
        <f t="shared" ca="1" si="0"/>
        <v>J73</v>
      </c>
      <c r="K73" s="36" t="str">
        <f t="shared" ca="1" si="0"/>
        <v>K73</v>
      </c>
      <c r="L73" s="36" t="str">
        <f t="shared" ca="1" si="0"/>
        <v>L73</v>
      </c>
      <c r="M73" s="74"/>
      <c r="N73" s="60"/>
      <c r="O73" s="60"/>
      <c r="P73" s="44" t="s">
        <v>114</v>
      </c>
      <c r="Q73" s="5" t="str">
        <f t="shared" ca="1" si="2"/>
        <v>Q73</v>
      </c>
      <c r="R73" s="36" t="str">
        <f t="shared" ca="1" si="2"/>
        <v>R73</v>
      </c>
      <c r="S73" s="36" t="str">
        <f t="shared" ca="1" si="2"/>
        <v>S73</v>
      </c>
      <c r="T73" s="5" t="str">
        <f t="shared" ca="1" si="2"/>
        <v>T73</v>
      </c>
      <c r="U73" s="36" t="str">
        <f t="shared" ca="1" si="2"/>
        <v>U73</v>
      </c>
      <c r="V73" s="36" t="str">
        <f t="shared" ca="1" si="2"/>
        <v>V73</v>
      </c>
      <c r="W73" s="5" t="str">
        <f t="shared" ca="1" si="2"/>
        <v>W73</v>
      </c>
      <c r="X73" s="36" t="str">
        <f t="shared" ca="1" si="2"/>
        <v>X73</v>
      </c>
      <c r="Y73" s="36" t="str">
        <f t="shared" ca="1" si="2"/>
        <v>Y73</v>
      </c>
      <c r="Z73" s="5" t="str">
        <f t="shared" ca="1" si="2"/>
        <v>Z73</v>
      </c>
      <c r="AA73" s="36" t="str">
        <f t="shared" ca="1" si="2"/>
        <v>AA73</v>
      </c>
      <c r="AB73" s="9" t="str">
        <f t="shared" ca="1" si="2"/>
        <v>AB73</v>
      </c>
    </row>
    <row r="74" spans="1:28" ht="15.75">
      <c r="A74" s="44" t="s">
        <v>115</v>
      </c>
      <c r="B74" s="5" t="str">
        <f t="shared" ca="1" si="0"/>
        <v>B74</v>
      </c>
      <c r="C74" s="36" t="str">
        <f t="shared" ca="1" si="0"/>
        <v>C74</v>
      </c>
      <c r="D74" s="36" t="str">
        <f t="shared" ca="1" si="0"/>
        <v>D74</v>
      </c>
      <c r="E74" s="36" t="str">
        <f t="shared" ca="1" si="0"/>
        <v>E74</v>
      </c>
      <c r="F74" s="5" t="str">
        <f t="shared" ca="1" si="0"/>
        <v>F74</v>
      </c>
      <c r="G74" s="36" t="str">
        <f t="shared" ca="1" si="0"/>
        <v>G74</v>
      </c>
      <c r="H74" s="36" t="str">
        <f t="shared" ca="1" si="0"/>
        <v>H74</v>
      </c>
      <c r="I74" s="5" t="str">
        <f t="shared" ca="1" si="1"/>
        <v>I74</v>
      </c>
      <c r="J74" s="36" t="str">
        <f t="shared" ca="1" si="0"/>
        <v>J74</v>
      </c>
      <c r="K74" s="36" t="str">
        <f t="shared" ca="1" si="0"/>
        <v>K74</v>
      </c>
      <c r="L74" s="36" t="str">
        <f t="shared" ca="1" si="0"/>
        <v>L74</v>
      </c>
      <c r="M74" s="74"/>
      <c r="N74" s="60"/>
      <c r="O74" s="60"/>
      <c r="P74" s="44" t="s">
        <v>116</v>
      </c>
      <c r="Q74" s="5" t="str">
        <f t="shared" ca="1" si="2"/>
        <v>Q74</v>
      </c>
      <c r="R74" s="36" t="str">
        <f t="shared" ca="1" si="2"/>
        <v>R74</v>
      </c>
      <c r="S74" s="36" t="str">
        <f t="shared" ca="1" si="2"/>
        <v>S74</v>
      </c>
      <c r="T74" s="5" t="str">
        <f t="shared" ca="1" si="2"/>
        <v>T74</v>
      </c>
      <c r="U74" s="36" t="str">
        <f t="shared" ca="1" si="2"/>
        <v>U74</v>
      </c>
      <c r="V74" s="36" t="str">
        <f t="shared" ca="1" si="2"/>
        <v>V74</v>
      </c>
      <c r="W74" s="5" t="str">
        <f t="shared" ca="1" si="2"/>
        <v>W74</v>
      </c>
      <c r="X74" s="36" t="str">
        <f t="shared" ca="1" si="2"/>
        <v>X74</v>
      </c>
      <c r="Y74" s="36" t="str">
        <f t="shared" ca="1" si="2"/>
        <v>Y74</v>
      </c>
      <c r="Z74" s="5" t="str">
        <f t="shared" ca="1" si="2"/>
        <v>Z74</v>
      </c>
      <c r="AA74" s="36" t="str">
        <f t="shared" ca="1" si="2"/>
        <v>AA74</v>
      </c>
      <c r="AB74" s="9" t="str">
        <f t="shared" ca="1" si="2"/>
        <v>AB74</v>
      </c>
    </row>
    <row r="75" spans="1:28" ht="15.75">
      <c r="A75" s="44" t="s">
        <v>120</v>
      </c>
      <c r="B75" s="5" t="str">
        <f t="shared" ca="1" si="0"/>
        <v>B75</v>
      </c>
      <c r="C75" s="36" t="str">
        <f t="shared" ca="1" si="0"/>
        <v>C75</v>
      </c>
      <c r="D75" s="36" t="str">
        <f t="shared" ca="1" si="0"/>
        <v>D75</v>
      </c>
      <c r="E75" s="36" t="str">
        <f t="shared" ca="1" si="0"/>
        <v>E75</v>
      </c>
      <c r="F75" s="5" t="str">
        <f t="shared" ca="1" si="0"/>
        <v>F75</v>
      </c>
      <c r="G75" s="36" t="str">
        <f t="shared" ca="1" si="0"/>
        <v>G75</v>
      </c>
      <c r="H75" s="36" t="str">
        <f t="shared" ca="1" si="0"/>
        <v>H75</v>
      </c>
      <c r="I75" s="5" t="str">
        <f t="shared" ca="1" si="1"/>
        <v>I75</v>
      </c>
      <c r="J75" s="36" t="str">
        <f t="shared" ca="1" si="0"/>
        <v>J75</v>
      </c>
      <c r="K75" s="36" t="str">
        <f t="shared" ca="1" si="0"/>
        <v>K75</v>
      </c>
      <c r="L75" s="36" t="str">
        <f t="shared" ca="1" si="0"/>
        <v>L75</v>
      </c>
      <c r="M75" s="74"/>
      <c r="N75" s="60"/>
      <c r="O75" s="60"/>
      <c r="P75" s="44" t="s">
        <v>121</v>
      </c>
      <c r="Q75" s="5" t="str">
        <f t="shared" ca="1" si="2"/>
        <v>Q75</v>
      </c>
      <c r="R75" s="36" t="str">
        <f t="shared" ca="1" si="2"/>
        <v>R75</v>
      </c>
      <c r="S75" s="36" t="str">
        <f t="shared" ca="1" si="2"/>
        <v>S75</v>
      </c>
      <c r="T75" s="5" t="str">
        <f t="shared" ca="1" si="2"/>
        <v>T75</v>
      </c>
      <c r="U75" s="36" t="str">
        <f t="shared" ca="1" si="2"/>
        <v>U75</v>
      </c>
      <c r="V75" s="36" t="str">
        <f t="shared" ca="1" si="2"/>
        <v>V75</v>
      </c>
      <c r="W75" s="5" t="str">
        <f t="shared" ca="1" si="2"/>
        <v>W75</v>
      </c>
      <c r="X75" s="36" t="str">
        <f t="shared" ca="1" si="2"/>
        <v>X75</v>
      </c>
      <c r="Y75" s="36" t="str">
        <f t="shared" ca="1" si="2"/>
        <v>Y75</v>
      </c>
      <c r="Z75" s="5" t="str">
        <f t="shared" ca="1" si="2"/>
        <v>Z75</v>
      </c>
      <c r="AA75" s="36" t="str">
        <f t="shared" ca="1" si="2"/>
        <v>AA75</v>
      </c>
      <c r="AB75" s="9" t="str">
        <f t="shared" ca="1" si="2"/>
        <v>AB75</v>
      </c>
    </row>
    <row r="76" spans="1:28" ht="15.75">
      <c r="A76" s="44" t="s">
        <v>124</v>
      </c>
      <c r="B76" s="5" t="str">
        <f t="shared" ca="1" si="0"/>
        <v>B76</v>
      </c>
      <c r="C76" s="36" t="str">
        <f t="shared" ca="1" si="0"/>
        <v>C76</v>
      </c>
      <c r="D76" s="36" t="str">
        <f t="shared" ca="1" si="0"/>
        <v>D76</v>
      </c>
      <c r="E76" s="36" t="str">
        <f t="shared" ca="1" si="0"/>
        <v>E76</v>
      </c>
      <c r="F76" s="5" t="str">
        <f t="shared" ca="1" si="0"/>
        <v>F76</v>
      </c>
      <c r="G76" s="36" t="str">
        <f t="shared" ca="1" si="0"/>
        <v>G76</v>
      </c>
      <c r="H76" s="36" t="str">
        <f t="shared" ca="1" si="0"/>
        <v>H76</v>
      </c>
      <c r="I76" s="5" t="str">
        <f t="shared" ca="1" si="1"/>
        <v>I76</v>
      </c>
      <c r="J76" s="36" t="str">
        <f t="shared" ca="1" si="0"/>
        <v>J76</v>
      </c>
      <c r="K76" s="36" t="str">
        <f t="shared" ca="1" si="0"/>
        <v>K76</v>
      </c>
      <c r="L76" s="36" t="str">
        <f t="shared" ca="1" si="0"/>
        <v>L76</v>
      </c>
      <c r="M76" s="74"/>
      <c r="N76" s="60"/>
      <c r="O76" s="60"/>
      <c r="P76" s="44" t="s">
        <v>125</v>
      </c>
      <c r="Q76" s="5" t="str">
        <f t="shared" ca="1" si="2"/>
        <v>Q76</v>
      </c>
      <c r="R76" s="36" t="str">
        <f t="shared" ca="1" si="2"/>
        <v>R76</v>
      </c>
      <c r="S76" s="36" t="str">
        <f t="shared" ca="1" si="2"/>
        <v>S76</v>
      </c>
      <c r="T76" s="5" t="str">
        <f t="shared" ca="1" si="2"/>
        <v>T76</v>
      </c>
      <c r="U76" s="36" t="str">
        <f t="shared" ca="1" si="2"/>
        <v>U76</v>
      </c>
      <c r="V76" s="36" t="str">
        <f t="shared" ca="1" si="2"/>
        <v>V76</v>
      </c>
      <c r="W76" s="5" t="str">
        <f t="shared" ca="1" si="2"/>
        <v>W76</v>
      </c>
      <c r="X76" s="36" t="str">
        <f t="shared" ca="1" si="2"/>
        <v>X76</v>
      </c>
      <c r="Y76" s="36" t="str">
        <f t="shared" ca="1" si="2"/>
        <v>Y76</v>
      </c>
      <c r="Z76" s="5" t="str">
        <f t="shared" ca="1" si="2"/>
        <v>Z76</v>
      </c>
      <c r="AA76" s="36" t="str">
        <f t="shared" ca="1" si="2"/>
        <v>AA76</v>
      </c>
      <c r="AB76" s="9" t="str">
        <f t="shared" ca="1" si="2"/>
        <v>AB76</v>
      </c>
    </row>
    <row r="77" spans="1:28" ht="15.75">
      <c r="A77" s="44" t="s">
        <v>125</v>
      </c>
      <c r="B77" s="5" t="str">
        <f t="shared" ca="1" si="0"/>
        <v>B77</v>
      </c>
      <c r="C77" s="36" t="str">
        <f t="shared" ca="1" si="0"/>
        <v>C77</v>
      </c>
      <c r="D77" s="36" t="str">
        <f t="shared" ca="1" si="0"/>
        <v>D77</v>
      </c>
      <c r="E77" s="36" t="str">
        <f t="shared" ca="1" si="0"/>
        <v>E77</v>
      </c>
      <c r="F77" s="5" t="str">
        <f t="shared" ca="1" si="0"/>
        <v>F77</v>
      </c>
      <c r="G77" s="36" t="str">
        <f t="shared" ca="1" si="0"/>
        <v>G77</v>
      </c>
      <c r="H77" s="36" t="str">
        <f t="shared" ca="1" si="0"/>
        <v>H77</v>
      </c>
      <c r="I77" s="5" t="str">
        <f t="shared" ca="1" si="1"/>
        <v>I77</v>
      </c>
      <c r="J77" s="36" t="str">
        <f t="shared" ca="1" si="0"/>
        <v>J77</v>
      </c>
      <c r="K77" s="36" t="str">
        <f t="shared" ca="1" si="0"/>
        <v>K77</v>
      </c>
      <c r="L77" s="36" t="str">
        <f t="shared" ca="1" si="0"/>
        <v>L77</v>
      </c>
      <c r="M77" s="74"/>
      <c r="N77" s="60"/>
      <c r="O77" s="60"/>
      <c r="P77" s="44" t="s">
        <v>127</v>
      </c>
      <c r="Q77" s="5" t="str">
        <f t="shared" ca="1" si="2"/>
        <v>Q77</v>
      </c>
      <c r="R77" s="36" t="str">
        <f t="shared" ca="1" si="2"/>
        <v>R77</v>
      </c>
      <c r="S77" s="36" t="str">
        <f t="shared" ca="1" si="2"/>
        <v>S77</v>
      </c>
      <c r="T77" s="5" t="str">
        <f t="shared" ca="1" si="2"/>
        <v>T77</v>
      </c>
      <c r="U77" s="36" t="str">
        <f t="shared" ca="1" si="2"/>
        <v>U77</v>
      </c>
      <c r="V77" s="36" t="str">
        <f t="shared" ca="1" si="2"/>
        <v>V77</v>
      </c>
      <c r="W77" s="5" t="str">
        <f t="shared" ca="1" si="2"/>
        <v>W77</v>
      </c>
      <c r="X77" s="36" t="str">
        <f t="shared" ca="1" si="2"/>
        <v>X77</v>
      </c>
      <c r="Y77" s="36" t="str">
        <f t="shared" ca="1" si="2"/>
        <v>Y77</v>
      </c>
      <c r="Z77" s="5" t="str">
        <f t="shared" ca="1" si="2"/>
        <v>Z77</v>
      </c>
      <c r="AA77" s="36" t="str">
        <f t="shared" ca="1" si="2"/>
        <v>AA77</v>
      </c>
      <c r="AB77" s="9" t="str">
        <f t="shared" ca="1" si="2"/>
        <v>AB77</v>
      </c>
    </row>
    <row r="78" spans="1:28" ht="15.75">
      <c r="A78" s="44" t="s">
        <v>127</v>
      </c>
      <c r="B78" s="5" t="str">
        <f t="shared" ref="B78:L82" ca="1" si="3">ADDRESS(CELL("row",$A78),CELL("col",B$1),4,TRUE)</f>
        <v>B78</v>
      </c>
      <c r="C78" s="36" t="str">
        <f t="shared" ca="1" si="3"/>
        <v>C78</v>
      </c>
      <c r="D78" s="36" t="str">
        <f t="shared" ca="1" si="3"/>
        <v>D78</v>
      </c>
      <c r="E78" s="36" t="str">
        <f t="shared" ca="1" si="3"/>
        <v>E78</v>
      </c>
      <c r="F78" s="5" t="str">
        <f t="shared" ca="1" si="3"/>
        <v>F78</v>
      </c>
      <c r="G78" s="36" t="str">
        <f t="shared" ca="1" si="3"/>
        <v>G78</v>
      </c>
      <c r="H78" s="36" t="str">
        <f t="shared" ca="1" si="3"/>
        <v>H78</v>
      </c>
      <c r="I78" s="5" t="str">
        <f t="shared" ca="1" si="1"/>
        <v>I78</v>
      </c>
      <c r="J78" s="36" t="str">
        <f t="shared" ca="1" si="3"/>
        <v>J78</v>
      </c>
      <c r="K78" s="36" t="str">
        <f t="shared" ca="1" si="3"/>
        <v>K78</v>
      </c>
      <c r="L78" s="36" t="str">
        <f t="shared" ca="1" si="3"/>
        <v>L78</v>
      </c>
      <c r="M78" s="74"/>
      <c r="N78" s="60"/>
      <c r="O78" s="60"/>
      <c r="P78" s="44" t="s">
        <v>130</v>
      </c>
      <c r="Q78" s="5" t="str">
        <f t="shared" ref="Q78:AB81" ca="1" si="4">ADDRESS(CELL("row",$A78),CELL("col",Q$1),4,TRUE)</f>
        <v>Q78</v>
      </c>
      <c r="R78" s="36" t="str">
        <f t="shared" ca="1" si="4"/>
        <v>R78</v>
      </c>
      <c r="S78" s="36" t="str">
        <f t="shared" ca="1" si="4"/>
        <v>S78</v>
      </c>
      <c r="T78" s="5" t="str">
        <f t="shared" ca="1" si="4"/>
        <v>T78</v>
      </c>
      <c r="U78" s="36" t="str">
        <f t="shared" ca="1" si="4"/>
        <v>U78</v>
      </c>
      <c r="V78" s="36" t="str">
        <f t="shared" ca="1" si="4"/>
        <v>V78</v>
      </c>
      <c r="W78" s="5" t="str">
        <f t="shared" ca="1" si="4"/>
        <v>W78</v>
      </c>
      <c r="X78" s="36" t="str">
        <f t="shared" ca="1" si="4"/>
        <v>X78</v>
      </c>
      <c r="Y78" s="36" t="str">
        <f t="shared" ca="1" si="4"/>
        <v>Y78</v>
      </c>
      <c r="Z78" s="5" t="str">
        <f t="shared" ca="1" si="4"/>
        <v>Z78</v>
      </c>
      <c r="AA78" s="36" t="str">
        <f t="shared" ca="1" si="4"/>
        <v>AA78</v>
      </c>
      <c r="AB78" s="9" t="str">
        <f t="shared" ca="1" si="4"/>
        <v>AB78</v>
      </c>
    </row>
    <row r="79" spans="1:28" ht="15.75">
      <c r="A79" s="44" t="s">
        <v>130</v>
      </c>
      <c r="B79" s="5" t="str">
        <f t="shared" ca="1" si="3"/>
        <v>B79</v>
      </c>
      <c r="C79" s="36" t="str">
        <f t="shared" ca="1" si="3"/>
        <v>C79</v>
      </c>
      <c r="D79" s="36" t="str">
        <f t="shared" ca="1" si="3"/>
        <v>D79</v>
      </c>
      <c r="E79" s="36" t="str">
        <f t="shared" ca="1" si="3"/>
        <v>E79</v>
      </c>
      <c r="F79" s="5" t="str">
        <f t="shared" ca="1" si="3"/>
        <v>F79</v>
      </c>
      <c r="G79" s="36" t="str">
        <f t="shared" ca="1" si="3"/>
        <v>G79</v>
      </c>
      <c r="H79" s="36" t="str">
        <f t="shared" ca="1" si="3"/>
        <v>H79</v>
      </c>
      <c r="I79" s="5" t="str">
        <f t="shared" ca="1" si="1"/>
        <v>I79</v>
      </c>
      <c r="J79" s="36" t="str">
        <f t="shared" ca="1" si="3"/>
        <v>J79</v>
      </c>
      <c r="K79" s="36" t="str">
        <f t="shared" ca="1" si="3"/>
        <v>K79</v>
      </c>
      <c r="L79" s="36" t="str">
        <f t="shared" ca="1" si="3"/>
        <v>L79</v>
      </c>
      <c r="M79" s="74"/>
      <c r="N79" s="60"/>
      <c r="O79" s="60"/>
      <c r="P79" s="44" t="s">
        <v>132</v>
      </c>
      <c r="Q79" s="5" t="str">
        <f t="shared" ca="1" si="4"/>
        <v>Q79</v>
      </c>
      <c r="R79" s="36" t="str">
        <f t="shared" ca="1" si="4"/>
        <v>R79</v>
      </c>
      <c r="S79" s="36" t="str">
        <f t="shared" ca="1" si="4"/>
        <v>S79</v>
      </c>
      <c r="T79" s="5" t="str">
        <f t="shared" ca="1" si="4"/>
        <v>T79</v>
      </c>
      <c r="U79" s="36" t="str">
        <f t="shared" ca="1" si="4"/>
        <v>U79</v>
      </c>
      <c r="V79" s="36" t="str">
        <f t="shared" ca="1" si="4"/>
        <v>V79</v>
      </c>
      <c r="W79" s="5" t="str">
        <f t="shared" ca="1" si="4"/>
        <v>W79</v>
      </c>
      <c r="X79" s="36" t="str">
        <f t="shared" ca="1" si="4"/>
        <v>X79</v>
      </c>
      <c r="Y79" s="36" t="str">
        <f t="shared" ca="1" si="4"/>
        <v>Y79</v>
      </c>
      <c r="Z79" s="5" t="str">
        <f t="shared" ca="1" si="4"/>
        <v>Z79</v>
      </c>
      <c r="AA79" s="36" t="str">
        <f t="shared" ca="1" si="4"/>
        <v>AA79</v>
      </c>
      <c r="AB79" s="9" t="str">
        <f t="shared" ca="1" si="4"/>
        <v>AB79</v>
      </c>
    </row>
    <row r="80" spans="1:28" ht="15.75">
      <c r="A80" s="44" t="s">
        <v>132</v>
      </c>
      <c r="B80" s="5" t="str">
        <f t="shared" ca="1" si="3"/>
        <v>B80</v>
      </c>
      <c r="C80" s="36" t="str">
        <f t="shared" ca="1" si="3"/>
        <v>C80</v>
      </c>
      <c r="D80" s="36" t="str">
        <f t="shared" ca="1" si="3"/>
        <v>D80</v>
      </c>
      <c r="E80" s="36" t="str">
        <f t="shared" ca="1" si="3"/>
        <v>E80</v>
      </c>
      <c r="F80" s="5" t="str">
        <f t="shared" ca="1" si="3"/>
        <v>F80</v>
      </c>
      <c r="G80" s="36" t="str">
        <f t="shared" ca="1" si="3"/>
        <v>G80</v>
      </c>
      <c r="H80" s="36" t="str">
        <f t="shared" ca="1" si="3"/>
        <v>H80</v>
      </c>
      <c r="I80" s="5" t="str">
        <f t="shared" ca="1" si="1"/>
        <v>I80</v>
      </c>
      <c r="J80" s="36" t="str">
        <f t="shared" ca="1" si="3"/>
        <v>J80</v>
      </c>
      <c r="K80" s="36" t="str">
        <f t="shared" ca="1" si="3"/>
        <v>K80</v>
      </c>
      <c r="L80" s="36" t="str">
        <f t="shared" ca="1" si="3"/>
        <v>L80</v>
      </c>
      <c r="M80" s="74"/>
      <c r="N80" s="60"/>
      <c r="O80" s="60"/>
      <c r="P80" s="44" t="s">
        <v>135</v>
      </c>
      <c r="Q80" s="5" t="str">
        <f t="shared" ca="1" si="4"/>
        <v>Q80</v>
      </c>
      <c r="R80" s="36" t="str">
        <f t="shared" ca="1" si="4"/>
        <v>R80</v>
      </c>
      <c r="S80" s="36" t="str">
        <f t="shared" ca="1" si="4"/>
        <v>S80</v>
      </c>
      <c r="T80" s="5" t="str">
        <f t="shared" ca="1" si="4"/>
        <v>T80</v>
      </c>
      <c r="U80" s="36" t="str">
        <f t="shared" ca="1" si="4"/>
        <v>U80</v>
      </c>
      <c r="V80" s="36" t="str">
        <f t="shared" ca="1" si="4"/>
        <v>V80</v>
      </c>
      <c r="W80" s="5" t="str">
        <f t="shared" ca="1" si="4"/>
        <v>W80</v>
      </c>
      <c r="X80" s="36" t="str">
        <f t="shared" ca="1" si="4"/>
        <v>X80</v>
      </c>
      <c r="Y80" s="36" t="str">
        <f t="shared" ca="1" si="4"/>
        <v>Y80</v>
      </c>
      <c r="Z80" s="5" t="str">
        <f t="shared" ca="1" si="4"/>
        <v>Z80</v>
      </c>
      <c r="AA80" s="36" t="str">
        <f t="shared" ca="1" si="4"/>
        <v>AA80</v>
      </c>
      <c r="AB80" s="9" t="str">
        <f t="shared" ca="1" si="4"/>
        <v>AB80</v>
      </c>
    </row>
    <row r="81" spans="1:40" ht="15.75">
      <c r="A81" s="44" t="s">
        <v>135</v>
      </c>
      <c r="B81" s="5" t="str">
        <f t="shared" ca="1" si="3"/>
        <v>B81</v>
      </c>
      <c r="C81" s="36" t="str">
        <f t="shared" ca="1" si="3"/>
        <v>C81</v>
      </c>
      <c r="D81" s="36" t="str">
        <f t="shared" ca="1" si="3"/>
        <v>D81</v>
      </c>
      <c r="E81" s="36" t="str">
        <f t="shared" ca="1" si="3"/>
        <v>E81</v>
      </c>
      <c r="F81" s="5" t="str">
        <f t="shared" ca="1" si="3"/>
        <v>F81</v>
      </c>
      <c r="G81" s="36" t="str">
        <f t="shared" ca="1" si="3"/>
        <v>G81</v>
      </c>
      <c r="H81" s="36" t="str">
        <f t="shared" ca="1" si="3"/>
        <v>H81</v>
      </c>
      <c r="I81" s="5" t="str">
        <f t="shared" ca="1" si="1"/>
        <v>I81</v>
      </c>
      <c r="J81" s="36" t="str">
        <f t="shared" ca="1" si="3"/>
        <v>J81</v>
      </c>
      <c r="K81" s="36" t="str">
        <f t="shared" ca="1" si="3"/>
        <v>K81</v>
      </c>
      <c r="L81" s="36" t="str">
        <f t="shared" ca="1" si="3"/>
        <v>L81</v>
      </c>
      <c r="M81" s="74"/>
      <c r="N81" s="60"/>
      <c r="O81" s="60"/>
      <c r="P81" s="45" t="s">
        <v>138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 ht="15.75">
      <c r="A82" s="45" t="s">
        <v>138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4"/>
      <c r="N82" s="97"/>
      <c r="O82" s="97"/>
    </row>
    <row r="84" spans="1:40">
      <c r="A84" s="41"/>
      <c r="B84" s="41"/>
      <c r="C84" s="42"/>
      <c r="D84" s="42"/>
      <c r="E84" s="42" t="s">
        <v>141</v>
      </c>
      <c r="F84" s="42"/>
      <c r="G84" s="42"/>
      <c r="H84" s="42"/>
      <c r="I84" s="42"/>
      <c r="J84" s="42"/>
      <c r="K84" s="42"/>
      <c r="L84" s="43"/>
      <c r="P84" s="41"/>
      <c r="Q84" s="41"/>
      <c r="R84" s="42"/>
      <c r="S84" s="42"/>
      <c r="T84" s="42" t="s">
        <v>142</v>
      </c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3"/>
    </row>
    <row r="85" spans="1:40">
      <c r="A85" s="44"/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7"/>
      <c r="P85" s="44"/>
      <c r="Q85" s="45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7"/>
    </row>
    <row r="86" spans="1:40">
      <c r="A86" s="44"/>
      <c r="B86" s="44" t="s">
        <v>143</v>
      </c>
      <c r="C86" s="120"/>
      <c r="D86" s="41" t="s">
        <v>369</v>
      </c>
      <c r="E86" s="120"/>
      <c r="G86" s="51" t="s">
        <v>361</v>
      </c>
      <c r="H86" s="88"/>
      <c r="K86" s="43"/>
      <c r="L86" s="259" t="s">
        <v>370</v>
      </c>
      <c r="P86" s="44"/>
      <c r="Q86" s="44"/>
      <c r="S86" t="s">
        <v>145</v>
      </c>
      <c r="W86" s="44"/>
      <c r="X86" t="s">
        <v>146</v>
      </c>
      <c r="AC86" s="44"/>
      <c r="AD86" t="s">
        <v>147</v>
      </c>
      <c r="AI86" s="44"/>
      <c r="AJ86" t="s">
        <v>148</v>
      </c>
      <c r="AN86" s="48"/>
    </row>
    <row r="87" spans="1:40">
      <c r="A87" s="44" t="s">
        <v>78</v>
      </c>
      <c r="B87" s="51" t="s">
        <v>5</v>
      </c>
      <c r="C87" s="49" t="s">
        <v>84</v>
      </c>
      <c r="D87" s="51" t="s">
        <v>4</v>
      </c>
      <c r="E87" s="252" t="s">
        <v>6</v>
      </c>
      <c r="F87" s="49" t="s">
        <v>7</v>
      </c>
      <c r="G87" s="51" t="s">
        <v>371</v>
      </c>
      <c r="H87" s="89" t="s">
        <v>150</v>
      </c>
      <c r="I87" s="90" t="s">
        <v>151</v>
      </c>
      <c r="J87" s="90" t="s">
        <v>152</v>
      </c>
      <c r="K87" s="91" t="s">
        <v>153</v>
      </c>
      <c r="L87" s="91" t="s">
        <v>371</v>
      </c>
      <c r="P87" s="44" t="s">
        <v>3</v>
      </c>
      <c r="Q87" s="44"/>
      <c r="R87" t="s">
        <v>154</v>
      </c>
      <c r="T87" s="44"/>
      <c r="U87" t="s">
        <v>155</v>
      </c>
      <c r="W87" s="44"/>
      <c r="X87" t="s">
        <v>154</v>
      </c>
      <c r="Z87" s="44"/>
      <c r="AA87" t="s">
        <v>155</v>
      </c>
      <c r="AC87" s="44"/>
      <c r="AD87" t="s">
        <v>154</v>
      </c>
      <c r="AF87" s="44"/>
      <c r="AG87" t="s">
        <v>155</v>
      </c>
      <c r="AI87" s="44"/>
      <c r="AJ87" t="s">
        <v>154</v>
      </c>
      <c r="AL87" s="44"/>
      <c r="AM87" t="s">
        <v>155</v>
      </c>
      <c r="AN87" s="48"/>
    </row>
    <row r="88" spans="1:40">
      <c r="A88" s="45"/>
      <c r="B88" s="52" t="s">
        <v>156</v>
      </c>
      <c r="C88" s="53" t="s">
        <v>156</v>
      </c>
      <c r="D88" s="52" t="s">
        <v>156</v>
      </c>
      <c r="E88" s="53" t="s">
        <v>156</v>
      </c>
      <c r="F88" s="53" t="s">
        <v>156</v>
      </c>
      <c r="G88" s="52" t="s">
        <v>157</v>
      </c>
      <c r="H88" s="92"/>
      <c r="I88" s="53" t="s">
        <v>11</v>
      </c>
      <c r="J88" s="53" t="s">
        <v>11</v>
      </c>
      <c r="K88" s="54" t="s">
        <v>11</v>
      </c>
      <c r="L88" s="260" t="s">
        <v>22</v>
      </c>
      <c r="P88" s="45"/>
      <c r="Q88" s="52" t="s">
        <v>86</v>
      </c>
      <c r="R88" s="53" t="s">
        <v>77</v>
      </c>
      <c r="S88" s="53" t="s">
        <v>78</v>
      </c>
      <c r="T88" s="52" t="s">
        <v>86</v>
      </c>
      <c r="U88" s="53" t="s">
        <v>77</v>
      </c>
      <c r="V88" s="53" t="s">
        <v>78</v>
      </c>
      <c r="W88" s="52" t="s">
        <v>29</v>
      </c>
      <c r="X88" s="53" t="s">
        <v>77</v>
      </c>
      <c r="Y88" s="53" t="s">
        <v>78</v>
      </c>
      <c r="Z88" s="52" t="s">
        <v>29</v>
      </c>
      <c r="AA88" s="53" t="s">
        <v>77</v>
      </c>
      <c r="AB88" s="53" t="s">
        <v>78</v>
      </c>
      <c r="AC88" s="52" t="s">
        <v>30</v>
      </c>
      <c r="AD88" s="53" t="s">
        <v>77</v>
      </c>
      <c r="AE88" s="53" t="s">
        <v>78</v>
      </c>
      <c r="AF88" s="52" t="s">
        <v>30</v>
      </c>
      <c r="AG88" s="53" t="s">
        <v>77</v>
      </c>
      <c r="AH88" s="53" t="s">
        <v>78</v>
      </c>
      <c r="AI88" s="52" t="s">
        <v>158</v>
      </c>
      <c r="AJ88" s="53" t="s">
        <v>77</v>
      </c>
      <c r="AK88" s="53" t="s">
        <v>78</v>
      </c>
      <c r="AL88" s="52" t="s">
        <v>158</v>
      </c>
      <c r="AM88" s="53" t="s">
        <v>77</v>
      </c>
      <c r="AN88" s="54" t="s">
        <v>78</v>
      </c>
    </row>
    <row r="89" spans="1:40">
      <c r="A89" s="44" t="s">
        <v>159</v>
      </c>
      <c r="B89" s="5" t="str">
        <f t="shared" ref="B89:L104" ca="1" si="5">ADDRESS(CELL("row",$A89),CELL("col",B$1),4,TRUE)</f>
        <v>B89</v>
      </c>
      <c r="C89" s="36" t="str">
        <f t="shared" ca="1" si="5"/>
        <v>C89</v>
      </c>
      <c r="D89" s="3" t="str">
        <f t="shared" ca="1" si="5"/>
        <v>D89</v>
      </c>
      <c r="E89" s="36" t="str">
        <f t="shared" ca="1" si="5"/>
        <v>E89</v>
      </c>
      <c r="F89" s="265" t="str">
        <f t="shared" ca="1" si="5"/>
        <v>F89</v>
      </c>
      <c r="G89" s="107" t="str">
        <f t="shared" ca="1" si="5"/>
        <v>G89</v>
      </c>
      <c r="H89" s="107" t="str">
        <f t="shared" ca="1" si="5"/>
        <v>H89</v>
      </c>
      <c r="I89" s="3" t="str">
        <f t="shared" ca="1" si="5"/>
        <v>I89</v>
      </c>
      <c r="J89" s="36" t="str">
        <f t="shared" ca="1" si="5"/>
        <v>J89</v>
      </c>
      <c r="K89" s="36" t="str">
        <f t="shared" ca="1" si="5"/>
        <v>K89</v>
      </c>
      <c r="L89" s="107" t="str">
        <f t="shared" ca="1" si="5"/>
        <v>L89</v>
      </c>
      <c r="P89" s="44" t="s">
        <v>91</v>
      </c>
      <c r="Q89" s="5" t="str">
        <f t="shared" ref="Q89:AN99" ca="1" si="6">ADDRESS(CELL("row",$A89),CELL("col",Q$1),4,TRUE)</f>
        <v>Q89</v>
      </c>
      <c r="R89" s="36" t="str">
        <f t="shared" ca="1" si="6"/>
        <v>R89</v>
      </c>
      <c r="S89" s="36" t="str">
        <f t="shared" ca="1" si="6"/>
        <v>S89</v>
      </c>
      <c r="T89" s="5" t="str">
        <f t="shared" ca="1" si="6"/>
        <v>T89</v>
      </c>
      <c r="U89" s="36" t="str">
        <f t="shared" ca="1" si="6"/>
        <v>U89</v>
      </c>
      <c r="V89" s="36" t="str">
        <f t="shared" ca="1" si="6"/>
        <v>V89</v>
      </c>
      <c r="W89" s="5" t="str">
        <f t="shared" ca="1" si="6"/>
        <v>W89</v>
      </c>
      <c r="X89" s="36" t="str">
        <f t="shared" ca="1" si="6"/>
        <v>X89</v>
      </c>
      <c r="Y89" s="36" t="str">
        <f t="shared" ca="1" si="6"/>
        <v>Y89</v>
      </c>
      <c r="Z89" s="5" t="str">
        <f t="shared" ca="1" si="6"/>
        <v>Z89</v>
      </c>
      <c r="AA89" s="36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6" t="str">
        <f t="shared" ca="1" si="6"/>
        <v>AD89</v>
      </c>
      <c r="AE89" s="36" t="str">
        <f t="shared" ca="1" si="6"/>
        <v>AE89</v>
      </c>
      <c r="AF89" s="5" t="str">
        <f t="shared" ca="1" si="6"/>
        <v>AF89</v>
      </c>
      <c r="AG89" s="36" t="str">
        <f t="shared" ca="1" si="6"/>
        <v>AG89</v>
      </c>
      <c r="AH89" s="36" t="str">
        <f t="shared" ca="1" si="6"/>
        <v>AH89</v>
      </c>
      <c r="AI89" s="5" t="str">
        <f t="shared" ca="1" si="6"/>
        <v>AI89</v>
      </c>
      <c r="AJ89" s="36" t="str">
        <f t="shared" ca="1" si="6"/>
        <v>AJ89</v>
      </c>
      <c r="AK89" s="36" t="str">
        <f t="shared" ca="1" si="6"/>
        <v>AK89</v>
      </c>
      <c r="AL89" s="5" t="str">
        <f t="shared" ca="1" si="6"/>
        <v>AL89</v>
      </c>
      <c r="AM89" s="36" t="str">
        <f t="shared" ca="1" si="6"/>
        <v>AM89</v>
      </c>
      <c r="AN89" s="9" t="str">
        <f t="shared" ca="1" si="6"/>
        <v>AN89</v>
      </c>
    </row>
    <row r="90" spans="1:40">
      <c r="A90" s="44" t="s">
        <v>166</v>
      </c>
      <c r="B90" s="5" t="str">
        <f t="shared" ca="1" si="5"/>
        <v>B90</v>
      </c>
      <c r="C90" s="36" t="str">
        <f t="shared" ca="1" si="5"/>
        <v>C90</v>
      </c>
      <c r="D90" s="5" t="str">
        <f t="shared" ca="1" si="5"/>
        <v>D90</v>
      </c>
      <c r="E90" s="36" t="str">
        <f t="shared" ca="1" si="5"/>
        <v>E90</v>
      </c>
      <c r="F90" s="36" t="str">
        <f t="shared" ca="1" si="5"/>
        <v>F90</v>
      </c>
      <c r="G90" s="108" t="str">
        <f t="shared" ca="1" si="5"/>
        <v>G90</v>
      </c>
      <c r="H90" s="108" t="str">
        <f t="shared" ca="1" si="5"/>
        <v>H90</v>
      </c>
      <c r="I90" s="5" t="str">
        <f t="shared" ca="1" si="5"/>
        <v>I90</v>
      </c>
      <c r="J90" s="36" t="str">
        <f t="shared" ca="1" si="5"/>
        <v>J90</v>
      </c>
      <c r="K90" s="36" t="str">
        <f t="shared" ca="1" si="5"/>
        <v>K90</v>
      </c>
      <c r="L90" s="108" t="str">
        <f t="shared" ca="1" si="5"/>
        <v>L90</v>
      </c>
      <c r="P90" s="44" t="s">
        <v>96</v>
      </c>
      <c r="Q90" s="5" t="str">
        <f t="shared" ca="1" si="6"/>
        <v>Q90</v>
      </c>
      <c r="R90" s="36" t="str">
        <f t="shared" ca="1" si="6"/>
        <v>R90</v>
      </c>
      <c r="S90" s="36" t="str">
        <f t="shared" ca="1" si="6"/>
        <v>S90</v>
      </c>
      <c r="T90" s="5" t="str">
        <f t="shared" ca="1" si="6"/>
        <v>T90</v>
      </c>
      <c r="U90" s="36" t="str">
        <f t="shared" ca="1" si="6"/>
        <v>U90</v>
      </c>
      <c r="V90" s="36" t="str">
        <f t="shared" ca="1" si="6"/>
        <v>V90</v>
      </c>
      <c r="W90" s="5" t="str">
        <f t="shared" ca="1" si="6"/>
        <v>W90</v>
      </c>
      <c r="X90" s="36" t="str">
        <f t="shared" ca="1" si="6"/>
        <v>X90</v>
      </c>
      <c r="Y90" s="36" t="str">
        <f t="shared" ca="1" si="6"/>
        <v>Y90</v>
      </c>
      <c r="Z90" s="5" t="str">
        <f t="shared" ca="1" si="6"/>
        <v>Z90</v>
      </c>
      <c r="AA90" s="36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6" t="str">
        <f t="shared" ca="1" si="6"/>
        <v>AD90</v>
      </c>
      <c r="AE90" s="36" t="str">
        <f t="shared" ca="1" si="6"/>
        <v>AE90</v>
      </c>
      <c r="AF90" s="5" t="str">
        <f t="shared" ca="1" si="6"/>
        <v>AF90</v>
      </c>
      <c r="AG90" s="36" t="str">
        <f t="shared" ca="1" si="6"/>
        <v>AG90</v>
      </c>
      <c r="AH90" s="36" t="str">
        <f t="shared" ca="1" si="6"/>
        <v>AH90</v>
      </c>
      <c r="AI90" s="5" t="str">
        <f t="shared" ca="1" si="6"/>
        <v>AI90</v>
      </c>
      <c r="AJ90" s="36" t="str">
        <f t="shared" ca="1" si="6"/>
        <v>AJ90</v>
      </c>
      <c r="AK90" s="36" t="str">
        <f t="shared" ca="1" si="6"/>
        <v>AK90</v>
      </c>
      <c r="AL90" s="5" t="str">
        <f t="shared" ca="1" si="6"/>
        <v>AL90</v>
      </c>
      <c r="AM90" s="36" t="str">
        <f t="shared" ca="1" si="6"/>
        <v>AM90</v>
      </c>
      <c r="AN90" s="9" t="str">
        <f t="shared" ca="1" si="6"/>
        <v>AN90</v>
      </c>
    </row>
    <row r="91" spans="1:40">
      <c r="A91" s="44" t="s">
        <v>169</v>
      </c>
      <c r="B91" s="5" t="str">
        <f t="shared" ca="1" si="5"/>
        <v>B91</v>
      </c>
      <c r="C91" s="36" t="str">
        <f t="shared" ca="1" si="5"/>
        <v>C91</v>
      </c>
      <c r="D91" s="5" t="str">
        <f t="shared" ca="1" si="5"/>
        <v>D91</v>
      </c>
      <c r="E91" s="36" t="str">
        <f t="shared" ca="1" si="5"/>
        <v>E91</v>
      </c>
      <c r="F91" s="36" t="str">
        <f t="shared" ca="1" si="5"/>
        <v>F91</v>
      </c>
      <c r="G91" s="108" t="str">
        <f t="shared" ca="1" si="5"/>
        <v>G91</v>
      </c>
      <c r="H91" s="108" t="str">
        <f t="shared" ca="1" si="5"/>
        <v>H91</v>
      </c>
      <c r="I91" s="5" t="str">
        <f t="shared" ca="1" si="5"/>
        <v>I91</v>
      </c>
      <c r="J91" s="36" t="str">
        <f t="shared" ca="1" si="5"/>
        <v>J91</v>
      </c>
      <c r="K91" s="36" t="str">
        <f t="shared" ca="1" si="5"/>
        <v>K91</v>
      </c>
      <c r="L91" s="108" t="str">
        <f t="shared" ca="1" si="5"/>
        <v>L91</v>
      </c>
      <c r="P91" s="44" t="s">
        <v>98</v>
      </c>
      <c r="Q91" s="5" t="str">
        <f t="shared" ca="1" si="6"/>
        <v>Q91</v>
      </c>
      <c r="R91" s="36" t="str">
        <f t="shared" ca="1" si="6"/>
        <v>R91</v>
      </c>
      <c r="S91" s="36" t="str">
        <f t="shared" ca="1" si="6"/>
        <v>S91</v>
      </c>
      <c r="T91" s="5" t="str">
        <f t="shared" ca="1" si="6"/>
        <v>T91</v>
      </c>
      <c r="U91" s="36" t="str">
        <f t="shared" ca="1" si="6"/>
        <v>U91</v>
      </c>
      <c r="V91" s="36" t="str">
        <f t="shared" ca="1" si="6"/>
        <v>V91</v>
      </c>
      <c r="W91" s="5" t="str">
        <f t="shared" ca="1" si="6"/>
        <v>W91</v>
      </c>
      <c r="X91" s="36" t="str">
        <f t="shared" ca="1" si="6"/>
        <v>X91</v>
      </c>
      <c r="Y91" s="36" t="str">
        <f t="shared" ca="1" si="6"/>
        <v>Y91</v>
      </c>
      <c r="Z91" s="5" t="str">
        <f t="shared" ca="1" si="6"/>
        <v>Z91</v>
      </c>
      <c r="AA91" s="36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6" t="str">
        <f t="shared" ca="1" si="6"/>
        <v>AD91</v>
      </c>
      <c r="AE91" s="36" t="str">
        <f t="shared" ca="1" si="6"/>
        <v>AE91</v>
      </c>
      <c r="AF91" s="5" t="str">
        <f t="shared" ca="1" si="6"/>
        <v>AF91</v>
      </c>
      <c r="AG91" s="36" t="str">
        <f t="shared" ca="1" si="6"/>
        <v>AG91</v>
      </c>
      <c r="AH91" s="36" t="str">
        <f t="shared" ca="1" si="6"/>
        <v>AH91</v>
      </c>
      <c r="AI91" s="5" t="str">
        <f t="shared" ca="1" si="6"/>
        <v>AI91</v>
      </c>
      <c r="AJ91" s="36" t="str">
        <f t="shared" ca="1" si="6"/>
        <v>AJ91</v>
      </c>
      <c r="AK91" s="36" t="str">
        <f t="shared" ca="1" si="6"/>
        <v>AK91</v>
      </c>
      <c r="AL91" s="5" t="str">
        <f t="shared" ca="1" si="6"/>
        <v>AL91</v>
      </c>
      <c r="AM91" s="36" t="str">
        <f t="shared" ca="1" si="6"/>
        <v>AM91</v>
      </c>
      <c r="AN91" s="9" t="str">
        <f t="shared" ca="1" si="6"/>
        <v>AN91</v>
      </c>
    </row>
    <row r="92" spans="1:40">
      <c r="A92" s="44" t="s">
        <v>171</v>
      </c>
      <c r="B92" s="5" t="str">
        <f t="shared" ca="1" si="5"/>
        <v>B92</v>
      </c>
      <c r="C92" s="36" t="str">
        <f t="shared" ca="1" si="5"/>
        <v>C92</v>
      </c>
      <c r="D92" s="5" t="str">
        <f t="shared" ca="1" si="5"/>
        <v>D92</v>
      </c>
      <c r="E92" s="36" t="str">
        <f t="shared" ca="1" si="5"/>
        <v>E92</v>
      </c>
      <c r="F92" s="36" t="str">
        <f t="shared" ca="1" si="5"/>
        <v>F92</v>
      </c>
      <c r="G92" s="108" t="str">
        <f t="shared" ca="1" si="5"/>
        <v>G92</v>
      </c>
      <c r="H92" s="108" t="str">
        <f t="shared" ca="1" si="5"/>
        <v>H92</v>
      </c>
      <c r="I92" s="5" t="str">
        <f t="shared" ca="1" si="5"/>
        <v>I92</v>
      </c>
      <c r="J92" s="36" t="str">
        <f t="shared" ca="1" si="5"/>
        <v>J92</v>
      </c>
      <c r="K92" s="36" t="str">
        <f t="shared" ca="1" si="5"/>
        <v>K92</v>
      </c>
      <c r="L92" s="108" t="str">
        <f t="shared" ca="1" si="5"/>
        <v>L92</v>
      </c>
      <c r="P92" s="44" t="s">
        <v>102</v>
      </c>
      <c r="Q92" s="5" t="str">
        <f t="shared" ca="1" si="6"/>
        <v>Q92</v>
      </c>
      <c r="R92" s="36" t="str">
        <f t="shared" ca="1" si="6"/>
        <v>R92</v>
      </c>
      <c r="S92" s="36" t="str">
        <f t="shared" ca="1" si="6"/>
        <v>S92</v>
      </c>
      <c r="T92" s="5" t="str">
        <f t="shared" ca="1" si="6"/>
        <v>T92</v>
      </c>
      <c r="U92" s="36" t="str">
        <f t="shared" ca="1" si="6"/>
        <v>U92</v>
      </c>
      <c r="V92" s="36" t="str">
        <f t="shared" ca="1" si="6"/>
        <v>V92</v>
      </c>
      <c r="W92" s="5" t="str">
        <f t="shared" ca="1" si="6"/>
        <v>W92</v>
      </c>
      <c r="X92" s="36" t="str">
        <f t="shared" ca="1" si="6"/>
        <v>X92</v>
      </c>
      <c r="Y92" s="36" t="str">
        <f t="shared" ca="1" si="6"/>
        <v>Y92</v>
      </c>
      <c r="Z92" s="5" t="str">
        <f t="shared" ca="1" si="6"/>
        <v>Z92</v>
      </c>
      <c r="AA92" s="36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6" t="str">
        <f t="shared" ca="1" si="6"/>
        <v>AD92</v>
      </c>
      <c r="AE92" s="36" t="str">
        <f t="shared" ca="1" si="6"/>
        <v>AE92</v>
      </c>
      <c r="AF92" s="5" t="str">
        <f t="shared" ca="1" si="6"/>
        <v>AF92</v>
      </c>
      <c r="AG92" s="36" t="str">
        <f t="shared" ca="1" si="6"/>
        <v>AG92</v>
      </c>
      <c r="AH92" s="36" t="str">
        <f t="shared" ca="1" si="6"/>
        <v>AH92</v>
      </c>
      <c r="AI92" s="5" t="str">
        <f t="shared" ca="1" si="6"/>
        <v>AI92</v>
      </c>
      <c r="AJ92" s="36" t="str">
        <f t="shared" ca="1" si="6"/>
        <v>AJ92</v>
      </c>
      <c r="AK92" s="36" t="str">
        <f t="shared" ca="1" si="6"/>
        <v>AK92</v>
      </c>
      <c r="AL92" s="5" t="str">
        <f t="shared" ca="1" si="6"/>
        <v>AL92</v>
      </c>
      <c r="AM92" s="36" t="str">
        <f t="shared" ca="1" si="6"/>
        <v>AM92</v>
      </c>
      <c r="AN92" s="9" t="str">
        <f t="shared" ca="1" si="6"/>
        <v>AN92</v>
      </c>
    </row>
    <row r="93" spans="1:40">
      <c r="A93" s="44" t="s">
        <v>173</v>
      </c>
      <c r="B93" s="5" t="str">
        <f t="shared" ca="1" si="5"/>
        <v>B93</v>
      </c>
      <c r="C93" s="36" t="str">
        <f t="shared" ca="1" si="5"/>
        <v>C93</v>
      </c>
      <c r="D93" s="5" t="str">
        <f t="shared" ca="1" si="5"/>
        <v>D93</v>
      </c>
      <c r="E93" s="36" t="str">
        <f t="shared" ca="1" si="5"/>
        <v>E93</v>
      </c>
      <c r="F93" s="36" t="str">
        <f t="shared" ca="1" si="5"/>
        <v>F93</v>
      </c>
      <c r="G93" s="108" t="str">
        <f t="shared" ca="1" si="5"/>
        <v>G93</v>
      </c>
      <c r="H93" s="108" t="str">
        <f t="shared" ca="1" si="5"/>
        <v>H93</v>
      </c>
      <c r="I93" s="5" t="str">
        <f t="shared" ca="1" si="5"/>
        <v>I93</v>
      </c>
      <c r="J93" s="36" t="str">
        <f t="shared" ca="1" si="5"/>
        <v>J93</v>
      </c>
      <c r="K93" s="36" t="str">
        <f t="shared" ca="1" si="5"/>
        <v>K93</v>
      </c>
      <c r="L93" s="108" t="str">
        <f t="shared" ca="1" si="5"/>
        <v>L93</v>
      </c>
      <c r="P93" s="44" t="s">
        <v>356</v>
      </c>
      <c r="Q93" s="5" t="str">
        <f t="shared" ca="1" si="6"/>
        <v>Q93</v>
      </c>
      <c r="R93" s="36" t="str">
        <f t="shared" ca="1" si="6"/>
        <v>R93</v>
      </c>
      <c r="S93" s="36" t="str">
        <f t="shared" ca="1" si="6"/>
        <v>S93</v>
      </c>
      <c r="T93" s="5" t="str">
        <f t="shared" ca="1" si="6"/>
        <v>T93</v>
      </c>
      <c r="U93" s="36" t="str">
        <f t="shared" ca="1" si="6"/>
        <v>U93</v>
      </c>
      <c r="V93" s="36" t="str">
        <f t="shared" ca="1" si="6"/>
        <v>V93</v>
      </c>
      <c r="W93" s="5" t="str">
        <f t="shared" ca="1" si="6"/>
        <v>W93</v>
      </c>
      <c r="X93" s="36" t="str">
        <f t="shared" ca="1" si="6"/>
        <v>X93</v>
      </c>
      <c r="Y93" s="36" t="str">
        <f t="shared" ca="1" si="6"/>
        <v>Y93</v>
      </c>
      <c r="Z93" s="5" t="str">
        <f t="shared" ca="1" si="6"/>
        <v>Z93</v>
      </c>
      <c r="AA93" s="36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6" t="str">
        <f t="shared" ca="1" si="6"/>
        <v>AD93</v>
      </c>
      <c r="AE93" s="36" t="str">
        <f t="shared" ca="1" si="6"/>
        <v>AE93</v>
      </c>
      <c r="AF93" s="5" t="str">
        <f t="shared" ca="1" si="6"/>
        <v>AF93</v>
      </c>
      <c r="AG93" s="36" t="str">
        <f t="shared" ca="1" si="6"/>
        <v>AG93</v>
      </c>
      <c r="AH93" s="36" t="str">
        <f t="shared" ca="1" si="6"/>
        <v>AH93</v>
      </c>
      <c r="AI93" s="5" t="str">
        <f t="shared" ca="1" si="6"/>
        <v>AI93</v>
      </c>
      <c r="AJ93" s="36" t="str">
        <f t="shared" ca="1" si="6"/>
        <v>AJ93</v>
      </c>
      <c r="AK93" s="36" t="str">
        <f t="shared" ca="1" si="6"/>
        <v>AK93</v>
      </c>
      <c r="AL93" s="5" t="str">
        <f t="shared" ca="1" si="6"/>
        <v>AL93</v>
      </c>
      <c r="AM93" s="36" t="str">
        <f t="shared" ca="1" si="6"/>
        <v>AM93</v>
      </c>
      <c r="AN93" s="9" t="str">
        <f t="shared" ca="1" si="6"/>
        <v>AN93</v>
      </c>
    </row>
    <row r="94" spans="1:40">
      <c r="A94" s="44" t="s">
        <v>174</v>
      </c>
      <c r="B94" s="5" t="str">
        <f t="shared" ca="1" si="5"/>
        <v>B94</v>
      </c>
      <c r="C94" s="36" t="str">
        <f t="shared" ca="1" si="5"/>
        <v>C94</v>
      </c>
      <c r="D94" s="5" t="str">
        <f t="shared" ca="1" si="5"/>
        <v>D94</v>
      </c>
      <c r="E94" s="36" t="str">
        <f t="shared" ca="1" si="5"/>
        <v>E94</v>
      </c>
      <c r="F94" s="36" t="str">
        <f t="shared" ca="1" si="5"/>
        <v>F94</v>
      </c>
      <c r="G94" s="108" t="str">
        <f t="shared" ca="1" si="5"/>
        <v>G94</v>
      </c>
      <c r="H94" s="108" t="str">
        <f t="shared" ca="1" si="5"/>
        <v>H94</v>
      </c>
      <c r="I94" s="5" t="str">
        <f t="shared" ca="1" si="5"/>
        <v>I94</v>
      </c>
      <c r="J94" s="36" t="str">
        <f t="shared" ca="1" si="5"/>
        <v>J94</v>
      </c>
      <c r="K94" s="36" t="str">
        <f t="shared" ca="1" si="5"/>
        <v>K94</v>
      </c>
      <c r="L94" s="108" t="str">
        <f t="shared" ca="1" si="5"/>
        <v>L94</v>
      </c>
      <c r="P94" s="44" t="s">
        <v>105</v>
      </c>
      <c r="Q94" s="5" t="str">
        <f t="shared" ca="1" si="6"/>
        <v>Q94</v>
      </c>
      <c r="R94" s="36" t="str">
        <f t="shared" ca="1" si="6"/>
        <v>R94</v>
      </c>
      <c r="S94" s="36" t="str">
        <f t="shared" ca="1" si="6"/>
        <v>S94</v>
      </c>
      <c r="T94" s="5" t="str">
        <f t="shared" ca="1" si="6"/>
        <v>T94</v>
      </c>
      <c r="U94" s="36" t="str">
        <f t="shared" ca="1" si="6"/>
        <v>U94</v>
      </c>
      <c r="V94" s="36" t="str">
        <f t="shared" ca="1" si="6"/>
        <v>V94</v>
      </c>
      <c r="W94" s="5" t="str">
        <f t="shared" ca="1" si="6"/>
        <v>W94</v>
      </c>
      <c r="X94" s="36" t="str">
        <f t="shared" ca="1" si="6"/>
        <v>X94</v>
      </c>
      <c r="Y94" s="36" t="str">
        <f t="shared" ca="1" si="6"/>
        <v>Y94</v>
      </c>
      <c r="Z94" s="5" t="str">
        <f t="shared" ca="1" si="6"/>
        <v>Z94</v>
      </c>
      <c r="AA94" s="36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6" t="str">
        <f t="shared" ca="1" si="6"/>
        <v>AD94</v>
      </c>
      <c r="AE94" s="36" t="str">
        <f t="shared" ca="1" si="6"/>
        <v>AE94</v>
      </c>
      <c r="AF94" s="5" t="str">
        <f t="shared" ca="1" si="6"/>
        <v>AF94</v>
      </c>
      <c r="AG94" s="36" t="str">
        <f t="shared" ca="1" si="6"/>
        <v>AG94</v>
      </c>
      <c r="AH94" s="36" t="str">
        <f t="shared" ca="1" si="6"/>
        <v>AH94</v>
      </c>
      <c r="AI94" s="5" t="str">
        <f t="shared" ca="1" si="6"/>
        <v>AI94</v>
      </c>
      <c r="AJ94" s="36" t="str">
        <f t="shared" ca="1" si="6"/>
        <v>AJ94</v>
      </c>
      <c r="AK94" s="36" t="str">
        <f t="shared" ca="1" si="6"/>
        <v>AK94</v>
      </c>
      <c r="AL94" s="5" t="str">
        <f t="shared" ca="1" si="6"/>
        <v>AL94</v>
      </c>
      <c r="AM94" s="36" t="str">
        <f t="shared" ca="1" si="6"/>
        <v>AM94</v>
      </c>
      <c r="AN94" s="9" t="str">
        <f t="shared" ca="1" si="6"/>
        <v>AN94</v>
      </c>
    </row>
    <row r="95" spans="1:40">
      <c r="A95" s="44" t="s">
        <v>176</v>
      </c>
      <c r="B95" s="5" t="str">
        <f t="shared" ca="1" si="5"/>
        <v>B95</v>
      </c>
      <c r="C95" s="36" t="str">
        <f t="shared" ca="1" si="5"/>
        <v>C95</v>
      </c>
      <c r="D95" s="5" t="str">
        <f t="shared" ca="1" si="5"/>
        <v>D95</v>
      </c>
      <c r="E95" s="36" t="str">
        <f t="shared" ca="1" si="5"/>
        <v>E95</v>
      </c>
      <c r="F95" s="36" t="str">
        <f t="shared" ca="1" si="5"/>
        <v>F95</v>
      </c>
      <c r="G95" s="108" t="str">
        <f t="shared" ca="1" si="5"/>
        <v>G95</v>
      </c>
      <c r="H95" s="108" t="str">
        <f t="shared" ca="1" si="5"/>
        <v>H95</v>
      </c>
      <c r="I95" s="5" t="str">
        <f t="shared" ca="1" si="5"/>
        <v>I95</v>
      </c>
      <c r="J95" s="36" t="str">
        <f t="shared" ca="1" si="5"/>
        <v>J95</v>
      </c>
      <c r="K95" s="36" t="str">
        <f t="shared" ca="1" si="5"/>
        <v>K95</v>
      </c>
      <c r="L95" s="108" t="str">
        <f t="shared" ca="1" si="5"/>
        <v>L95</v>
      </c>
      <c r="P95" s="44" t="s">
        <v>108</v>
      </c>
      <c r="Q95" s="5" t="str">
        <f t="shared" ca="1" si="6"/>
        <v>Q95</v>
      </c>
      <c r="R95" s="36" t="str">
        <f t="shared" ca="1" si="6"/>
        <v>R95</v>
      </c>
      <c r="S95" s="36" t="str">
        <f t="shared" ca="1" si="6"/>
        <v>S95</v>
      </c>
      <c r="T95" s="5" t="str">
        <f t="shared" ca="1" si="6"/>
        <v>T95</v>
      </c>
      <c r="U95" s="36" t="str">
        <f t="shared" ca="1" si="6"/>
        <v>U95</v>
      </c>
      <c r="V95" s="36" t="str">
        <f t="shared" ca="1" si="6"/>
        <v>V95</v>
      </c>
      <c r="W95" s="5" t="str">
        <f t="shared" ca="1" si="6"/>
        <v>W95</v>
      </c>
      <c r="X95" s="36" t="str">
        <f t="shared" ca="1" si="6"/>
        <v>X95</v>
      </c>
      <c r="Y95" s="36" t="str">
        <f t="shared" ca="1" si="6"/>
        <v>Y95</v>
      </c>
      <c r="Z95" s="5" t="str">
        <f t="shared" ca="1" si="6"/>
        <v>Z95</v>
      </c>
      <c r="AA95" s="36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6" t="str">
        <f t="shared" ca="1" si="6"/>
        <v>AD95</v>
      </c>
      <c r="AE95" s="36" t="str">
        <f t="shared" ca="1" si="6"/>
        <v>AE95</v>
      </c>
      <c r="AF95" s="5" t="str">
        <f t="shared" ca="1" si="6"/>
        <v>AF95</v>
      </c>
      <c r="AG95" s="36" t="str">
        <f t="shared" ca="1" si="6"/>
        <v>AG95</v>
      </c>
      <c r="AH95" s="36" t="str">
        <f t="shared" ca="1" si="6"/>
        <v>AH95</v>
      </c>
      <c r="AI95" s="5" t="str">
        <f t="shared" ca="1" si="6"/>
        <v>AI95</v>
      </c>
      <c r="AJ95" s="36" t="str">
        <f t="shared" ca="1" si="6"/>
        <v>AJ95</v>
      </c>
      <c r="AK95" s="36" t="str">
        <f t="shared" ca="1" si="6"/>
        <v>AK95</v>
      </c>
      <c r="AL95" s="5" t="str">
        <f t="shared" ca="1" si="6"/>
        <v>AL95</v>
      </c>
      <c r="AM95" s="36" t="str">
        <f t="shared" ca="1" si="6"/>
        <v>AM95</v>
      </c>
      <c r="AN95" s="9" t="str">
        <f t="shared" ca="1" si="6"/>
        <v>AN95</v>
      </c>
    </row>
    <row r="96" spans="1:40">
      <c r="A96" s="44" t="s">
        <v>178</v>
      </c>
      <c r="B96" s="5" t="str">
        <f t="shared" ca="1" si="5"/>
        <v>B96</v>
      </c>
      <c r="C96" s="36" t="str">
        <f t="shared" ca="1" si="5"/>
        <v>C96</v>
      </c>
      <c r="D96" s="5" t="str">
        <f t="shared" ca="1" si="5"/>
        <v>D96</v>
      </c>
      <c r="E96" s="36" t="str">
        <f t="shared" ca="1" si="5"/>
        <v>E96</v>
      </c>
      <c r="F96" s="36" t="str">
        <f t="shared" ca="1" si="5"/>
        <v>F96</v>
      </c>
      <c r="G96" s="108" t="str">
        <f t="shared" ca="1" si="5"/>
        <v>G96</v>
      </c>
      <c r="H96" s="108" t="str">
        <f t="shared" ca="1" si="5"/>
        <v>H96</v>
      </c>
      <c r="I96" s="5" t="str">
        <f t="shared" ca="1" si="5"/>
        <v>I96</v>
      </c>
      <c r="J96" s="36" t="str">
        <f t="shared" ca="1" si="5"/>
        <v>J96</v>
      </c>
      <c r="K96" s="36" t="str">
        <f t="shared" ca="1" si="5"/>
        <v>K96</v>
      </c>
      <c r="L96" s="108" t="str">
        <f t="shared" ca="1" si="5"/>
        <v>L96</v>
      </c>
      <c r="P96" s="44" t="s">
        <v>109</v>
      </c>
      <c r="Q96" s="5" t="str">
        <f t="shared" ca="1" si="6"/>
        <v>Q96</v>
      </c>
      <c r="R96" s="36" t="str">
        <f t="shared" ca="1" si="6"/>
        <v>R96</v>
      </c>
      <c r="S96" s="36" t="str">
        <f t="shared" ca="1" si="6"/>
        <v>S96</v>
      </c>
      <c r="T96" s="5" t="str">
        <f t="shared" ca="1" si="6"/>
        <v>T96</v>
      </c>
      <c r="U96" s="36" t="str">
        <f t="shared" ca="1" si="6"/>
        <v>U96</v>
      </c>
      <c r="V96" s="36" t="str">
        <f t="shared" ca="1" si="6"/>
        <v>V96</v>
      </c>
      <c r="W96" s="5" t="str">
        <f t="shared" ca="1" si="6"/>
        <v>W96</v>
      </c>
      <c r="X96" s="36" t="str">
        <f t="shared" ca="1" si="6"/>
        <v>X96</v>
      </c>
      <c r="Y96" s="36" t="str">
        <f t="shared" ca="1" si="6"/>
        <v>Y96</v>
      </c>
      <c r="Z96" s="5" t="str">
        <f t="shared" ca="1" si="6"/>
        <v>Z96</v>
      </c>
      <c r="AA96" s="36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6" t="str">
        <f t="shared" ca="1" si="6"/>
        <v>AD96</v>
      </c>
      <c r="AE96" s="36" t="str">
        <f t="shared" ca="1" si="6"/>
        <v>AE96</v>
      </c>
      <c r="AF96" s="5" t="str">
        <f t="shared" ca="1" si="6"/>
        <v>AF96</v>
      </c>
      <c r="AG96" s="36" t="str">
        <f t="shared" ca="1" si="6"/>
        <v>AG96</v>
      </c>
      <c r="AH96" s="36" t="str">
        <f t="shared" ca="1" si="6"/>
        <v>AH96</v>
      </c>
      <c r="AI96" s="5" t="str">
        <f t="shared" ca="1" si="6"/>
        <v>AI96</v>
      </c>
      <c r="AJ96" s="36" t="str">
        <f t="shared" ca="1" si="6"/>
        <v>AJ96</v>
      </c>
      <c r="AK96" s="36" t="str">
        <f t="shared" ca="1" si="6"/>
        <v>AK96</v>
      </c>
      <c r="AL96" s="5" t="str">
        <f t="shared" ca="1" si="6"/>
        <v>AL96</v>
      </c>
      <c r="AM96" s="36" t="str">
        <f t="shared" ca="1" si="6"/>
        <v>AM96</v>
      </c>
      <c r="AN96" s="9" t="str">
        <f t="shared" ca="1" si="6"/>
        <v>AN96</v>
      </c>
    </row>
    <row r="97" spans="1:40">
      <c r="A97" s="44" t="s">
        <v>180</v>
      </c>
      <c r="B97" s="5" t="str">
        <f t="shared" ca="1" si="5"/>
        <v>B97</v>
      </c>
      <c r="C97" s="36" t="str">
        <f t="shared" ca="1" si="5"/>
        <v>C97</v>
      </c>
      <c r="D97" s="5" t="str">
        <f t="shared" ca="1" si="5"/>
        <v>D97</v>
      </c>
      <c r="E97" s="36" t="str">
        <f t="shared" ca="1" si="5"/>
        <v>E97</v>
      </c>
      <c r="F97" s="36" t="str">
        <f t="shared" ca="1" si="5"/>
        <v>F97</v>
      </c>
      <c r="G97" s="108" t="str">
        <f t="shared" ca="1" si="5"/>
        <v>G97</v>
      </c>
      <c r="H97" s="108" t="str">
        <f t="shared" ca="1" si="5"/>
        <v>H97</v>
      </c>
      <c r="I97" s="5" t="str">
        <f t="shared" ca="1" si="5"/>
        <v>I97</v>
      </c>
      <c r="J97" s="36" t="str">
        <f t="shared" ca="1" si="5"/>
        <v>J97</v>
      </c>
      <c r="K97" s="36" t="str">
        <f t="shared" ca="1" si="5"/>
        <v>K97</v>
      </c>
      <c r="L97" s="108" t="str">
        <f t="shared" ca="1" si="5"/>
        <v>L97</v>
      </c>
      <c r="P97" s="44" t="s">
        <v>111</v>
      </c>
      <c r="Q97" s="5" t="str">
        <f t="shared" ca="1" si="6"/>
        <v>Q97</v>
      </c>
      <c r="R97" s="36" t="str">
        <f t="shared" ca="1" si="6"/>
        <v>R97</v>
      </c>
      <c r="S97" s="36" t="str">
        <f t="shared" ca="1" si="6"/>
        <v>S97</v>
      </c>
      <c r="T97" s="5" t="str">
        <f t="shared" ca="1" si="6"/>
        <v>T97</v>
      </c>
      <c r="U97" s="36" t="str">
        <f t="shared" ca="1" si="6"/>
        <v>U97</v>
      </c>
      <c r="V97" s="36" t="str">
        <f t="shared" ca="1" si="6"/>
        <v>V97</v>
      </c>
      <c r="W97" s="5" t="str">
        <f t="shared" ca="1" si="6"/>
        <v>W97</v>
      </c>
      <c r="X97" s="36" t="str">
        <f t="shared" ca="1" si="6"/>
        <v>X97</v>
      </c>
      <c r="Y97" s="36" t="str">
        <f t="shared" ca="1" si="6"/>
        <v>Y97</v>
      </c>
      <c r="Z97" s="5" t="str">
        <f t="shared" ca="1" si="6"/>
        <v>Z97</v>
      </c>
      <c r="AA97" s="36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6" t="str">
        <f t="shared" ca="1" si="6"/>
        <v>AD97</v>
      </c>
      <c r="AE97" s="36" t="str">
        <f t="shared" ca="1" si="6"/>
        <v>AE97</v>
      </c>
      <c r="AF97" s="5" t="str">
        <f t="shared" ca="1" si="6"/>
        <v>AF97</v>
      </c>
      <c r="AG97" s="36" t="str">
        <f t="shared" ca="1" si="6"/>
        <v>AG97</v>
      </c>
      <c r="AH97" s="36" t="str">
        <f t="shared" ca="1" si="6"/>
        <v>AH97</v>
      </c>
      <c r="AI97" s="5" t="str">
        <f t="shared" ca="1" si="6"/>
        <v>AI97</v>
      </c>
      <c r="AJ97" s="36" t="str">
        <f t="shared" ca="1" si="6"/>
        <v>AJ97</v>
      </c>
      <c r="AK97" s="36" t="str">
        <f t="shared" ca="1" si="6"/>
        <v>AK97</v>
      </c>
      <c r="AL97" s="5" t="str">
        <f t="shared" ca="1" si="6"/>
        <v>AL97</v>
      </c>
      <c r="AM97" s="36" t="str">
        <f t="shared" ca="1" si="6"/>
        <v>AM97</v>
      </c>
      <c r="AN97" s="9" t="str">
        <f t="shared" ca="1" si="6"/>
        <v>AN97</v>
      </c>
    </row>
    <row r="98" spans="1:40">
      <c r="A98" s="44" t="s">
        <v>183</v>
      </c>
      <c r="B98" s="5" t="str">
        <f t="shared" ca="1" si="5"/>
        <v>B98</v>
      </c>
      <c r="C98" s="36" t="str">
        <f t="shared" ca="1" si="5"/>
        <v>C98</v>
      </c>
      <c r="D98" s="5" t="str">
        <f t="shared" ca="1" si="5"/>
        <v>D98</v>
      </c>
      <c r="E98" s="36" t="str">
        <f t="shared" ca="1" si="5"/>
        <v>E98</v>
      </c>
      <c r="F98" s="36" t="str">
        <f t="shared" ca="1" si="5"/>
        <v>F98</v>
      </c>
      <c r="G98" s="108" t="str">
        <f t="shared" ca="1" si="5"/>
        <v>G98</v>
      </c>
      <c r="H98" s="108" t="str">
        <f t="shared" ca="1" si="5"/>
        <v>H98</v>
      </c>
      <c r="I98" s="5" t="str">
        <f t="shared" ca="1" si="5"/>
        <v>I98</v>
      </c>
      <c r="J98" s="36" t="str">
        <f t="shared" ca="1" si="5"/>
        <v>J98</v>
      </c>
      <c r="K98" s="36" t="str">
        <f t="shared" ca="1" si="5"/>
        <v>K98</v>
      </c>
      <c r="L98" s="108" t="str">
        <f t="shared" ca="1" si="5"/>
        <v>L98</v>
      </c>
      <c r="P98" s="44" t="s">
        <v>112</v>
      </c>
      <c r="Q98" s="5" t="str">
        <f t="shared" ca="1" si="6"/>
        <v>Q98</v>
      </c>
      <c r="R98" s="36" t="str">
        <f t="shared" ca="1" si="6"/>
        <v>R98</v>
      </c>
      <c r="S98" s="36" t="str">
        <f t="shared" ca="1" si="6"/>
        <v>S98</v>
      </c>
      <c r="T98" s="5" t="str">
        <f t="shared" ca="1" si="6"/>
        <v>T98</v>
      </c>
      <c r="U98" s="36" t="str">
        <f t="shared" ca="1" si="6"/>
        <v>U98</v>
      </c>
      <c r="V98" s="36" t="str">
        <f t="shared" ca="1" si="6"/>
        <v>V98</v>
      </c>
      <c r="W98" s="5" t="str">
        <f t="shared" ca="1" si="6"/>
        <v>W98</v>
      </c>
      <c r="X98" s="36" t="str">
        <f t="shared" ca="1" si="6"/>
        <v>X98</v>
      </c>
      <c r="Y98" s="36" t="str">
        <f t="shared" ca="1" si="6"/>
        <v>Y98</v>
      </c>
      <c r="Z98" s="5" t="str">
        <f t="shared" ca="1" si="6"/>
        <v>Z98</v>
      </c>
      <c r="AA98" s="36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6" t="str">
        <f t="shared" ca="1" si="6"/>
        <v>AD98</v>
      </c>
      <c r="AE98" s="36" t="str">
        <f t="shared" ca="1" si="6"/>
        <v>AE98</v>
      </c>
      <c r="AF98" s="5" t="str">
        <f t="shared" ca="1" si="6"/>
        <v>AF98</v>
      </c>
      <c r="AG98" s="36" t="str">
        <f t="shared" ca="1" si="6"/>
        <v>AG98</v>
      </c>
      <c r="AH98" s="36" t="str">
        <f t="shared" ca="1" si="6"/>
        <v>AH98</v>
      </c>
      <c r="AI98" s="5" t="str">
        <f t="shared" ca="1" si="6"/>
        <v>AI98</v>
      </c>
      <c r="AJ98" s="36" t="str">
        <f t="shared" ca="1" si="6"/>
        <v>AJ98</v>
      </c>
      <c r="AK98" s="36" t="str">
        <f t="shared" ca="1" si="6"/>
        <v>AK98</v>
      </c>
      <c r="AL98" s="5" t="str">
        <f t="shared" ca="1" si="6"/>
        <v>AL98</v>
      </c>
      <c r="AM98" s="36" t="str">
        <f t="shared" ca="1" si="6"/>
        <v>AM98</v>
      </c>
      <c r="AN98" s="9" t="str">
        <f t="shared" ca="1" si="6"/>
        <v>AN98</v>
      </c>
    </row>
    <row r="99" spans="1:40">
      <c r="A99" s="44" t="s">
        <v>186</v>
      </c>
      <c r="B99" s="5" t="str">
        <f t="shared" ca="1" si="5"/>
        <v>B99</v>
      </c>
      <c r="C99" s="36" t="str">
        <f t="shared" ca="1" si="5"/>
        <v>C99</v>
      </c>
      <c r="D99" s="5" t="str">
        <f t="shared" ca="1" si="5"/>
        <v>D99</v>
      </c>
      <c r="E99" s="36" t="str">
        <f t="shared" ca="1" si="5"/>
        <v>E99</v>
      </c>
      <c r="F99" s="36" t="str">
        <f t="shared" ca="1" si="5"/>
        <v>F99</v>
      </c>
      <c r="G99" s="108" t="str">
        <f t="shared" ca="1" si="5"/>
        <v>G99</v>
      </c>
      <c r="H99" s="108" t="str">
        <f t="shared" ca="1" si="5"/>
        <v>H99</v>
      </c>
      <c r="I99" s="5" t="str">
        <f t="shared" ca="1" si="5"/>
        <v>I99</v>
      </c>
      <c r="J99" s="36" t="str">
        <f t="shared" ca="1" si="5"/>
        <v>J99</v>
      </c>
      <c r="K99" s="36" t="str">
        <f t="shared" ca="1" si="5"/>
        <v>K99</v>
      </c>
      <c r="L99" s="108" t="str">
        <f t="shared" ca="1" si="5"/>
        <v>L99</v>
      </c>
      <c r="P99" s="44" t="s">
        <v>113</v>
      </c>
      <c r="Q99" s="5" t="str">
        <f t="shared" ca="1" si="6"/>
        <v>Q99</v>
      </c>
      <c r="R99" s="36" t="str">
        <f t="shared" ca="1" si="6"/>
        <v>R99</v>
      </c>
      <c r="S99" s="36" t="str">
        <f t="shared" ca="1" si="6"/>
        <v>S99</v>
      </c>
      <c r="T99" s="5" t="str">
        <f t="shared" ca="1" si="6"/>
        <v>T99</v>
      </c>
      <c r="U99" s="36" t="str">
        <f t="shared" ca="1" si="6"/>
        <v>U99</v>
      </c>
      <c r="V99" s="36" t="str">
        <f t="shared" ca="1" si="6"/>
        <v>V99</v>
      </c>
      <c r="W99" s="5" t="str">
        <f t="shared" ca="1" si="6"/>
        <v>W99</v>
      </c>
      <c r="X99" s="36" t="str">
        <f t="shared" ca="1" si="6"/>
        <v>X99</v>
      </c>
      <c r="Y99" s="36" t="str">
        <f t="shared" ca="1" si="6"/>
        <v>Y99</v>
      </c>
      <c r="Z99" s="5" t="str">
        <f t="shared" ca="1" si="6"/>
        <v>Z99</v>
      </c>
      <c r="AA99" s="36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6" t="str">
        <f t="shared" ca="1" si="6"/>
        <v>AD99</v>
      </c>
      <c r="AE99" s="36" t="str">
        <f t="shared" ca="1" si="6"/>
        <v>AE99</v>
      </c>
      <c r="AF99" s="5" t="str">
        <f t="shared" ref="AF99:AN108" ca="1" si="7">ADDRESS(CELL("row",$A99),CELL("col",AF$1),4,TRUE)</f>
        <v>AF99</v>
      </c>
      <c r="AG99" s="36" t="str">
        <f t="shared" ca="1" si="7"/>
        <v>AG99</v>
      </c>
      <c r="AH99" s="36" t="str">
        <f t="shared" ca="1" si="7"/>
        <v>AH99</v>
      </c>
      <c r="AI99" s="5" t="str">
        <f t="shared" ca="1" si="7"/>
        <v>AI99</v>
      </c>
      <c r="AJ99" s="36" t="str">
        <f t="shared" ca="1" si="7"/>
        <v>AJ99</v>
      </c>
      <c r="AK99" s="36" t="str">
        <f t="shared" ca="1" si="7"/>
        <v>AK99</v>
      </c>
      <c r="AL99" s="5" t="str">
        <f t="shared" ca="1" si="7"/>
        <v>AL99</v>
      </c>
      <c r="AM99" s="36" t="str">
        <f t="shared" ca="1" si="7"/>
        <v>AM99</v>
      </c>
      <c r="AN99" s="9" t="str">
        <f t="shared" ca="1" si="7"/>
        <v>AN99</v>
      </c>
    </row>
    <row r="100" spans="1:40">
      <c r="A100" s="44" t="s">
        <v>187</v>
      </c>
      <c r="B100" s="5" t="str">
        <f t="shared" ca="1" si="5"/>
        <v>B100</v>
      </c>
      <c r="C100" s="36" t="str">
        <f t="shared" ca="1" si="5"/>
        <v>C100</v>
      </c>
      <c r="D100" s="5" t="str">
        <f t="shared" ca="1" si="5"/>
        <v>D100</v>
      </c>
      <c r="E100" s="36" t="str">
        <f t="shared" ca="1" si="5"/>
        <v>E100</v>
      </c>
      <c r="F100" s="36" t="str">
        <f t="shared" ca="1" si="5"/>
        <v>F100</v>
      </c>
      <c r="G100" s="108" t="str">
        <f t="shared" ca="1" si="5"/>
        <v>G100</v>
      </c>
      <c r="H100" s="108" t="str">
        <f t="shared" ca="1" si="5"/>
        <v>H100</v>
      </c>
      <c r="I100" s="5" t="str">
        <f t="shared" ca="1" si="5"/>
        <v>I100</v>
      </c>
      <c r="J100" s="36" t="str">
        <f t="shared" ca="1" si="5"/>
        <v>J100</v>
      </c>
      <c r="K100" s="36" t="str">
        <f t="shared" ca="1" si="5"/>
        <v>K100</v>
      </c>
      <c r="L100" s="108" t="str">
        <f t="shared" ca="1" si="5"/>
        <v>L100</v>
      </c>
      <c r="P100" s="44" t="s">
        <v>114</v>
      </c>
      <c r="Q100" s="5" t="str">
        <f t="shared" ref="Q100:AF108" ca="1" si="8">ADDRESS(CELL("row",$A100),CELL("col",Q$1),4,TRUE)</f>
        <v>Q100</v>
      </c>
      <c r="R100" s="36" t="str">
        <f t="shared" ca="1" si="8"/>
        <v>R100</v>
      </c>
      <c r="S100" s="36" t="str">
        <f t="shared" ca="1" si="8"/>
        <v>S100</v>
      </c>
      <c r="T100" s="5" t="str">
        <f t="shared" ca="1" si="8"/>
        <v>T100</v>
      </c>
      <c r="U100" s="36" t="str">
        <f t="shared" ca="1" si="8"/>
        <v>U100</v>
      </c>
      <c r="V100" s="36" t="str">
        <f t="shared" ca="1" si="8"/>
        <v>V100</v>
      </c>
      <c r="W100" s="5" t="str">
        <f t="shared" ca="1" si="8"/>
        <v>W100</v>
      </c>
      <c r="X100" s="36" t="str">
        <f t="shared" ca="1" si="8"/>
        <v>X100</v>
      </c>
      <c r="Y100" s="36" t="str">
        <f t="shared" ca="1" si="8"/>
        <v>Y100</v>
      </c>
      <c r="Z100" s="5" t="str">
        <f t="shared" ca="1" si="8"/>
        <v>Z100</v>
      </c>
      <c r="AA100" s="36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6" t="str">
        <f t="shared" ca="1" si="8"/>
        <v>AD100</v>
      </c>
      <c r="AE100" s="36" t="str">
        <f t="shared" ca="1" si="8"/>
        <v>AE100</v>
      </c>
      <c r="AF100" s="5" t="str">
        <f t="shared" ca="1" si="8"/>
        <v>AF100</v>
      </c>
      <c r="AG100" s="36" t="str">
        <f t="shared" ca="1" si="7"/>
        <v>AG100</v>
      </c>
      <c r="AH100" s="36" t="str">
        <f t="shared" ca="1" si="7"/>
        <v>AH100</v>
      </c>
      <c r="AI100" s="5" t="str">
        <f t="shared" ca="1" si="7"/>
        <v>AI100</v>
      </c>
      <c r="AJ100" s="36" t="str">
        <f t="shared" ca="1" si="7"/>
        <v>AJ100</v>
      </c>
      <c r="AK100" s="36" t="str">
        <f t="shared" ca="1" si="7"/>
        <v>AK100</v>
      </c>
      <c r="AL100" s="5" t="str">
        <f t="shared" ca="1" si="7"/>
        <v>AL100</v>
      </c>
      <c r="AM100" s="36" t="str">
        <f t="shared" ca="1" si="7"/>
        <v>AM100</v>
      </c>
      <c r="AN100" s="9" t="str">
        <f t="shared" ca="1" si="7"/>
        <v>AN100</v>
      </c>
    </row>
    <row r="101" spans="1:40">
      <c r="A101" s="44" t="s">
        <v>191</v>
      </c>
      <c r="B101" s="5" t="str">
        <f t="shared" ca="1" si="5"/>
        <v>B101</v>
      </c>
      <c r="C101" s="36" t="str">
        <f t="shared" ca="1" si="5"/>
        <v>C101</v>
      </c>
      <c r="D101" s="5" t="str">
        <f t="shared" ca="1" si="5"/>
        <v>D101</v>
      </c>
      <c r="E101" s="36" t="str">
        <f t="shared" ca="1" si="5"/>
        <v>E101</v>
      </c>
      <c r="F101" s="36" t="str">
        <f t="shared" ca="1" si="5"/>
        <v>F101</v>
      </c>
      <c r="G101" s="108" t="str">
        <f t="shared" ca="1" si="5"/>
        <v>G101</v>
      </c>
      <c r="H101" s="108" t="str">
        <f t="shared" ca="1" si="5"/>
        <v>H101</v>
      </c>
      <c r="I101" s="5" t="str">
        <f t="shared" ca="1" si="5"/>
        <v>I101</v>
      </c>
      <c r="J101" s="36" t="str">
        <f t="shared" ca="1" si="5"/>
        <v>J101</v>
      </c>
      <c r="K101" s="36" t="str">
        <f t="shared" ca="1" si="5"/>
        <v>K101</v>
      </c>
      <c r="L101" s="108" t="str">
        <f t="shared" ca="1" si="5"/>
        <v>L101</v>
      </c>
      <c r="P101" s="44" t="s">
        <v>116</v>
      </c>
      <c r="Q101" s="5" t="str">
        <f t="shared" ca="1" si="8"/>
        <v>Q101</v>
      </c>
      <c r="R101" s="36" t="str">
        <f t="shared" ca="1" si="8"/>
        <v>R101</v>
      </c>
      <c r="S101" s="36" t="str">
        <f t="shared" ca="1" si="8"/>
        <v>S101</v>
      </c>
      <c r="T101" s="5" t="str">
        <f t="shared" ca="1" si="8"/>
        <v>T101</v>
      </c>
      <c r="U101" s="36" t="str">
        <f t="shared" ca="1" si="8"/>
        <v>U101</v>
      </c>
      <c r="V101" s="36" t="str">
        <f t="shared" ca="1" si="8"/>
        <v>V101</v>
      </c>
      <c r="W101" s="5" t="str">
        <f t="shared" ca="1" si="8"/>
        <v>W101</v>
      </c>
      <c r="X101" s="36" t="str">
        <f t="shared" ca="1" si="8"/>
        <v>X101</v>
      </c>
      <c r="Y101" s="36" t="str">
        <f t="shared" ca="1" si="8"/>
        <v>Y101</v>
      </c>
      <c r="Z101" s="5" t="str">
        <f t="shared" ca="1" si="8"/>
        <v>Z101</v>
      </c>
      <c r="AA101" s="36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6" t="str">
        <f t="shared" ca="1" si="8"/>
        <v>AD101</v>
      </c>
      <c r="AE101" s="36" t="str">
        <f t="shared" ca="1" si="8"/>
        <v>AE101</v>
      </c>
      <c r="AF101" s="5" t="str">
        <f t="shared" ca="1" si="8"/>
        <v>AF101</v>
      </c>
      <c r="AG101" s="36" t="str">
        <f t="shared" ca="1" si="7"/>
        <v>AG101</v>
      </c>
      <c r="AH101" s="36" t="str">
        <f t="shared" ca="1" si="7"/>
        <v>AH101</v>
      </c>
      <c r="AI101" s="5" t="str">
        <f t="shared" ca="1" si="7"/>
        <v>AI101</v>
      </c>
      <c r="AJ101" s="36" t="str">
        <f t="shared" ca="1" si="7"/>
        <v>AJ101</v>
      </c>
      <c r="AK101" s="36" t="str">
        <f t="shared" ca="1" si="7"/>
        <v>AK101</v>
      </c>
      <c r="AL101" s="5" t="str">
        <f t="shared" ca="1" si="7"/>
        <v>AL101</v>
      </c>
      <c r="AM101" s="36" t="str">
        <f t="shared" ca="1" si="7"/>
        <v>AM101</v>
      </c>
      <c r="AN101" s="9" t="str">
        <f t="shared" ca="1" si="7"/>
        <v>AN101</v>
      </c>
    </row>
    <row r="102" spans="1:40">
      <c r="A102" s="44" t="s">
        <v>194</v>
      </c>
      <c r="B102" s="5" t="str">
        <f t="shared" ca="1" si="5"/>
        <v>B102</v>
      </c>
      <c r="C102" s="36" t="str">
        <f t="shared" ca="1" si="5"/>
        <v>C102</v>
      </c>
      <c r="D102" s="5" t="str">
        <f t="shared" ca="1" si="5"/>
        <v>D102</v>
      </c>
      <c r="E102" s="36" t="str">
        <f t="shared" ca="1" si="5"/>
        <v>E102</v>
      </c>
      <c r="F102" s="36" t="str">
        <f t="shared" ca="1" si="5"/>
        <v>F102</v>
      </c>
      <c r="G102" s="108" t="str">
        <f t="shared" ca="1" si="5"/>
        <v>G102</v>
      </c>
      <c r="H102" s="108" t="str">
        <f t="shared" ca="1" si="5"/>
        <v>H102</v>
      </c>
      <c r="I102" s="5" t="str">
        <f t="shared" ca="1" si="5"/>
        <v>I102</v>
      </c>
      <c r="J102" s="36" t="str">
        <f t="shared" ca="1" si="5"/>
        <v>J102</v>
      </c>
      <c r="K102" s="36" t="str">
        <f t="shared" ca="1" si="5"/>
        <v>K102</v>
      </c>
      <c r="L102" s="108" t="str">
        <f t="shared" ca="1" si="5"/>
        <v>L102</v>
      </c>
      <c r="P102" s="44" t="s">
        <v>121</v>
      </c>
      <c r="Q102" s="5" t="str">
        <f t="shared" ca="1" si="8"/>
        <v>Q102</v>
      </c>
      <c r="R102" s="36" t="str">
        <f t="shared" ca="1" si="8"/>
        <v>R102</v>
      </c>
      <c r="S102" s="36" t="str">
        <f t="shared" ca="1" si="8"/>
        <v>S102</v>
      </c>
      <c r="T102" s="5" t="str">
        <f t="shared" ca="1" si="8"/>
        <v>T102</v>
      </c>
      <c r="U102" s="36" t="str">
        <f t="shared" ca="1" si="8"/>
        <v>U102</v>
      </c>
      <c r="V102" s="36" t="str">
        <f t="shared" ca="1" si="8"/>
        <v>V102</v>
      </c>
      <c r="W102" s="5" t="str">
        <f t="shared" ca="1" si="8"/>
        <v>W102</v>
      </c>
      <c r="X102" s="36" t="str">
        <f t="shared" ca="1" si="8"/>
        <v>X102</v>
      </c>
      <c r="Y102" s="36" t="str">
        <f t="shared" ca="1" si="8"/>
        <v>Y102</v>
      </c>
      <c r="Z102" s="5" t="str">
        <f t="shared" ca="1" si="8"/>
        <v>Z102</v>
      </c>
      <c r="AA102" s="36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6" t="str">
        <f t="shared" ca="1" si="8"/>
        <v>AD102</v>
      </c>
      <c r="AE102" s="36" t="str">
        <f t="shared" ca="1" si="8"/>
        <v>AE102</v>
      </c>
      <c r="AF102" s="5" t="str">
        <f t="shared" ca="1" si="8"/>
        <v>AF102</v>
      </c>
      <c r="AG102" s="36" t="str">
        <f t="shared" ca="1" si="7"/>
        <v>AG102</v>
      </c>
      <c r="AH102" s="36" t="str">
        <f t="shared" ca="1" si="7"/>
        <v>AH102</v>
      </c>
      <c r="AI102" s="5" t="str">
        <f t="shared" ca="1" si="7"/>
        <v>AI102</v>
      </c>
      <c r="AJ102" s="36" t="str">
        <f t="shared" ca="1" si="7"/>
        <v>AJ102</v>
      </c>
      <c r="AK102" s="36" t="str">
        <f t="shared" ca="1" si="7"/>
        <v>AK102</v>
      </c>
      <c r="AL102" s="5" t="str">
        <f t="shared" ca="1" si="7"/>
        <v>AL102</v>
      </c>
      <c r="AM102" s="36" t="str">
        <f t="shared" ca="1" si="7"/>
        <v>AM102</v>
      </c>
      <c r="AN102" s="9" t="str">
        <f t="shared" ca="1" si="7"/>
        <v>AN102</v>
      </c>
    </row>
    <row r="103" spans="1:40">
      <c r="A103" s="44" t="s">
        <v>79</v>
      </c>
      <c r="B103" s="5" t="str">
        <f t="shared" ca="1" si="5"/>
        <v>B103</v>
      </c>
      <c r="C103" s="36" t="str">
        <f t="shared" ca="1" si="5"/>
        <v>C103</v>
      </c>
      <c r="D103" s="5" t="str">
        <f t="shared" ca="1" si="5"/>
        <v>D103</v>
      </c>
      <c r="E103" s="36" t="str">
        <f t="shared" ca="1" si="5"/>
        <v>E103</v>
      </c>
      <c r="F103" s="36" t="str">
        <f t="shared" ca="1" si="5"/>
        <v>F103</v>
      </c>
      <c r="G103" s="108" t="str">
        <f t="shared" ca="1" si="5"/>
        <v>G103</v>
      </c>
      <c r="H103" s="108" t="str">
        <f t="shared" ca="1" si="5"/>
        <v>H103</v>
      </c>
      <c r="I103" s="5" t="str">
        <f t="shared" ca="1" si="5"/>
        <v>I103</v>
      </c>
      <c r="J103" s="36" t="str">
        <f t="shared" ca="1" si="5"/>
        <v>J103</v>
      </c>
      <c r="K103" s="36" t="str">
        <f t="shared" ca="1" si="5"/>
        <v>K103</v>
      </c>
      <c r="L103" s="108" t="str">
        <f t="shared" ca="1" si="5"/>
        <v>L103</v>
      </c>
      <c r="P103" s="44" t="s">
        <v>125</v>
      </c>
      <c r="Q103" s="5" t="str">
        <f t="shared" ca="1" si="8"/>
        <v>Q103</v>
      </c>
      <c r="R103" s="36" t="str">
        <f t="shared" ca="1" si="8"/>
        <v>R103</v>
      </c>
      <c r="S103" s="36" t="str">
        <f t="shared" ca="1" si="8"/>
        <v>S103</v>
      </c>
      <c r="T103" s="5" t="str">
        <f t="shared" ca="1" si="8"/>
        <v>T103</v>
      </c>
      <c r="U103" s="36" t="str">
        <f t="shared" ca="1" si="8"/>
        <v>U103</v>
      </c>
      <c r="V103" s="36" t="str">
        <f t="shared" ca="1" si="8"/>
        <v>V103</v>
      </c>
      <c r="W103" s="5" t="str">
        <f t="shared" ca="1" si="8"/>
        <v>W103</v>
      </c>
      <c r="X103" s="36" t="str">
        <f t="shared" ca="1" si="8"/>
        <v>X103</v>
      </c>
      <c r="Y103" s="36" t="str">
        <f t="shared" ca="1" si="8"/>
        <v>Y103</v>
      </c>
      <c r="Z103" s="5" t="str">
        <f t="shared" ca="1" si="8"/>
        <v>Z103</v>
      </c>
      <c r="AA103" s="36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6" t="str">
        <f t="shared" ca="1" si="8"/>
        <v>AD103</v>
      </c>
      <c r="AE103" s="36" t="str">
        <f t="shared" ca="1" si="8"/>
        <v>AE103</v>
      </c>
      <c r="AF103" s="5" t="str">
        <f t="shared" ca="1" si="8"/>
        <v>AF103</v>
      </c>
      <c r="AG103" s="36" t="str">
        <f t="shared" ca="1" si="7"/>
        <v>AG103</v>
      </c>
      <c r="AH103" s="36" t="str">
        <f t="shared" ca="1" si="7"/>
        <v>AH103</v>
      </c>
      <c r="AI103" s="5" t="str">
        <f t="shared" ca="1" si="7"/>
        <v>AI103</v>
      </c>
      <c r="AJ103" s="36" t="str">
        <f t="shared" ca="1" si="7"/>
        <v>AJ103</v>
      </c>
      <c r="AK103" s="36" t="str">
        <f t="shared" ca="1" si="7"/>
        <v>AK103</v>
      </c>
      <c r="AL103" s="5" t="str">
        <f t="shared" ca="1" si="7"/>
        <v>AL103</v>
      </c>
      <c r="AM103" s="36" t="str">
        <f t="shared" ca="1" si="7"/>
        <v>AM103</v>
      </c>
      <c r="AN103" s="9" t="str">
        <f t="shared" ca="1" si="7"/>
        <v>AN103</v>
      </c>
    </row>
    <row r="104" spans="1:40">
      <c r="A104" s="44" t="s">
        <v>198</v>
      </c>
      <c r="B104" s="5" t="str">
        <f t="shared" ca="1" si="5"/>
        <v>B104</v>
      </c>
      <c r="C104" s="36" t="str">
        <f t="shared" ca="1" si="5"/>
        <v>C104</v>
      </c>
      <c r="D104" s="5" t="str">
        <f t="shared" ca="1" si="5"/>
        <v>D104</v>
      </c>
      <c r="E104" s="36" t="str">
        <f t="shared" ca="1" si="5"/>
        <v>E104</v>
      </c>
      <c r="F104" s="36" t="str">
        <f t="shared" ca="1" si="5"/>
        <v>F104</v>
      </c>
      <c r="G104" s="108" t="str">
        <f t="shared" ca="1" si="5"/>
        <v>G104</v>
      </c>
      <c r="H104" s="108" t="str">
        <f t="shared" ca="1" si="5"/>
        <v>H104</v>
      </c>
      <c r="I104" s="5" t="str">
        <f t="shared" ca="1" si="5"/>
        <v>I104</v>
      </c>
      <c r="J104" s="36" t="str">
        <f t="shared" ca="1" si="5"/>
        <v>J104</v>
      </c>
      <c r="K104" s="36" t="str">
        <f t="shared" ca="1" si="5"/>
        <v>K104</v>
      </c>
      <c r="L104" s="108" t="str">
        <f t="shared" ca="1" si="5"/>
        <v>L104</v>
      </c>
      <c r="P104" s="44" t="s">
        <v>127</v>
      </c>
      <c r="Q104" s="5" t="str">
        <f t="shared" ca="1" si="8"/>
        <v>Q104</v>
      </c>
      <c r="R104" s="36" t="str">
        <f t="shared" ca="1" si="8"/>
        <v>R104</v>
      </c>
      <c r="S104" s="36" t="str">
        <f t="shared" ca="1" si="8"/>
        <v>S104</v>
      </c>
      <c r="T104" s="5" t="str">
        <f t="shared" ca="1" si="8"/>
        <v>T104</v>
      </c>
      <c r="U104" s="36" t="str">
        <f t="shared" ca="1" si="8"/>
        <v>U104</v>
      </c>
      <c r="V104" s="36" t="str">
        <f t="shared" ca="1" si="8"/>
        <v>V104</v>
      </c>
      <c r="W104" s="5" t="str">
        <f t="shared" ca="1" si="8"/>
        <v>W104</v>
      </c>
      <c r="X104" s="36" t="str">
        <f t="shared" ca="1" si="8"/>
        <v>X104</v>
      </c>
      <c r="Y104" s="36" t="str">
        <f t="shared" ca="1" si="8"/>
        <v>Y104</v>
      </c>
      <c r="Z104" s="5" t="str">
        <f t="shared" ca="1" si="8"/>
        <v>Z104</v>
      </c>
      <c r="AA104" s="36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6" t="str">
        <f t="shared" ca="1" si="8"/>
        <v>AD104</v>
      </c>
      <c r="AE104" s="36" t="str">
        <f t="shared" ca="1" si="8"/>
        <v>AE104</v>
      </c>
      <c r="AF104" s="5" t="str">
        <f t="shared" ca="1" si="8"/>
        <v>AF104</v>
      </c>
      <c r="AG104" s="36" t="str">
        <f t="shared" ca="1" si="7"/>
        <v>AG104</v>
      </c>
      <c r="AH104" s="36" t="str">
        <f t="shared" ca="1" si="7"/>
        <v>AH104</v>
      </c>
      <c r="AI104" s="5" t="str">
        <f t="shared" ca="1" si="7"/>
        <v>AI104</v>
      </c>
      <c r="AJ104" s="36" t="str">
        <f t="shared" ca="1" si="7"/>
        <v>AJ104</v>
      </c>
      <c r="AK104" s="36" t="str">
        <f t="shared" ca="1" si="7"/>
        <v>AK104</v>
      </c>
      <c r="AL104" s="5" t="str">
        <f t="shared" ca="1" si="7"/>
        <v>AL104</v>
      </c>
      <c r="AM104" s="36" t="str">
        <f t="shared" ca="1" si="7"/>
        <v>AM104</v>
      </c>
      <c r="AN104" s="9" t="str">
        <f t="shared" ca="1" si="7"/>
        <v>AN104</v>
      </c>
    </row>
    <row r="105" spans="1:40">
      <c r="A105" s="44" t="s">
        <v>201</v>
      </c>
      <c r="B105" s="5" t="str">
        <f t="shared" ref="B105:L112" ca="1" si="9">ADDRESS(CELL("row",$A105),CELL("col",B$1),4,TRUE)</f>
        <v>B105</v>
      </c>
      <c r="C105" s="36" t="str">
        <f t="shared" ca="1" si="9"/>
        <v>C105</v>
      </c>
      <c r="D105" s="5" t="str">
        <f t="shared" ca="1" si="9"/>
        <v>D105</v>
      </c>
      <c r="E105" s="36" t="str">
        <f t="shared" ca="1" si="9"/>
        <v>E105</v>
      </c>
      <c r="F105" s="36" t="str">
        <f t="shared" ca="1" si="9"/>
        <v>F105</v>
      </c>
      <c r="G105" s="108" t="str">
        <f t="shared" ca="1" si="9"/>
        <v>G105</v>
      </c>
      <c r="H105" s="108" t="str">
        <f t="shared" ca="1" si="9"/>
        <v>H105</v>
      </c>
      <c r="I105" s="5" t="str">
        <f t="shared" ca="1" si="9"/>
        <v>I105</v>
      </c>
      <c r="J105" s="36" t="str">
        <f t="shared" ca="1" si="9"/>
        <v>J105</v>
      </c>
      <c r="K105" s="36" t="str">
        <f t="shared" ca="1" si="9"/>
        <v>K105</v>
      </c>
      <c r="L105" s="108" t="str">
        <f t="shared" ca="1" si="9"/>
        <v>L105</v>
      </c>
      <c r="P105" s="44" t="s">
        <v>130</v>
      </c>
      <c r="Q105" s="5" t="str">
        <f t="shared" ca="1" si="8"/>
        <v>Q105</v>
      </c>
      <c r="R105" s="36" t="str">
        <f t="shared" ca="1" si="8"/>
        <v>R105</v>
      </c>
      <c r="S105" s="36" t="str">
        <f t="shared" ca="1" si="8"/>
        <v>S105</v>
      </c>
      <c r="T105" s="5" t="str">
        <f t="shared" ca="1" si="8"/>
        <v>T105</v>
      </c>
      <c r="U105" s="36" t="str">
        <f t="shared" ca="1" si="8"/>
        <v>U105</v>
      </c>
      <c r="V105" s="36" t="str">
        <f t="shared" ca="1" si="8"/>
        <v>V105</v>
      </c>
      <c r="W105" s="5" t="str">
        <f t="shared" ca="1" si="8"/>
        <v>W105</v>
      </c>
      <c r="X105" s="36" t="str">
        <f t="shared" ca="1" si="8"/>
        <v>X105</v>
      </c>
      <c r="Y105" s="36" t="str">
        <f t="shared" ca="1" si="8"/>
        <v>Y105</v>
      </c>
      <c r="Z105" s="5" t="str">
        <f t="shared" ca="1" si="8"/>
        <v>Z105</v>
      </c>
      <c r="AA105" s="36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6" t="str">
        <f t="shared" ca="1" si="8"/>
        <v>AD105</v>
      </c>
      <c r="AE105" s="36" t="str">
        <f t="shared" ca="1" si="8"/>
        <v>AE105</v>
      </c>
      <c r="AF105" s="5" t="str">
        <f t="shared" ca="1" si="8"/>
        <v>AF105</v>
      </c>
      <c r="AG105" s="36" t="str">
        <f t="shared" ca="1" si="7"/>
        <v>AG105</v>
      </c>
      <c r="AH105" s="36" t="str">
        <f t="shared" ca="1" si="7"/>
        <v>AH105</v>
      </c>
      <c r="AI105" s="5" t="str">
        <f t="shared" ca="1" si="7"/>
        <v>AI105</v>
      </c>
      <c r="AJ105" s="36" t="str">
        <f t="shared" ca="1" si="7"/>
        <v>AJ105</v>
      </c>
      <c r="AK105" s="36" t="str">
        <f t="shared" ca="1" si="7"/>
        <v>AK105</v>
      </c>
      <c r="AL105" s="5" t="str">
        <f t="shared" ca="1" si="7"/>
        <v>AL105</v>
      </c>
      <c r="AM105" s="36" t="str">
        <f t="shared" ca="1" si="7"/>
        <v>AM105</v>
      </c>
      <c r="AN105" s="9" t="str">
        <f t="shared" ca="1" si="7"/>
        <v>AN105</v>
      </c>
    </row>
    <row r="106" spans="1:40">
      <c r="A106" s="44" t="s">
        <v>204</v>
      </c>
      <c r="B106" s="5" t="str">
        <f t="shared" ca="1" si="9"/>
        <v>B106</v>
      </c>
      <c r="C106" s="36" t="str">
        <f t="shared" ca="1" si="9"/>
        <v>C106</v>
      </c>
      <c r="D106" s="5" t="str">
        <f t="shared" ca="1" si="9"/>
        <v>D106</v>
      </c>
      <c r="E106" s="36" t="str">
        <f t="shared" ca="1" si="9"/>
        <v>E106</v>
      </c>
      <c r="F106" s="36" t="str">
        <f t="shared" ca="1" si="9"/>
        <v>F106</v>
      </c>
      <c r="G106" s="108" t="str">
        <f t="shared" ca="1" si="9"/>
        <v>G106</v>
      </c>
      <c r="H106" s="108" t="str">
        <f t="shared" ca="1" si="9"/>
        <v>H106</v>
      </c>
      <c r="I106" s="5" t="str">
        <f t="shared" ca="1" si="9"/>
        <v>I106</v>
      </c>
      <c r="J106" s="36" t="str">
        <f t="shared" ca="1" si="9"/>
        <v>J106</v>
      </c>
      <c r="K106" s="36" t="str">
        <f t="shared" ca="1" si="9"/>
        <v>K106</v>
      </c>
      <c r="L106" s="108" t="str">
        <f t="shared" ca="1" si="9"/>
        <v>L106</v>
      </c>
      <c r="P106" s="44" t="s">
        <v>132</v>
      </c>
      <c r="Q106" s="5" t="str">
        <f t="shared" ca="1" si="8"/>
        <v>Q106</v>
      </c>
      <c r="R106" s="36" t="str">
        <f t="shared" ca="1" si="8"/>
        <v>R106</v>
      </c>
      <c r="S106" s="36" t="str">
        <f t="shared" ca="1" si="8"/>
        <v>S106</v>
      </c>
      <c r="T106" s="5" t="str">
        <f t="shared" ca="1" si="8"/>
        <v>T106</v>
      </c>
      <c r="U106" s="36" t="str">
        <f t="shared" ca="1" si="8"/>
        <v>U106</v>
      </c>
      <c r="V106" s="36" t="str">
        <f t="shared" ca="1" si="8"/>
        <v>V106</v>
      </c>
      <c r="W106" s="5" t="str">
        <f t="shared" ca="1" si="8"/>
        <v>W106</v>
      </c>
      <c r="X106" s="36" t="str">
        <f t="shared" ca="1" si="8"/>
        <v>X106</v>
      </c>
      <c r="Y106" s="36" t="str">
        <f t="shared" ca="1" si="8"/>
        <v>Y106</v>
      </c>
      <c r="Z106" s="5" t="str">
        <f t="shared" ca="1" si="8"/>
        <v>Z106</v>
      </c>
      <c r="AA106" s="36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6" t="str">
        <f t="shared" ca="1" si="8"/>
        <v>AD106</v>
      </c>
      <c r="AE106" s="36" t="str">
        <f t="shared" ca="1" si="8"/>
        <v>AE106</v>
      </c>
      <c r="AF106" s="5" t="str">
        <f t="shared" ca="1" si="8"/>
        <v>AF106</v>
      </c>
      <c r="AG106" s="36" t="str">
        <f t="shared" ca="1" si="7"/>
        <v>AG106</v>
      </c>
      <c r="AH106" s="36" t="str">
        <f t="shared" ca="1" si="7"/>
        <v>AH106</v>
      </c>
      <c r="AI106" s="5" t="str">
        <f t="shared" ca="1" si="7"/>
        <v>AI106</v>
      </c>
      <c r="AJ106" s="36" t="str">
        <f t="shared" ca="1" si="7"/>
        <v>AJ106</v>
      </c>
      <c r="AK106" s="36" t="str">
        <f t="shared" ca="1" si="7"/>
        <v>AK106</v>
      </c>
      <c r="AL106" s="5" t="str">
        <f t="shared" ca="1" si="7"/>
        <v>AL106</v>
      </c>
      <c r="AM106" s="36" t="str">
        <f t="shared" ca="1" si="7"/>
        <v>AM106</v>
      </c>
      <c r="AN106" s="9" t="str">
        <f t="shared" ca="1" si="7"/>
        <v>AN106</v>
      </c>
    </row>
    <row r="107" spans="1:40">
      <c r="A107" s="44" t="s">
        <v>206</v>
      </c>
      <c r="B107" s="5" t="str">
        <f t="shared" ca="1" si="9"/>
        <v>B107</v>
      </c>
      <c r="C107" s="36" t="str">
        <f t="shared" ca="1" si="9"/>
        <v>C107</v>
      </c>
      <c r="D107" s="5" t="str">
        <f t="shared" ca="1" si="9"/>
        <v>D107</v>
      </c>
      <c r="E107" s="36" t="str">
        <f t="shared" ca="1" si="9"/>
        <v>E107</v>
      </c>
      <c r="F107" s="36" t="str">
        <f t="shared" ca="1" si="9"/>
        <v>F107</v>
      </c>
      <c r="G107" s="108" t="str">
        <f t="shared" ca="1" si="9"/>
        <v>G107</v>
      </c>
      <c r="H107" s="108" t="str">
        <f t="shared" ca="1" si="9"/>
        <v>H107</v>
      </c>
      <c r="I107" s="5" t="str">
        <f t="shared" ca="1" si="9"/>
        <v>I107</v>
      </c>
      <c r="J107" s="36" t="str">
        <f t="shared" ca="1" si="9"/>
        <v>J107</v>
      </c>
      <c r="K107" s="36" t="str">
        <f t="shared" ca="1" si="9"/>
        <v>K107</v>
      </c>
      <c r="L107" s="108" t="str">
        <f t="shared" ca="1" si="9"/>
        <v>L107</v>
      </c>
      <c r="P107" s="44" t="s">
        <v>135</v>
      </c>
      <c r="Q107" s="5" t="str">
        <f t="shared" ca="1" si="8"/>
        <v>Q107</v>
      </c>
      <c r="R107" s="36" t="str">
        <f t="shared" ca="1" si="8"/>
        <v>R107</v>
      </c>
      <c r="S107" s="36" t="str">
        <f t="shared" ca="1" si="8"/>
        <v>S107</v>
      </c>
      <c r="T107" s="5" t="str">
        <f t="shared" ca="1" si="8"/>
        <v>T107</v>
      </c>
      <c r="U107" s="36" t="str">
        <f t="shared" ca="1" si="8"/>
        <v>U107</v>
      </c>
      <c r="V107" s="36" t="str">
        <f t="shared" ca="1" si="8"/>
        <v>V107</v>
      </c>
      <c r="W107" s="5" t="str">
        <f t="shared" ca="1" si="8"/>
        <v>W107</v>
      </c>
      <c r="X107" s="36" t="str">
        <f t="shared" ca="1" si="8"/>
        <v>X107</v>
      </c>
      <c r="Y107" s="36" t="str">
        <f t="shared" ca="1" si="8"/>
        <v>Y107</v>
      </c>
      <c r="Z107" s="5" t="str">
        <f t="shared" ca="1" si="8"/>
        <v>Z107</v>
      </c>
      <c r="AA107" s="36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6" t="str">
        <f t="shared" ca="1" si="8"/>
        <v>AD107</v>
      </c>
      <c r="AE107" s="36" t="str">
        <f t="shared" ca="1" si="8"/>
        <v>AE107</v>
      </c>
      <c r="AF107" s="5" t="str">
        <f t="shared" ca="1" si="8"/>
        <v>AF107</v>
      </c>
      <c r="AG107" s="36" t="str">
        <f t="shared" ca="1" si="7"/>
        <v>AG107</v>
      </c>
      <c r="AH107" s="36" t="str">
        <f t="shared" ca="1" si="7"/>
        <v>AH107</v>
      </c>
      <c r="AI107" s="5" t="str">
        <f t="shared" ca="1" si="7"/>
        <v>AI107</v>
      </c>
      <c r="AJ107" s="36" t="str">
        <f t="shared" ca="1" si="7"/>
        <v>AJ107</v>
      </c>
      <c r="AK107" s="36" t="str">
        <f t="shared" ca="1" si="7"/>
        <v>AK107</v>
      </c>
      <c r="AL107" s="5" t="str">
        <f t="shared" ca="1" si="7"/>
        <v>AL107</v>
      </c>
      <c r="AM107" s="36" t="str">
        <f t="shared" ca="1" si="7"/>
        <v>AM107</v>
      </c>
      <c r="AN107" s="9" t="str">
        <f t="shared" ca="1" si="7"/>
        <v>AN107</v>
      </c>
    </row>
    <row r="108" spans="1:40">
      <c r="A108" s="44" t="s">
        <v>207</v>
      </c>
      <c r="B108" s="5" t="str">
        <f t="shared" ca="1" si="9"/>
        <v>B108</v>
      </c>
      <c r="C108" s="36" t="str">
        <f t="shared" ca="1" si="9"/>
        <v>C108</v>
      </c>
      <c r="D108" s="5" t="str">
        <f t="shared" ca="1" si="9"/>
        <v>D108</v>
      </c>
      <c r="E108" s="36" t="str">
        <f t="shared" ca="1" si="9"/>
        <v>E108</v>
      </c>
      <c r="F108" s="36" t="str">
        <f t="shared" ca="1" si="9"/>
        <v>F108</v>
      </c>
      <c r="G108" s="108" t="str">
        <f t="shared" ca="1" si="9"/>
        <v>G108</v>
      </c>
      <c r="H108" s="108" t="str">
        <f t="shared" ca="1" si="9"/>
        <v>H108</v>
      </c>
      <c r="I108" s="5" t="str">
        <f t="shared" ca="1" si="9"/>
        <v>I108</v>
      </c>
      <c r="J108" s="36" t="str">
        <f t="shared" ca="1" si="9"/>
        <v>J108</v>
      </c>
      <c r="K108" s="36" t="str">
        <f t="shared" ca="1" si="9"/>
        <v>K108</v>
      </c>
      <c r="L108" s="108" t="str">
        <f t="shared" ca="1" si="9"/>
        <v>L108</v>
      </c>
      <c r="P108" s="45" t="s">
        <v>138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4" t="s">
        <v>208</v>
      </c>
      <c r="B109" s="5" t="str">
        <f t="shared" ca="1" si="9"/>
        <v>B109</v>
      </c>
      <c r="C109" s="36" t="str">
        <f t="shared" ca="1" si="9"/>
        <v>C109</v>
      </c>
      <c r="D109" s="5" t="str">
        <f t="shared" ca="1" si="9"/>
        <v>D109</v>
      </c>
      <c r="E109" s="36" t="str">
        <f t="shared" ca="1" si="9"/>
        <v>E109</v>
      </c>
      <c r="F109" s="36" t="str">
        <f t="shared" ca="1" si="9"/>
        <v>F109</v>
      </c>
      <c r="G109" s="108" t="str">
        <f t="shared" ca="1" si="9"/>
        <v>G109</v>
      </c>
      <c r="H109" s="108" t="str">
        <f t="shared" ca="1" si="9"/>
        <v>H109</v>
      </c>
      <c r="I109" s="5" t="str">
        <f t="shared" ca="1" si="9"/>
        <v>I109</v>
      </c>
      <c r="J109" s="36" t="str">
        <f t="shared" ca="1" si="9"/>
        <v>J109</v>
      </c>
      <c r="K109" s="36" t="str">
        <f t="shared" ca="1" si="9"/>
        <v>K109</v>
      </c>
      <c r="L109" s="108" t="str">
        <f t="shared" ca="1" si="9"/>
        <v>L109</v>
      </c>
    </row>
    <row r="110" spans="1:40">
      <c r="A110" s="44" t="s">
        <v>209</v>
      </c>
      <c r="B110" s="5" t="str">
        <f t="shared" ca="1" si="9"/>
        <v>B110</v>
      </c>
      <c r="C110" s="36" t="str">
        <f t="shared" ca="1" si="9"/>
        <v>C110</v>
      </c>
      <c r="D110" s="5" t="str">
        <f t="shared" ca="1" si="9"/>
        <v>D110</v>
      </c>
      <c r="E110" s="36" t="str">
        <f t="shared" ca="1" si="9"/>
        <v>E110</v>
      </c>
      <c r="F110" s="36" t="str">
        <f t="shared" ca="1" si="9"/>
        <v>F110</v>
      </c>
      <c r="G110" s="108" t="str">
        <f t="shared" ca="1" si="9"/>
        <v>G110</v>
      </c>
      <c r="H110" s="108" t="str">
        <f t="shared" ca="1" si="9"/>
        <v>H110</v>
      </c>
      <c r="I110" s="5" t="str">
        <f t="shared" ca="1" si="9"/>
        <v>I110</v>
      </c>
      <c r="J110" s="36" t="str">
        <f t="shared" ca="1" si="9"/>
        <v>J110</v>
      </c>
      <c r="K110" s="36" t="str">
        <f t="shared" ca="1" si="9"/>
        <v>K110</v>
      </c>
      <c r="L110" s="108" t="str">
        <f t="shared" ca="1" si="9"/>
        <v>L110</v>
      </c>
    </row>
    <row r="111" spans="1:40">
      <c r="A111" s="44" t="s">
        <v>210</v>
      </c>
      <c r="B111" s="5" t="str">
        <f t="shared" ca="1" si="9"/>
        <v>B111</v>
      </c>
      <c r="C111" s="36" t="str">
        <f t="shared" ca="1" si="9"/>
        <v>C111</v>
      </c>
      <c r="D111" s="5" t="str">
        <f t="shared" ca="1" si="9"/>
        <v>D111</v>
      </c>
      <c r="E111" s="36" t="str">
        <f t="shared" ca="1" si="9"/>
        <v>E111</v>
      </c>
      <c r="F111" s="36" t="str">
        <f t="shared" ca="1" si="9"/>
        <v>F111</v>
      </c>
      <c r="G111" s="108" t="str">
        <f t="shared" ca="1" si="9"/>
        <v>G111</v>
      </c>
      <c r="H111" s="108" t="str">
        <f t="shared" ca="1" si="9"/>
        <v>H111</v>
      </c>
      <c r="I111" s="5" t="str">
        <f t="shared" ca="1" si="9"/>
        <v>I111</v>
      </c>
      <c r="J111" s="36" t="str">
        <f t="shared" ca="1" si="9"/>
        <v>J111</v>
      </c>
      <c r="K111" s="36" t="str">
        <f t="shared" ca="1" si="9"/>
        <v>K111</v>
      </c>
      <c r="L111" s="108" t="str">
        <f t="shared" ca="1" si="9"/>
        <v>L111</v>
      </c>
    </row>
    <row r="112" spans="1:40">
      <c r="A112" s="45" t="s">
        <v>211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9" t="str">
        <f t="shared" ca="1" si="9"/>
        <v>G112</v>
      </c>
      <c r="H112" s="109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9" t="str">
        <f t="shared" ca="1" si="9"/>
        <v>L112</v>
      </c>
    </row>
    <row r="115" spans="1:12">
      <c r="A115" s="41"/>
      <c r="B115" s="41" t="s">
        <v>212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</row>
    <row r="116" spans="1:12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7"/>
    </row>
    <row r="117" spans="1:12">
      <c r="A117" s="44"/>
      <c r="B117" s="741" t="s">
        <v>143</v>
      </c>
      <c r="C117" s="742"/>
      <c r="D117" s="742"/>
      <c r="E117" s="743"/>
      <c r="F117" s="44" t="s">
        <v>144</v>
      </c>
      <c r="G117" s="120"/>
      <c r="I117" s="51" t="s">
        <v>361</v>
      </c>
      <c r="J117" s="88"/>
      <c r="K117" s="41"/>
      <c r="L117" s="43"/>
    </row>
    <row r="118" spans="1:12">
      <c r="A118" s="44" t="s">
        <v>213</v>
      </c>
      <c r="B118" s="51" t="s">
        <v>4</v>
      </c>
      <c r="C118" s="252" t="s">
        <v>5</v>
      </c>
      <c r="D118" s="49" t="s">
        <v>84</v>
      </c>
      <c r="E118" s="49" t="s">
        <v>85</v>
      </c>
      <c r="F118" s="51" t="s">
        <v>4</v>
      </c>
      <c r="G118" s="252" t="s">
        <v>6</v>
      </c>
      <c r="H118" s="49" t="s">
        <v>7</v>
      </c>
      <c r="I118" s="51" t="s">
        <v>372</v>
      </c>
      <c r="J118" s="89" t="s">
        <v>150</v>
      </c>
      <c r="K118" s="263" t="s">
        <v>151</v>
      </c>
      <c r="L118" s="91" t="s">
        <v>152</v>
      </c>
    </row>
    <row r="119" spans="1:12">
      <c r="A119" s="45"/>
      <c r="B119" s="52" t="s">
        <v>156</v>
      </c>
      <c r="C119" s="53" t="s">
        <v>156</v>
      </c>
      <c r="D119" s="53" t="s">
        <v>156</v>
      </c>
      <c r="E119" s="53" t="s">
        <v>156</v>
      </c>
      <c r="F119" s="52" t="s">
        <v>156</v>
      </c>
      <c r="G119" s="53" t="s">
        <v>156</v>
      </c>
      <c r="H119" s="53" t="s">
        <v>156</v>
      </c>
      <c r="I119" s="52" t="s">
        <v>157</v>
      </c>
      <c r="J119" s="92"/>
      <c r="K119" s="52" t="s">
        <v>11</v>
      </c>
      <c r="L119" s="54" t="s">
        <v>11</v>
      </c>
    </row>
    <row r="120" spans="1:12">
      <c r="A120" s="100" t="s">
        <v>214</v>
      </c>
      <c r="B120" s="3" t="str">
        <f t="shared" ref="B120:L121" ca="1" si="10">ADDRESS(CELL("row",$A120),CELL("col",B$1),4,TRUE)</f>
        <v>B120</v>
      </c>
      <c r="C120" s="265" t="str">
        <f t="shared" ca="1" si="10"/>
        <v>C120</v>
      </c>
      <c r="D120" s="265" t="str">
        <f t="shared" ca="1" si="10"/>
        <v>D120</v>
      </c>
      <c r="E120" s="265" t="str">
        <f t="shared" ca="1" si="10"/>
        <v>E120</v>
      </c>
      <c r="F120" s="3" t="str">
        <f t="shared" ca="1" si="10"/>
        <v>F120</v>
      </c>
      <c r="G120" s="265" t="str">
        <f t="shared" ca="1" si="10"/>
        <v>G120</v>
      </c>
      <c r="H120" s="265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1" t="s">
        <v>215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41"/>
      <c r="B124" s="41" t="s">
        <v>216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3"/>
    </row>
    <row r="125" spans="1:12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7"/>
    </row>
    <row r="126" spans="1:12">
      <c r="A126" s="44"/>
      <c r="B126" s="741" t="s">
        <v>143</v>
      </c>
      <c r="C126" s="742"/>
      <c r="D126" s="742"/>
      <c r="E126" s="743"/>
      <c r="F126" s="44" t="s">
        <v>144</v>
      </c>
      <c r="G126" s="120"/>
      <c r="I126" s="51" t="s">
        <v>361</v>
      </c>
      <c r="J126" s="88"/>
      <c r="K126" s="41"/>
      <c r="L126" s="43"/>
    </row>
    <row r="127" spans="1:12">
      <c r="A127" s="44" t="s">
        <v>213</v>
      </c>
      <c r="B127" s="51" t="s">
        <v>4</v>
      </c>
      <c r="C127" s="252" t="s">
        <v>5</v>
      </c>
      <c r="D127" s="49" t="s">
        <v>84</v>
      </c>
      <c r="E127" s="49" t="s">
        <v>85</v>
      </c>
      <c r="F127" s="51" t="s">
        <v>4</v>
      </c>
      <c r="G127" s="252" t="s">
        <v>6</v>
      </c>
      <c r="H127" s="49" t="s">
        <v>7</v>
      </c>
      <c r="I127" s="51" t="s">
        <v>372</v>
      </c>
      <c r="J127" s="89" t="s">
        <v>150</v>
      </c>
      <c r="K127" s="263" t="s">
        <v>151</v>
      </c>
      <c r="L127" s="91" t="s">
        <v>152</v>
      </c>
    </row>
    <row r="128" spans="1:12">
      <c r="A128" s="45"/>
      <c r="B128" s="52" t="s">
        <v>156</v>
      </c>
      <c r="C128" s="53" t="s">
        <v>156</v>
      </c>
      <c r="D128" s="53" t="s">
        <v>156</v>
      </c>
      <c r="E128" s="53" t="s">
        <v>156</v>
      </c>
      <c r="F128" s="52" t="s">
        <v>156</v>
      </c>
      <c r="G128" s="53" t="s">
        <v>156</v>
      </c>
      <c r="H128" s="53" t="s">
        <v>156</v>
      </c>
      <c r="I128" s="52" t="s">
        <v>157</v>
      </c>
      <c r="J128" s="92"/>
      <c r="K128" s="52" t="s">
        <v>11</v>
      </c>
      <c r="L128" s="54" t="s">
        <v>11</v>
      </c>
    </row>
    <row r="129" spans="1:39">
      <c r="A129" s="100" t="s">
        <v>214</v>
      </c>
      <c r="B129" s="3" t="str">
        <f t="shared" ref="B129:L130" ca="1" si="11">ADDRESS(CELL("row",$A129),CELL("col",B$1),4,TRUE)</f>
        <v>B129</v>
      </c>
      <c r="C129" s="265" t="str">
        <f t="shared" ca="1" si="11"/>
        <v>C129</v>
      </c>
      <c r="D129" s="265" t="str">
        <f t="shared" ca="1" si="11"/>
        <v>D129</v>
      </c>
      <c r="E129" s="265" t="str">
        <f t="shared" ca="1" si="11"/>
        <v>E129</v>
      </c>
      <c r="F129" s="3" t="str">
        <f t="shared" ca="1" si="11"/>
        <v>F129</v>
      </c>
      <c r="G129" s="265" t="str">
        <f t="shared" ca="1" si="11"/>
        <v>G129</v>
      </c>
      <c r="H129" s="265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1" t="s">
        <v>215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245</v>
      </c>
      <c r="C139" s="10" t="s">
        <v>257</v>
      </c>
      <c r="D139" s="10" t="s">
        <v>258</v>
      </c>
      <c r="E139" s="10" t="s">
        <v>515</v>
      </c>
      <c r="F139" s="10" t="s">
        <v>373</v>
      </c>
      <c r="G139" s="10" t="s">
        <v>482</v>
      </c>
      <c r="H139" s="10" t="s">
        <v>516</v>
      </c>
      <c r="I139" s="10" t="s">
        <v>517</v>
      </c>
      <c r="J139" s="10" t="s">
        <v>517</v>
      </c>
      <c r="M139" s="11"/>
      <c r="Y139" s="2"/>
      <c r="Z139" s="2"/>
      <c r="AA139" s="2"/>
      <c r="AB139" s="2"/>
    </row>
    <row r="140" spans="1:39">
      <c r="A140" s="69" t="s">
        <v>91</v>
      </c>
      <c r="B140" s="12">
        <f>B!B62</f>
        <v>35633.777252734755</v>
      </c>
      <c r="C140" s="12">
        <f>'C'!B62</f>
        <v>34750</v>
      </c>
      <c r="D140" s="12">
        <f>D!B62</f>
        <v>34755</v>
      </c>
      <c r="E140" s="12">
        <f>E!B62</f>
        <v>35023.729818476299</v>
      </c>
      <c r="F140" s="12">
        <f>F!B62</f>
        <v>34976.411000001252</v>
      </c>
      <c r="G140" s="12">
        <f>G!B62</f>
        <v>35070</v>
      </c>
      <c r="H140" s="12">
        <f>YD!B62</f>
        <v>0</v>
      </c>
      <c r="I140" s="12">
        <f>I!B62</f>
        <v>0</v>
      </c>
      <c r="J140" s="12">
        <f>J!B62</f>
        <v>0</v>
      </c>
      <c r="K140" s="12"/>
      <c r="L140" s="12"/>
      <c r="M140" s="12"/>
      <c r="Y140" s="2"/>
      <c r="Z140" s="2"/>
      <c r="AA140" s="2"/>
      <c r="AB140" s="2"/>
    </row>
    <row r="141" spans="1:39">
      <c r="A141" s="69" t="s">
        <v>96</v>
      </c>
      <c r="B141" s="12">
        <f>B!B63</f>
        <v>39973.379846119082</v>
      </c>
      <c r="C141" s="12">
        <f>'C'!B63</f>
        <v>39379</v>
      </c>
      <c r="D141" s="12">
        <f>D!B63</f>
        <v>39384</v>
      </c>
      <c r="E141" s="12">
        <f>E!B63</f>
        <v>39434.164607727085</v>
      </c>
      <c r="F141" s="12">
        <f>F!B63</f>
        <v>39519.569000001269</v>
      </c>
      <c r="G141" s="12">
        <f>G!B63</f>
        <v>39608</v>
      </c>
      <c r="H141" s="12">
        <f>YD!B63</f>
        <v>0</v>
      </c>
      <c r="I141" s="12">
        <f>I!B63</f>
        <v>0</v>
      </c>
      <c r="J141" s="12">
        <f>J!B63</f>
        <v>0</v>
      </c>
      <c r="K141" s="12"/>
      <c r="L141" s="12"/>
      <c r="M141" s="12"/>
      <c r="Y141" s="2"/>
      <c r="Z141" s="2"/>
      <c r="AA141" s="2"/>
      <c r="AB141" s="2"/>
    </row>
    <row r="142" spans="1:39">
      <c r="A142" s="69" t="s">
        <v>98</v>
      </c>
      <c r="B142" s="12">
        <f>B!B64</f>
        <v>40059.657032557334</v>
      </c>
      <c r="C142" s="12">
        <f>'C'!B64</f>
        <v>38745</v>
      </c>
      <c r="D142" s="12">
        <f>D!B64</f>
        <v>38792</v>
      </c>
      <c r="E142" s="12">
        <f>E!B64</f>
        <v>39375.03481243331</v>
      </c>
      <c r="F142" s="12">
        <f>F!B64</f>
        <v>39400.815000001385</v>
      </c>
      <c r="G142" s="12">
        <f>G!B64</f>
        <v>39457</v>
      </c>
      <c r="H142" s="12">
        <f>YD!B64</f>
        <v>0</v>
      </c>
      <c r="I142" s="12">
        <f>I!B64</f>
        <v>0</v>
      </c>
      <c r="J142" s="12">
        <f>J!B64</f>
        <v>0</v>
      </c>
      <c r="K142" s="12"/>
      <c r="L142" s="12"/>
      <c r="M142" s="12"/>
      <c r="Y142" s="2"/>
      <c r="Z142" s="2"/>
      <c r="AA142" s="2"/>
      <c r="AB142" s="2"/>
    </row>
    <row r="143" spans="1:39">
      <c r="A143" s="69" t="s">
        <v>102</v>
      </c>
      <c r="B143" s="12">
        <f>B!B65</f>
        <v>40963.300377974272</v>
      </c>
      <c r="C143" s="12">
        <f>'C'!B65</f>
        <v>39708</v>
      </c>
      <c r="D143" s="12">
        <f>D!B65</f>
        <v>39438</v>
      </c>
      <c r="E143" s="12">
        <f>E!B65</f>
        <v>40468.794822146912</v>
      </c>
      <c r="F143" s="12">
        <f>F!B65</f>
        <v>40535.137000001225</v>
      </c>
      <c r="G143" s="12">
        <f>G!B65</f>
        <v>40330</v>
      </c>
      <c r="H143" s="12">
        <f>YD!B65</f>
        <v>0</v>
      </c>
      <c r="I143" s="12">
        <f>I!B65</f>
        <v>0</v>
      </c>
      <c r="J143" s="12">
        <f>J!B65</f>
        <v>0</v>
      </c>
      <c r="K143" s="12"/>
      <c r="L143" s="12"/>
      <c r="M143" s="12"/>
      <c r="Y143" s="2"/>
      <c r="Z143" s="2"/>
      <c r="AA143" s="2"/>
      <c r="AB143" s="2"/>
    </row>
    <row r="144" spans="1:39">
      <c r="A144" s="69" t="s">
        <v>356</v>
      </c>
      <c r="B144" s="12">
        <f>B!B66</f>
        <v>40619.295122139025</v>
      </c>
      <c r="C144" s="12">
        <f>'C'!B66</f>
        <v>39358</v>
      </c>
      <c r="D144" s="12">
        <f>D!B66</f>
        <v>39265</v>
      </c>
      <c r="E144" s="12">
        <f>E!B66</f>
        <v>40071.420592405018</v>
      </c>
      <c r="F144" s="12">
        <f>F!B66</f>
        <v>40065.261000001236</v>
      </c>
      <c r="G144" s="12">
        <f>G!B66</f>
        <v>39947</v>
      </c>
      <c r="H144" s="12">
        <f>YD!B66</f>
        <v>0</v>
      </c>
      <c r="I144" s="12">
        <f>I!B66</f>
        <v>0</v>
      </c>
      <c r="J144" s="12">
        <f>J!B66</f>
        <v>0</v>
      </c>
      <c r="K144" s="12"/>
      <c r="L144" s="12"/>
      <c r="M144" s="12"/>
      <c r="Y144" s="2"/>
      <c r="Z144" s="2"/>
      <c r="AA144" s="2"/>
      <c r="AB144" s="2"/>
    </row>
    <row r="145" spans="1:28">
      <c r="A145" s="69" t="s">
        <v>105</v>
      </c>
      <c r="B145" s="12">
        <f>B!B67</f>
        <v>32236.979468446429</v>
      </c>
      <c r="C145" s="12">
        <f>'C'!B67</f>
        <v>30547</v>
      </c>
      <c r="D145" s="12">
        <f>D!B67</f>
        <v>30548</v>
      </c>
      <c r="E145" s="12">
        <f>E!B67</f>
        <v>31376.20652912368</v>
      </c>
      <c r="F145" s="12">
        <f>F!B67</f>
        <v>31586.592000001216</v>
      </c>
      <c r="G145" s="12">
        <f>G!B67</f>
        <v>31742</v>
      </c>
      <c r="H145" s="12">
        <f>YD!B67</f>
        <v>0</v>
      </c>
      <c r="I145" s="12">
        <f>I!B67</f>
        <v>0</v>
      </c>
      <c r="J145" s="12">
        <f>J!B67</f>
        <v>0</v>
      </c>
      <c r="K145" s="12"/>
      <c r="L145" s="12"/>
      <c r="M145" s="12"/>
      <c r="Y145" s="2"/>
      <c r="Z145" s="2"/>
      <c r="AA145" s="2"/>
      <c r="AB145" s="2"/>
    </row>
    <row r="146" spans="1:28">
      <c r="A146" s="69" t="s">
        <v>108</v>
      </c>
      <c r="B146" s="12">
        <f>B!B68</f>
        <v>55298.791720929417</v>
      </c>
      <c r="C146" s="12">
        <f>'C'!B68</f>
        <v>54064</v>
      </c>
      <c r="D146" s="12">
        <f>D!B68</f>
        <v>54016</v>
      </c>
      <c r="E146" s="12">
        <f>E!B68</f>
        <v>54944.250192986554</v>
      </c>
      <c r="F146" s="12">
        <f>F!B68</f>
        <v>54843.258000001253</v>
      </c>
      <c r="G146" s="12">
        <f>G!B68</f>
        <v>55068</v>
      </c>
      <c r="H146" s="12">
        <f>YD!B68</f>
        <v>0</v>
      </c>
      <c r="I146" s="12">
        <f>I!B68</f>
        <v>0</v>
      </c>
      <c r="J146" s="12">
        <f>J!B68</f>
        <v>0</v>
      </c>
      <c r="K146" s="12"/>
      <c r="L146" s="12"/>
      <c r="M146" s="12"/>
      <c r="Y146" s="2"/>
      <c r="Z146" s="2"/>
      <c r="AA146" s="2"/>
      <c r="AB146" s="2"/>
    </row>
    <row r="147" spans="1:28">
      <c r="A147" s="69" t="s">
        <v>109</v>
      </c>
      <c r="B147" s="12">
        <f>B!B69</f>
        <v>32045.153568170928</v>
      </c>
      <c r="C147" s="12">
        <f>'C'!B69</f>
        <v>30846</v>
      </c>
      <c r="D147" s="12">
        <f>D!B69</f>
        <v>30876</v>
      </c>
      <c r="E147" s="12">
        <f>E!B69</f>
        <v>31265.643283038276</v>
      </c>
      <c r="F147" s="12">
        <f>F!B69</f>
        <v>0</v>
      </c>
      <c r="G147" s="12">
        <f>G!B69</f>
        <v>31413</v>
      </c>
      <c r="H147" s="12">
        <f>YD!B69</f>
        <v>0</v>
      </c>
      <c r="I147" s="12">
        <f>I!B69</f>
        <v>0</v>
      </c>
      <c r="J147" s="12">
        <f>J!B69</f>
        <v>0</v>
      </c>
      <c r="K147" s="12"/>
      <c r="L147" s="12"/>
      <c r="M147" s="12"/>
      <c r="Y147" s="2"/>
      <c r="Z147" s="2"/>
      <c r="AA147" s="2"/>
      <c r="AB147" s="2"/>
    </row>
    <row r="148" spans="1:28">
      <c r="A148" s="69" t="s">
        <v>111</v>
      </c>
      <c r="B148" s="12">
        <f>B!B70</f>
        <v>32078.431863626436</v>
      </c>
      <c r="C148" s="12">
        <f>'C'!B70</f>
        <v>31668</v>
      </c>
      <c r="D148" s="12">
        <f>D!B70</f>
        <v>31699</v>
      </c>
      <c r="E148" s="12">
        <f>E!B70</f>
        <v>32010.506096667465</v>
      </c>
      <c r="F148" s="12">
        <f>F!B70</f>
        <v>0</v>
      </c>
      <c r="G148" s="12">
        <f>G!B70</f>
        <v>31503</v>
      </c>
      <c r="H148" s="12">
        <f>YD!B70</f>
        <v>0</v>
      </c>
      <c r="I148" s="12">
        <f>I!B70</f>
        <v>0</v>
      </c>
      <c r="J148" s="12">
        <f>J!B70</f>
        <v>0</v>
      </c>
      <c r="K148" s="12"/>
      <c r="L148" s="12"/>
      <c r="M148" s="12"/>
      <c r="Y148" s="2"/>
      <c r="Z148" s="2"/>
      <c r="AA148" s="2"/>
      <c r="AB148" s="2"/>
    </row>
    <row r="149" spans="1:28">
      <c r="A149" s="69" t="s">
        <v>112</v>
      </c>
      <c r="B149" s="12">
        <f>B!B71</f>
        <v>33387.007607424253</v>
      </c>
      <c r="C149" s="12">
        <f>'C'!B71</f>
        <v>32530</v>
      </c>
      <c r="D149" s="12">
        <f>D!B71</f>
        <v>32910</v>
      </c>
      <c r="E149" s="12">
        <f>E!B71</f>
        <v>32978.545256475802</v>
      </c>
      <c r="F149" s="12">
        <f>F!B71</f>
        <v>0</v>
      </c>
      <c r="G149" s="12">
        <f>G!B71</f>
        <v>33208</v>
      </c>
      <c r="H149" s="12">
        <f>YD!B71</f>
        <v>0</v>
      </c>
      <c r="I149" s="12">
        <f>I!B71</f>
        <v>0</v>
      </c>
      <c r="J149" s="12">
        <f>J!B71</f>
        <v>0</v>
      </c>
      <c r="K149" s="12"/>
      <c r="L149" s="12"/>
      <c r="M149" s="12"/>
      <c r="Y149" s="2"/>
      <c r="Z149" s="2"/>
      <c r="AA149" s="2"/>
      <c r="AB149" s="2"/>
    </row>
    <row r="150" spans="1:28">
      <c r="A150" s="69" t="s">
        <v>113</v>
      </c>
      <c r="B150" s="12">
        <f>B!B72</f>
        <v>32538.031318731744</v>
      </c>
      <c r="C150" s="12">
        <f>'C'!B72</f>
        <v>31932</v>
      </c>
      <c r="D150" s="12">
        <f>D!B72</f>
        <v>31811</v>
      </c>
      <c r="E150" s="12">
        <f>E!B72</f>
        <v>32085.518026958744</v>
      </c>
      <c r="F150" s="12">
        <f>F!B72</f>
        <v>0</v>
      </c>
      <c r="G150" s="12">
        <f>G!B72</f>
        <v>31818</v>
      </c>
      <c r="H150" s="12">
        <f>YD!B72</f>
        <v>0</v>
      </c>
      <c r="I150" s="12">
        <f>I!B72</f>
        <v>0</v>
      </c>
      <c r="J150" s="12">
        <f>J!B72</f>
        <v>0</v>
      </c>
      <c r="K150" s="12"/>
      <c r="L150" s="12"/>
      <c r="M150" s="12"/>
      <c r="Y150" s="2"/>
      <c r="Z150" s="2"/>
      <c r="AA150" s="2"/>
      <c r="AB150" s="2"/>
    </row>
    <row r="151" spans="1:28">
      <c r="A151" s="69" t="s">
        <v>114</v>
      </c>
      <c r="B151" s="12">
        <f>B!B73</f>
        <v>33691.321017245209</v>
      </c>
      <c r="C151" s="12">
        <f>'C'!B73</f>
        <v>33032</v>
      </c>
      <c r="D151" s="12">
        <f>D!B73</f>
        <v>32973</v>
      </c>
      <c r="E151" s="12">
        <f>E!B73</f>
        <v>33284.82650610905</v>
      </c>
      <c r="F151" s="12">
        <f>F!B73</f>
        <v>0</v>
      </c>
      <c r="G151" s="12">
        <f>G!B73</f>
        <v>33248</v>
      </c>
      <c r="H151" s="12">
        <f>YD!B73</f>
        <v>0</v>
      </c>
      <c r="I151" s="12">
        <f>I!B73</f>
        <v>0</v>
      </c>
      <c r="J151" s="12">
        <f>J!B73</f>
        <v>0</v>
      </c>
      <c r="K151" s="12"/>
      <c r="L151" s="12"/>
      <c r="M151" s="12"/>
      <c r="Y151" s="2"/>
      <c r="Z151" s="2"/>
      <c r="AA151" s="2"/>
      <c r="AB151" s="2"/>
    </row>
    <row r="152" spans="1:28">
      <c r="A152" s="69" t="s">
        <v>115</v>
      </c>
      <c r="B152" s="12">
        <f>B!B74</f>
        <v>22337.887016316719</v>
      </c>
      <c r="C152" s="12">
        <f>'C'!B74</f>
        <v>22817</v>
      </c>
      <c r="D152" s="12">
        <f>D!B74</f>
        <v>22822</v>
      </c>
      <c r="E152" s="12">
        <f>E!B74</f>
        <v>23075.81966362716</v>
      </c>
      <c r="F152" s="12">
        <f>F!B74</f>
        <v>22322.953000000023</v>
      </c>
      <c r="G152" s="12">
        <f>G!B74</f>
        <v>23138</v>
      </c>
      <c r="H152" s="12">
        <f>YD!B74</f>
        <v>0</v>
      </c>
      <c r="I152" s="12">
        <f>I!B74</f>
        <v>0</v>
      </c>
      <c r="J152" s="12">
        <f>J!B74</f>
        <v>0</v>
      </c>
      <c r="K152" s="12"/>
      <c r="L152" s="12"/>
      <c r="M152" s="12"/>
      <c r="Y152" s="2"/>
      <c r="Z152" s="2"/>
      <c r="AA152" s="2"/>
      <c r="AB152" s="2"/>
    </row>
    <row r="153" spans="1:28">
      <c r="A153" s="69" t="s">
        <v>120</v>
      </c>
      <c r="B153" s="12">
        <f>B!B75</f>
        <v>17390.851076390049</v>
      </c>
      <c r="C153" s="12">
        <f>'C'!B75</f>
        <v>17872</v>
      </c>
      <c r="D153" s="12">
        <f>D!B75</f>
        <v>17870</v>
      </c>
      <c r="E153" s="12">
        <f>E!B75</f>
        <v>18030.714541373109</v>
      </c>
      <c r="F153" s="12">
        <f>F!B75</f>
        <v>17434.537000000029</v>
      </c>
      <c r="G153" s="12">
        <f>G!B75</f>
        <v>18051</v>
      </c>
      <c r="H153" s="12">
        <f>YD!B75</f>
        <v>0</v>
      </c>
      <c r="I153" s="12">
        <f>I!B75</f>
        <v>0</v>
      </c>
      <c r="J153" s="12">
        <f>J!B75</f>
        <v>0</v>
      </c>
      <c r="K153" s="12"/>
      <c r="L153" s="12"/>
      <c r="M153" s="12"/>
      <c r="Y153" s="2"/>
      <c r="Z153" s="2"/>
      <c r="AA153" s="2"/>
      <c r="AB153" s="2"/>
    </row>
    <row r="154" spans="1:28">
      <c r="A154" s="69" t="s">
        <v>124</v>
      </c>
      <c r="B154" s="12">
        <f>B!B76</f>
        <v>34608.775362869957</v>
      </c>
      <c r="C154" s="12">
        <f>'C'!B76</f>
        <v>35971</v>
      </c>
      <c r="D154" s="12">
        <f>D!B76</f>
        <v>35970</v>
      </c>
      <c r="E154" s="12">
        <f>E!B76</f>
        <v>35791.020097479886</v>
      </c>
      <c r="F154" s="12">
        <f>F!B76</f>
        <v>34848.63700000001</v>
      </c>
      <c r="G154" s="12">
        <f>G!B76</f>
        <v>35845</v>
      </c>
      <c r="H154" s="12">
        <f>YD!B76</f>
        <v>0</v>
      </c>
      <c r="I154" s="12">
        <f>I!B76</f>
        <v>0</v>
      </c>
      <c r="J154" s="12">
        <f>J!B76</f>
        <v>0</v>
      </c>
      <c r="K154" s="12"/>
      <c r="L154" s="12"/>
      <c r="M154" s="12"/>
      <c r="Y154" s="2"/>
      <c r="Z154" s="2"/>
      <c r="AA154" s="2"/>
      <c r="AB154" s="2"/>
    </row>
    <row r="155" spans="1:28">
      <c r="A155" s="69" t="s">
        <v>125</v>
      </c>
      <c r="B155" s="12">
        <f>B!B77</f>
        <v>24986.581989315273</v>
      </c>
      <c r="C155" s="12">
        <f>'C'!B77</f>
        <v>25389</v>
      </c>
      <c r="D155" s="12">
        <f>D!B77</f>
        <v>25390</v>
      </c>
      <c r="E155" s="12">
        <f>E!B77</f>
        <v>25812.897251308386</v>
      </c>
      <c r="F155" s="12">
        <f>F!B77</f>
        <v>25131.070000000262</v>
      </c>
      <c r="G155" s="12">
        <f>G!B77</f>
        <v>25781</v>
      </c>
      <c r="H155" s="12">
        <f>YD!B77</f>
        <v>0</v>
      </c>
      <c r="I155" s="12">
        <f>I!B77</f>
        <v>0</v>
      </c>
      <c r="J155" s="12">
        <f>J!B77</f>
        <v>0</v>
      </c>
      <c r="K155" s="12"/>
      <c r="L155" s="12"/>
      <c r="M155" s="12"/>
      <c r="Y155" s="2"/>
      <c r="Z155" s="2"/>
      <c r="AA155" s="2"/>
      <c r="AB155" s="2"/>
    </row>
    <row r="156" spans="1:28">
      <c r="A156" s="69" t="s">
        <v>127</v>
      </c>
      <c r="B156" s="12">
        <f>B!B78</f>
        <v>23544.160692124755</v>
      </c>
      <c r="C156" s="12">
        <f>'C'!B78</f>
        <v>24293</v>
      </c>
      <c r="D156" s="12">
        <f>D!B78</f>
        <v>24307</v>
      </c>
      <c r="E156" s="12">
        <f>E!B78</f>
        <v>24385.540125936655</v>
      </c>
      <c r="F156" s="12">
        <f>F!B78</f>
        <v>23619.743999999955</v>
      </c>
      <c r="G156" s="12">
        <f>G!B78</f>
        <v>24360</v>
      </c>
      <c r="H156" s="12">
        <f>YD!B78</f>
        <v>0</v>
      </c>
      <c r="I156" s="12">
        <f>I!B78</f>
        <v>0</v>
      </c>
      <c r="J156" s="12">
        <f>J!B78</f>
        <v>0</v>
      </c>
      <c r="K156" s="12"/>
      <c r="L156" s="12"/>
      <c r="M156" s="12"/>
      <c r="Y156" s="2"/>
      <c r="Z156" s="2"/>
      <c r="AA156" s="2"/>
      <c r="AB156" s="2"/>
    </row>
    <row r="157" spans="1:28">
      <c r="A157" s="69" t="s">
        <v>130</v>
      </c>
      <c r="B157" s="12">
        <f>B!B79</f>
        <v>20320.873963030244</v>
      </c>
      <c r="C157" s="12">
        <f>'C'!B79</f>
        <v>20408</v>
      </c>
      <c r="D157" s="12">
        <f>D!B79</f>
        <v>20421</v>
      </c>
      <c r="E157" s="12">
        <f>E!B79</f>
        <v>20781.350761084934</v>
      </c>
      <c r="F157" s="12">
        <f>F!B79</f>
        <v>20241.712999999996</v>
      </c>
      <c r="G157" s="12">
        <f>G!B79</f>
        <v>21323</v>
      </c>
      <c r="H157" s="12">
        <f>YD!B79</f>
        <v>0</v>
      </c>
      <c r="I157" s="12">
        <f>I!B79</f>
        <v>0</v>
      </c>
      <c r="J157" s="12">
        <f>J!B79</f>
        <v>0</v>
      </c>
      <c r="K157" s="12"/>
      <c r="L157" s="12"/>
      <c r="M157" s="12"/>
      <c r="Y157" s="2"/>
      <c r="Z157" s="2"/>
      <c r="AA157" s="2"/>
      <c r="AB157" s="2"/>
    </row>
    <row r="158" spans="1:28">
      <c r="A158" s="69" t="s">
        <v>132</v>
      </c>
      <c r="B158" s="12">
        <f>B!B80</f>
        <v>17281.271045603677</v>
      </c>
      <c r="C158" s="12">
        <f>'C'!B80</f>
        <v>17540</v>
      </c>
      <c r="D158" s="12">
        <f>D!B80</f>
        <v>17537</v>
      </c>
      <c r="E158" s="12">
        <f>E!B80</f>
        <v>17993.961739492486</v>
      </c>
      <c r="F158" s="12">
        <f>F!B80</f>
        <v>17442.46800000007</v>
      </c>
      <c r="G158" s="12">
        <f>G!B80</f>
        <v>17875</v>
      </c>
      <c r="H158" s="12">
        <f>YD!B80</f>
        <v>0</v>
      </c>
      <c r="I158" s="12">
        <f>I!B80</f>
        <v>0</v>
      </c>
      <c r="J158" s="12">
        <f>J!B80</f>
        <v>0</v>
      </c>
      <c r="K158" s="12"/>
      <c r="L158" s="12"/>
      <c r="M158" s="12"/>
      <c r="Y158" s="2"/>
      <c r="Z158" s="2"/>
      <c r="AA158" s="2"/>
      <c r="AB158" s="2"/>
    </row>
    <row r="159" spans="1:28">
      <c r="A159" s="69" t="s">
        <v>135</v>
      </c>
      <c r="B159" s="12">
        <f>B!B81</f>
        <v>19430.378480857089</v>
      </c>
      <c r="C159" s="12">
        <f>'C'!B81</f>
        <v>19878</v>
      </c>
      <c r="D159" s="12">
        <f>D!B81</f>
        <v>19874</v>
      </c>
      <c r="E159" s="12">
        <f>E!B81</f>
        <v>20122.73410516217</v>
      </c>
      <c r="F159" s="12">
        <f>F!B81</f>
        <v>19536.572000000106</v>
      </c>
      <c r="G159" s="12">
        <f>G!B81</f>
        <v>20164</v>
      </c>
      <c r="H159" s="12">
        <f>YD!B81</f>
        <v>0</v>
      </c>
      <c r="I159" s="12">
        <f>I!B81</f>
        <v>0</v>
      </c>
      <c r="J159" s="12">
        <f>J!B81</f>
        <v>0</v>
      </c>
      <c r="K159" s="12"/>
      <c r="L159" s="12"/>
      <c r="M159" s="12"/>
      <c r="Y159" s="2"/>
      <c r="Z159" s="2"/>
      <c r="AA159" s="2"/>
      <c r="AB159" s="2"/>
    </row>
    <row r="160" spans="1:28">
      <c r="A160" s="70" t="s">
        <v>138</v>
      </c>
      <c r="B160" s="12">
        <f>B!B82</f>
        <v>15687.079578945253</v>
      </c>
      <c r="C160" s="12">
        <f>'C'!B82</f>
        <v>15802</v>
      </c>
      <c r="D160" s="12">
        <f>D!B82</f>
        <v>15791</v>
      </c>
      <c r="E160" s="12">
        <f>E!B82</f>
        <v>16608.601068330921</v>
      </c>
      <c r="F160" s="12">
        <f>F!B82</f>
        <v>15791.080999999982</v>
      </c>
      <c r="G160" s="12">
        <f>G!B82</f>
        <v>16339</v>
      </c>
      <c r="H160" s="12">
        <f>YD!B82</f>
        <v>0</v>
      </c>
      <c r="I160" s="12">
        <f>I!B82</f>
        <v>0</v>
      </c>
      <c r="J160" s="12">
        <f>J!B82</f>
        <v>0</v>
      </c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ht="15.75">
      <c r="A162" s="34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245</v>
      </c>
      <c r="C169" s="10" t="s">
        <v>257</v>
      </c>
      <c r="D169" s="10" t="s">
        <v>258</v>
      </c>
      <c r="E169" s="10" t="s">
        <v>515</v>
      </c>
      <c r="F169" s="10" t="s">
        <v>373</v>
      </c>
      <c r="G169" s="10" t="s">
        <v>482</v>
      </c>
      <c r="H169" s="10" t="s">
        <v>516</v>
      </c>
      <c r="I169" s="10" t="s">
        <v>517</v>
      </c>
      <c r="J169" s="10" t="s">
        <v>517</v>
      </c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9" t="s">
        <v>91</v>
      </c>
      <c r="B170" s="12">
        <f>B!C62</f>
        <v>22353.534309268729</v>
      </c>
      <c r="C170" s="12">
        <f>'C'!C62</f>
        <v>21569</v>
      </c>
      <c r="D170" s="12">
        <f>D!C62</f>
        <v>21573</v>
      </c>
      <c r="E170" s="12">
        <f>E!C62</f>
        <v>24161.637889516063</v>
      </c>
      <c r="F170" s="12">
        <f>F!C62</f>
        <v>21770.00099999996</v>
      </c>
      <c r="G170" s="12">
        <f>G!C62</f>
        <v>21876</v>
      </c>
      <c r="H170" s="12">
        <f>YD!C62</f>
        <v>0</v>
      </c>
      <c r="I170" s="12">
        <f>I!C62</f>
        <v>0</v>
      </c>
      <c r="J170" s="12">
        <f>J!C62</f>
        <v>0</v>
      </c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9" t="s">
        <v>96</v>
      </c>
      <c r="B171" s="12">
        <f>B!C63</f>
        <v>26339.625369982768</v>
      </c>
      <c r="C171" s="12">
        <f>'C'!C63</f>
        <v>25813</v>
      </c>
      <c r="D171" s="12">
        <f>D!C63</f>
        <v>25817</v>
      </c>
      <c r="E171" s="12">
        <f>E!C63</f>
        <v>28572.07267876685</v>
      </c>
      <c r="F171" s="12">
        <f>F!C63</f>
        <v>25936.82099999996</v>
      </c>
      <c r="G171" s="12">
        <f>G!C63</f>
        <v>26053</v>
      </c>
      <c r="H171" s="12">
        <f>YD!C63</f>
        <v>0</v>
      </c>
      <c r="I171" s="12">
        <f>I!C63</f>
        <v>0</v>
      </c>
      <c r="J171" s="12">
        <f>J!C63</f>
        <v>0</v>
      </c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9" t="s">
        <v>98</v>
      </c>
      <c r="B172" s="12">
        <f>B!C64</f>
        <v>26433.137388696625</v>
      </c>
      <c r="C172" s="12">
        <f>'C'!C64</f>
        <v>25250</v>
      </c>
      <c r="D172" s="12">
        <f>D!C64</f>
        <v>25294</v>
      </c>
      <c r="E172" s="12">
        <f>E!C64</f>
        <v>28512.942883473075</v>
      </c>
      <c r="F172" s="12">
        <f>F!C64</f>
        <v>25846.026000000074</v>
      </c>
      <c r="G172" s="12">
        <f>G!C64</f>
        <v>25912</v>
      </c>
      <c r="H172" s="12">
        <f>YD!C64</f>
        <v>0</v>
      </c>
      <c r="I172" s="12">
        <f>I!C64</f>
        <v>0</v>
      </c>
      <c r="J172" s="12">
        <f>J!C64</f>
        <v>0</v>
      </c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9" t="s">
        <v>102</v>
      </c>
      <c r="B173" s="12">
        <f>B!C65</f>
        <v>27299.732074423395</v>
      </c>
      <c r="C173" s="12">
        <f>'C'!C65</f>
        <v>26172</v>
      </c>
      <c r="D173" s="12">
        <f>D!C65</f>
        <v>25925</v>
      </c>
      <c r="E173" s="12">
        <f>E!C65</f>
        <v>29606.702893186677</v>
      </c>
      <c r="F173" s="12">
        <f>F!C65</f>
        <v>26927.732999999924</v>
      </c>
      <c r="G173" s="12">
        <f>G!C65</f>
        <v>26775</v>
      </c>
      <c r="H173" s="12">
        <f>YD!C65</f>
        <v>0</v>
      </c>
      <c r="I173" s="12">
        <f>I!C65</f>
        <v>0</v>
      </c>
      <c r="J173" s="12">
        <f>J!C65</f>
        <v>0</v>
      </c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9" t="s">
        <v>356</v>
      </c>
      <c r="B174" s="12">
        <f>B!C66</f>
        <v>26962.93733737541</v>
      </c>
      <c r="C174" s="12">
        <f>'C'!C66</f>
        <v>25829</v>
      </c>
      <c r="D174" s="12">
        <f>D!C66</f>
        <v>25745</v>
      </c>
      <c r="E174" s="12">
        <f>E!C66</f>
        <v>29209.328663444787</v>
      </c>
      <c r="F174" s="12">
        <f>F!C66</f>
        <v>26472.789999999939</v>
      </c>
      <c r="G174" s="12">
        <f>G!C66</f>
        <v>26400</v>
      </c>
      <c r="H174" s="12">
        <f>YD!C66</f>
        <v>0</v>
      </c>
      <c r="I174" s="12">
        <f>I!C66</f>
        <v>0</v>
      </c>
      <c r="J174" s="12">
        <f>J!C66</f>
        <v>0</v>
      </c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9" t="s">
        <v>105</v>
      </c>
      <c r="B175" s="12">
        <f>B!C67</f>
        <v>19316.840364594198</v>
      </c>
      <c r="C175" s="12">
        <f>'C'!C67</f>
        <v>17802</v>
      </c>
      <c r="D175" s="12">
        <f>D!C67</f>
        <v>17801</v>
      </c>
      <c r="E175" s="12">
        <f>E!C67</f>
        <v>20514.114600163444</v>
      </c>
      <c r="F175" s="12">
        <f>F!C67</f>
        <v>18738.054999999913</v>
      </c>
      <c r="G175" s="12">
        <f>G!C67</f>
        <v>18891</v>
      </c>
      <c r="H175" s="12">
        <f>YD!C67</f>
        <v>0</v>
      </c>
      <c r="I175" s="12">
        <f>I!C67</f>
        <v>0</v>
      </c>
      <c r="J175" s="12">
        <f>J!C67</f>
        <v>0</v>
      </c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9" t="s">
        <v>108</v>
      </c>
      <c r="B176" s="12">
        <f>B!C68</f>
        <v>40105.839879967134</v>
      </c>
      <c r="C176" s="12">
        <f>'C'!C68</f>
        <v>38999</v>
      </c>
      <c r="D176" s="12">
        <f>D!C68</f>
        <v>38955</v>
      </c>
      <c r="E176" s="12">
        <f>E!C68</f>
        <v>44082.158264026322</v>
      </c>
      <c r="F176" s="12">
        <f>F!C68</f>
        <v>39697.162000000208</v>
      </c>
      <c r="G176" s="12">
        <f>G!C68</f>
        <v>39941</v>
      </c>
      <c r="H176" s="12">
        <f>YD!C68</f>
        <v>0</v>
      </c>
      <c r="I176" s="12">
        <f>I!C68</f>
        <v>0</v>
      </c>
      <c r="J176" s="12">
        <f>J!C68</f>
        <v>0</v>
      </c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9" t="s">
        <v>109</v>
      </c>
      <c r="B177" s="12">
        <f>B!C69</f>
        <v>19178.948737703857</v>
      </c>
      <c r="C177" s="12">
        <f>'C'!C69</f>
        <v>18106</v>
      </c>
      <c r="D177" s="12">
        <f>D!C69</f>
        <v>18131</v>
      </c>
      <c r="E177" s="12">
        <f>E!C69</f>
        <v>20403.551354078041</v>
      </c>
      <c r="F177" s="12">
        <f>F!C69</f>
        <v>0</v>
      </c>
      <c r="G177" s="12">
        <f>G!C69</f>
        <v>18629</v>
      </c>
      <c r="H177" s="12">
        <f>YD!C69</f>
        <v>0</v>
      </c>
      <c r="I177" s="12">
        <f>I!C69</f>
        <v>0</v>
      </c>
      <c r="J177" s="12">
        <f>J!C69</f>
        <v>0</v>
      </c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9" t="s">
        <v>111</v>
      </c>
      <c r="B178" s="12">
        <f>B!C70</f>
        <v>19204.494365578117</v>
      </c>
      <c r="C178" s="12">
        <f>'C'!C70</f>
        <v>18823</v>
      </c>
      <c r="D178" s="12">
        <f>D!C70</f>
        <v>18850</v>
      </c>
      <c r="E178" s="12">
        <f>E!C70</f>
        <v>21148.414167707229</v>
      </c>
      <c r="F178" s="12">
        <f>F!C70</f>
        <v>0</v>
      </c>
      <c r="G178" s="12">
        <f>G!C70</f>
        <v>18685</v>
      </c>
      <c r="H178" s="12">
        <f>YD!C70</f>
        <v>0</v>
      </c>
      <c r="I178" s="12">
        <f>I!C70</f>
        <v>0</v>
      </c>
      <c r="J178" s="12">
        <f>J!C70</f>
        <v>0</v>
      </c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9" t="s">
        <v>112</v>
      </c>
      <c r="B179" s="12">
        <f>B!C71</f>
        <v>20358.585393713744</v>
      </c>
      <c r="C179" s="12">
        <f>'C'!C71</f>
        <v>19596</v>
      </c>
      <c r="D179" s="12">
        <f>D!C71</f>
        <v>19934</v>
      </c>
      <c r="E179" s="12">
        <f>E!C71</f>
        <v>22116.453327515566</v>
      </c>
      <c r="F179" s="12">
        <f>F!C71</f>
        <v>0</v>
      </c>
      <c r="G179" s="12">
        <f>G!C71</f>
        <v>20214</v>
      </c>
      <c r="H179" s="12">
        <f>YD!C71</f>
        <v>0</v>
      </c>
      <c r="I179" s="12">
        <f>I!C71</f>
        <v>0</v>
      </c>
      <c r="J179" s="12">
        <f>J!C71</f>
        <v>0</v>
      </c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9" t="s">
        <v>113</v>
      </c>
      <c r="B180" s="12">
        <f>B!C72</f>
        <v>19598.621063024904</v>
      </c>
      <c r="C180" s="12">
        <f>'C'!C72</f>
        <v>19059</v>
      </c>
      <c r="D180" s="12">
        <f>D!C72</f>
        <v>18951</v>
      </c>
      <c r="E180" s="12">
        <f>E!C72</f>
        <v>21223.426097998508</v>
      </c>
      <c r="F180" s="12">
        <f>F!C72</f>
        <v>0</v>
      </c>
      <c r="G180" s="12">
        <f>G!C72</f>
        <v>18966</v>
      </c>
      <c r="H180" s="12">
        <f>YD!C72</f>
        <v>0</v>
      </c>
      <c r="I180" s="12">
        <f>I!C72</f>
        <v>0</v>
      </c>
      <c r="J180" s="12">
        <f>J!C72</f>
        <v>0</v>
      </c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9" t="s">
        <v>114</v>
      </c>
      <c r="B181" s="12">
        <f>B!C73</f>
        <v>20629.133255656114</v>
      </c>
      <c r="C181" s="12">
        <f>'C'!C73</f>
        <v>20042</v>
      </c>
      <c r="D181" s="12">
        <f>D!C73</f>
        <v>19989</v>
      </c>
      <c r="E181" s="12">
        <f>E!C73</f>
        <v>22422.734577148814</v>
      </c>
      <c r="F181" s="12">
        <f>F!C73</f>
        <v>0</v>
      </c>
      <c r="G181" s="12">
        <f>G!C73</f>
        <v>20249</v>
      </c>
      <c r="H181" s="12">
        <f>YD!C73</f>
        <v>0</v>
      </c>
      <c r="I181" s="12">
        <f>I!C73</f>
        <v>0</v>
      </c>
      <c r="J181" s="12">
        <f>J!C73</f>
        <v>0</v>
      </c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9" t="s">
        <v>115</v>
      </c>
      <c r="B182" s="12">
        <f>B!C74</f>
        <v>17854.295557848422</v>
      </c>
      <c r="C182" s="12">
        <f>'C'!C74</f>
        <v>18473</v>
      </c>
      <c r="D182" s="12">
        <f>D!C74</f>
        <v>18478</v>
      </c>
      <c r="E182" s="12">
        <f>E!C74</f>
        <v>20445.27668776572</v>
      </c>
      <c r="F182" s="12">
        <f>F!C74</f>
        <v>17857.852000000032</v>
      </c>
      <c r="G182" s="12">
        <f>G!C74</f>
        <v>18522</v>
      </c>
      <c r="H182" s="12">
        <f>YD!C74</f>
        <v>0</v>
      </c>
      <c r="I182" s="12">
        <f>I!C74</f>
        <v>0</v>
      </c>
      <c r="J182" s="12">
        <f>J!C74</f>
        <v>0</v>
      </c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9" t="s">
        <v>120</v>
      </c>
      <c r="B183" s="12">
        <f>B!C75</f>
        <v>13942.147864083752</v>
      </c>
      <c r="C183" s="12">
        <f>'C'!C75</f>
        <v>14508</v>
      </c>
      <c r="D183" s="12">
        <f>D!C75</f>
        <v>14506</v>
      </c>
      <c r="E183" s="12">
        <f>E!C75</f>
        <v>15999.949123256783</v>
      </c>
      <c r="F183" s="12">
        <f>F!C75</f>
        <v>13988.512000000033</v>
      </c>
      <c r="G183" s="12">
        <f>G!C75</f>
        <v>14491</v>
      </c>
      <c r="H183" s="12">
        <f>YD!C75</f>
        <v>0</v>
      </c>
      <c r="I183" s="12">
        <f>I!C75</f>
        <v>0</v>
      </c>
      <c r="J183" s="12">
        <f>J!C75</f>
        <v>0</v>
      </c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9" t="s">
        <v>124</v>
      </c>
      <c r="B184" s="12">
        <f>B!C76</f>
        <v>27747.878980448822</v>
      </c>
      <c r="C184" s="12">
        <f>'C'!C76</f>
        <v>28811</v>
      </c>
      <c r="D184" s="12">
        <f>D!C76</f>
        <v>28810</v>
      </c>
      <c r="E184" s="12">
        <f>E!C76</f>
        <v>31725.166632005326</v>
      </c>
      <c r="F184" s="12">
        <f>F!C76</f>
        <v>27901.95700000002</v>
      </c>
      <c r="G184" s="12">
        <f>G!C76</f>
        <v>28721</v>
      </c>
      <c r="H184" s="12">
        <f>YD!C76</f>
        <v>0</v>
      </c>
      <c r="I184" s="12">
        <f>I!C76</f>
        <v>0</v>
      </c>
      <c r="J184" s="12">
        <f>J!C76</f>
        <v>0</v>
      </c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9" t="s">
        <v>125</v>
      </c>
      <c r="B185" s="12">
        <f>B!C77</f>
        <v>19521.276662968372</v>
      </c>
      <c r="C185" s="12">
        <f>'C'!C77</f>
        <v>20121</v>
      </c>
      <c r="D185" s="12">
        <f>D!C77</f>
        <v>20126</v>
      </c>
      <c r="E185" s="12">
        <f>E!C77</f>
        <v>22672.195364210318</v>
      </c>
      <c r="F185" s="12">
        <f>F!C77</f>
        <v>19654.972000000191</v>
      </c>
      <c r="G185" s="12">
        <f>G!C77</f>
        <v>20185</v>
      </c>
      <c r="H185" s="12">
        <f>YD!C77</f>
        <v>0</v>
      </c>
      <c r="I185" s="12">
        <f>I!C77</f>
        <v>0</v>
      </c>
      <c r="J185" s="12">
        <f>J!C77</f>
        <v>0</v>
      </c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9" t="s">
        <v>127</v>
      </c>
      <c r="B186" s="12">
        <f>B!C78</f>
        <v>18620.310806459944</v>
      </c>
      <c r="C186" s="12">
        <f>'C'!C78</f>
        <v>19407</v>
      </c>
      <c r="D186" s="12">
        <f>D!C78</f>
        <v>19418</v>
      </c>
      <c r="E186" s="12">
        <f>E!C78</f>
        <v>21506.675237696691</v>
      </c>
      <c r="F186" s="12">
        <f>F!C78</f>
        <v>18689.798999999959</v>
      </c>
      <c r="G186" s="12">
        <f>G!C78</f>
        <v>19281</v>
      </c>
      <c r="H186" s="12">
        <f>YD!C78</f>
        <v>0</v>
      </c>
      <c r="I186" s="12">
        <f>I!C78</f>
        <v>0</v>
      </c>
      <c r="J186" s="12">
        <f>J!C78</f>
        <v>0</v>
      </c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9" t="s">
        <v>130</v>
      </c>
      <c r="B187" s="12">
        <f>B!C79</f>
        <v>16557.874829804307</v>
      </c>
      <c r="C187" s="12">
        <f>'C'!C79</f>
        <v>16880</v>
      </c>
      <c r="D187" s="12">
        <f>D!C79</f>
        <v>16893</v>
      </c>
      <c r="E187" s="12">
        <f>E!C79</f>
        <v>18589.103594641863</v>
      </c>
      <c r="F187" s="12">
        <f>F!C79</f>
        <v>16506.801999999989</v>
      </c>
      <c r="G187" s="12">
        <f>G!C79</f>
        <v>17443</v>
      </c>
      <c r="H187" s="12">
        <f>YD!C79</f>
        <v>0</v>
      </c>
      <c r="I187" s="12">
        <f>I!C79</f>
        <v>0</v>
      </c>
      <c r="J187" s="12">
        <f>J!C79</f>
        <v>0</v>
      </c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9" t="s">
        <v>132</v>
      </c>
      <c r="B188" s="12">
        <f>B!C80</f>
        <v>13656.995123440021</v>
      </c>
      <c r="C188" s="12">
        <f>'C'!C80</f>
        <v>14127</v>
      </c>
      <c r="D188" s="12">
        <f>D!C80</f>
        <v>14124</v>
      </c>
      <c r="E188" s="12">
        <f>E!C80</f>
        <v>15872.24834290891</v>
      </c>
      <c r="F188" s="12">
        <f>F!C80</f>
        <v>13855.928000000073</v>
      </c>
      <c r="G188" s="12">
        <f>G!C80</f>
        <v>14172</v>
      </c>
      <c r="H188" s="12">
        <f>YD!C80</f>
        <v>0</v>
      </c>
      <c r="I188" s="12">
        <f>I!C80</f>
        <v>0</v>
      </c>
      <c r="J188" s="12">
        <f>J!C80</f>
        <v>0</v>
      </c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9" t="s">
        <v>135</v>
      </c>
      <c r="B189" s="12">
        <f>B!C81</f>
        <v>15020.743269785731</v>
      </c>
      <c r="C189" s="12">
        <f>'C'!C81</f>
        <v>15680</v>
      </c>
      <c r="D189" s="12">
        <f>D!C81</f>
        <v>15677</v>
      </c>
      <c r="E189" s="12">
        <f>E!C81</f>
        <v>17628.943313476735</v>
      </c>
      <c r="F189" s="12">
        <f>F!C81</f>
        <v>15163.82</v>
      </c>
      <c r="G189" s="12">
        <f>G!C81</f>
        <v>15664</v>
      </c>
      <c r="H189" s="12">
        <f>YD!C81</f>
        <v>0</v>
      </c>
      <c r="I189" s="12">
        <f>I!C81</f>
        <v>0</v>
      </c>
      <c r="J189" s="12">
        <f>J!C81</f>
        <v>0</v>
      </c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70" t="s">
        <v>138</v>
      </c>
      <c r="B190" s="12">
        <f>B!C82</f>
        <v>12621.868518963793</v>
      </c>
      <c r="C190" s="12">
        <f>'C'!C82</f>
        <v>12967</v>
      </c>
      <c r="D190" s="12">
        <f>D!C82</f>
        <v>12957</v>
      </c>
      <c r="E190" s="12">
        <f>E!C82</f>
        <v>14743.417637196568</v>
      </c>
      <c r="F190" s="12">
        <f>F!C82</f>
        <v>12750.622999999985</v>
      </c>
      <c r="G190" s="12">
        <f>G!C82</f>
        <v>13215</v>
      </c>
      <c r="H190" s="12">
        <f>YD!C82</f>
        <v>0</v>
      </c>
      <c r="I190" s="12">
        <f>I!C82</f>
        <v>0</v>
      </c>
      <c r="J190" s="12">
        <f>J!C82</f>
        <v>0</v>
      </c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245</v>
      </c>
      <c r="C199" s="10" t="s">
        <v>257</v>
      </c>
      <c r="D199" s="10" t="s">
        <v>258</v>
      </c>
      <c r="E199" s="10" t="s">
        <v>515</v>
      </c>
      <c r="F199" s="10" t="s">
        <v>373</v>
      </c>
      <c r="G199" s="10" t="s">
        <v>482</v>
      </c>
      <c r="H199" s="10" t="s">
        <v>516</v>
      </c>
      <c r="I199" s="10" t="s">
        <v>517</v>
      </c>
      <c r="J199" s="10" t="s">
        <v>517</v>
      </c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9" t="s">
        <v>91</v>
      </c>
      <c r="B200" s="12">
        <f>B!D62</f>
        <v>2400.3229434660229</v>
      </c>
      <c r="C200" s="12">
        <f>'C'!D62</f>
        <v>2301</v>
      </c>
      <c r="D200" s="12">
        <f>D!D62</f>
        <v>2302</v>
      </c>
      <c r="E200" s="12" t="str">
        <f>E!D62</f>
        <v>Note 1</v>
      </c>
      <c r="F200" s="12">
        <f>F!D62</f>
        <v>2326.4899999999893</v>
      </c>
      <c r="G200" s="12">
        <f>G!D62</f>
        <v>2323</v>
      </c>
      <c r="H200" s="12">
        <f>YD!D62</f>
        <v>0</v>
      </c>
      <c r="I200" s="12">
        <f>I!D62</f>
        <v>0</v>
      </c>
      <c r="J200" s="12">
        <f>J!D62</f>
        <v>0</v>
      </c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9" t="s">
        <v>96</v>
      </c>
      <c r="B201" s="12">
        <f>B!D63</f>
        <v>2753.8344761363155</v>
      </c>
      <c r="C201" s="12">
        <f>'C'!D63</f>
        <v>2686</v>
      </c>
      <c r="D201" s="12">
        <f>D!D63</f>
        <v>2687</v>
      </c>
      <c r="E201" s="12" t="str">
        <f>E!D63</f>
        <v>Note 1</v>
      </c>
      <c r="F201" s="12">
        <f>F!D63</f>
        <v>2702.828000000005</v>
      </c>
      <c r="G201" s="12">
        <f>G!D63</f>
        <v>2691</v>
      </c>
      <c r="H201" s="12">
        <f>YD!D63</f>
        <v>0</v>
      </c>
      <c r="I201" s="12">
        <f>I!D63</f>
        <v>0</v>
      </c>
      <c r="J201" s="12">
        <f>J!D63</f>
        <v>0</v>
      </c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9" t="s">
        <v>98</v>
      </c>
      <c r="B202" s="12">
        <f>B!D64</f>
        <v>2746.5996438607058</v>
      </c>
      <c r="C202" s="12">
        <f>'C'!D64</f>
        <v>2615</v>
      </c>
      <c r="D202" s="12">
        <f>D!D64</f>
        <v>2618</v>
      </c>
      <c r="E202" s="12" t="str">
        <f>E!D64</f>
        <v>Note 1</v>
      </c>
      <c r="F202" s="12">
        <f>F!D64</f>
        <v>2674.8690000000088</v>
      </c>
      <c r="G202" s="12">
        <f>G!D64</f>
        <v>2681</v>
      </c>
      <c r="H202" s="12">
        <f>YD!D64</f>
        <v>0</v>
      </c>
      <c r="I202" s="12">
        <f>I!D64</f>
        <v>0</v>
      </c>
      <c r="J202" s="12">
        <f>J!D64</f>
        <v>0</v>
      </c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9" t="s">
        <v>102</v>
      </c>
      <c r="B203" s="12">
        <f>B!D65</f>
        <v>2783.6483035508809</v>
      </c>
      <c r="C203" s="12">
        <f>'C'!D65</f>
        <v>2656</v>
      </c>
      <c r="D203" s="12">
        <f>D!D65</f>
        <v>2633</v>
      </c>
      <c r="E203" s="12" t="str">
        <f>E!D65</f>
        <v>Note 1</v>
      </c>
      <c r="F203" s="12">
        <f>F!D65</f>
        <v>2727.4839999999936</v>
      </c>
      <c r="G203" s="12">
        <f>G!D65</f>
        <v>2693</v>
      </c>
      <c r="H203" s="12">
        <f>YD!D65</f>
        <v>0</v>
      </c>
      <c r="I203" s="12">
        <f>I!D65</f>
        <v>0</v>
      </c>
      <c r="J203" s="12">
        <f>J!D65</f>
        <v>0</v>
      </c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9" t="s">
        <v>356</v>
      </c>
      <c r="B204" s="12">
        <f>B!D66</f>
        <v>2776.4377847636142</v>
      </c>
      <c r="C204" s="12">
        <f>'C'!D66</f>
        <v>2649</v>
      </c>
      <c r="D204" s="12">
        <f>D!D66</f>
        <v>2640</v>
      </c>
      <c r="E204" s="12" t="str">
        <f>E!D66</f>
        <v>Note 1</v>
      </c>
      <c r="F204" s="12">
        <f>F!D66</f>
        <v>2712.5509999999958</v>
      </c>
      <c r="G204" s="12">
        <f>G!D66</f>
        <v>2684</v>
      </c>
      <c r="H204" s="12">
        <f>YD!D66</f>
        <v>0</v>
      </c>
      <c r="I204" s="12">
        <f>I!D66</f>
        <v>0</v>
      </c>
      <c r="J204" s="12">
        <f>J!D66</f>
        <v>0</v>
      </c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9" t="s">
        <v>105</v>
      </c>
      <c r="B205" s="12">
        <f>B!D67</f>
        <v>2040.2191038522333</v>
      </c>
      <c r="C205" s="12">
        <f>'C'!D67</f>
        <v>1865</v>
      </c>
      <c r="D205" s="12">
        <f>D!D67</f>
        <v>1867</v>
      </c>
      <c r="E205" s="12" t="str">
        <f>E!D67</f>
        <v>Note 1</v>
      </c>
      <c r="F205" s="12">
        <f>F!D67</f>
        <v>1968.617000000002</v>
      </c>
      <c r="G205" s="12">
        <f>G!D67</f>
        <v>1970</v>
      </c>
      <c r="H205" s="12">
        <f>YD!D67</f>
        <v>0</v>
      </c>
      <c r="I205" s="12">
        <f>I!D67</f>
        <v>0</v>
      </c>
      <c r="J205" s="12">
        <f>J!D67</f>
        <v>0</v>
      </c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9" t="s">
        <v>108</v>
      </c>
      <c r="B206" s="12">
        <f>B!D68</f>
        <v>4313.0318409622851</v>
      </c>
      <c r="C206" s="12">
        <f>'C'!D68</f>
        <v>4185</v>
      </c>
      <c r="D206" s="12">
        <f>D!D68</f>
        <v>4181</v>
      </c>
      <c r="E206" s="12" t="str">
        <f>E!D68</f>
        <v>Note 1</v>
      </c>
      <c r="F206" s="12">
        <f>F!D68</f>
        <v>4266.1759999997475</v>
      </c>
      <c r="G206" s="12">
        <f>G!D68</f>
        <v>4272</v>
      </c>
      <c r="H206" s="12">
        <f>YD!D68</f>
        <v>0</v>
      </c>
      <c r="I206" s="12">
        <f>I!D68</f>
        <v>0</v>
      </c>
      <c r="J206" s="12">
        <f>J!D68</f>
        <v>0</v>
      </c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9" t="s">
        <v>109</v>
      </c>
      <c r="B207" s="12">
        <f>B!D69</f>
        <v>1986.2848304670733</v>
      </c>
      <c r="C207" s="12">
        <f>'C'!D69</f>
        <v>1860</v>
      </c>
      <c r="D207" s="12">
        <f>D!D69</f>
        <v>1865</v>
      </c>
      <c r="E207" s="12" t="str">
        <f>E!D69</f>
        <v>Note 1</v>
      </c>
      <c r="F207" s="12">
        <f>F!D69</f>
        <v>0</v>
      </c>
      <c r="G207" s="12">
        <f>G!D69</f>
        <v>1902</v>
      </c>
      <c r="H207" s="12">
        <f>YD!D69</f>
        <v>0</v>
      </c>
      <c r="I207" s="12">
        <f>I!D69</f>
        <v>0</v>
      </c>
      <c r="J207" s="12">
        <f>J!D69</f>
        <v>0</v>
      </c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9" t="s">
        <v>111</v>
      </c>
      <c r="B208" s="12">
        <f>B!D70</f>
        <v>1994.01749804832</v>
      </c>
      <c r="C208" s="12">
        <f>'C'!D70</f>
        <v>1965</v>
      </c>
      <c r="D208" s="12">
        <f>D!D70</f>
        <v>1969</v>
      </c>
      <c r="E208" s="12" t="str">
        <f>E!D70</f>
        <v>Note 1</v>
      </c>
      <c r="F208" s="12">
        <f>F!D70</f>
        <v>0</v>
      </c>
      <c r="G208" s="12">
        <f>G!D70</f>
        <v>1936</v>
      </c>
      <c r="H208" s="12">
        <f>YD!D70</f>
        <v>0</v>
      </c>
      <c r="I208" s="12">
        <f>I!D70</f>
        <v>0</v>
      </c>
      <c r="J208" s="12">
        <f>J!D70</f>
        <v>0</v>
      </c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9" t="s">
        <v>112</v>
      </c>
      <c r="B209" s="12">
        <f>B!D71</f>
        <v>2148.5022137105116</v>
      </c>
      <c r="C209" s="12">
        <f>'C'!D71</f>
        <v>2054</v>
      </c>
      <c r="D209" s="12">
        <f>D!D71</f>
        <v>2096</v>
      </c>
      <c r="E209" s="12" t="str">
        <f>E!D71</f>
        <v>Note 1</v>
      </c>
      <c r="F209" s="12">
        <f>F!D71</f>
        <v>0</v>
      </c>
      <c r="G209" s="12">
        <f>G!D71</f>
        <v>2115</v>
      </c>
      <c r="H209" s="12">
        <f>YD!D71</f>
        <v>0</v>
      </c>
      <c r="I209" s="12">
        <f>I!D71</f>
        <v>0</v>
      </c>
      <c r="J209" s="12">
        <f>J!D71</f>
        <v>0</v>
      </c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9" t="s">
        <v>113</v>
      </c>
      <c r="B210" s="12">
        <f>B!D72</f>
        <v>2059.490255706839</v>
      </c>
      <c r="C210" s="12">
        <f>'C'!D72</f>
        <v>1993</v>
      </c>
      <c r="D210" s="12">
        <f>D!D72</f>
        <v>1980</v>
      </c>
      <c r="E210" s="12" t="str">
        <f>E!D72</f>
        <v>Note 1</v>
      </c>
      <c r="F210" s="12">
        <f>F!D72</f>
        <v>0</v>
      </c>
      <c r="G210" s="12">
        <f>G!D72</f>
        <v>1970</v>
      </c>
      <c r="H210" s="12">
        <f>YD!D72</f>
        <v>0</v>
      </c>
      <c r="I210" s="12">
        <f>I!D72</f>
        <v>0</v>
      </c>
      <c r="J210" s="12">
        <f>J!D72</f>
        <v>0</v>
      </c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9" t="s">
        <v>114</v>
      </c>
      <c r="B211" s="12">
        <f>B!D73</f>
        <v>2182.2677615890984</v>
      </c>
      <c r="C211" s="12">
        <f>'C'!D73</f>
        <v>2110</v>
      </c>
      <c r="D211" s="12">
        <f>D!D73</f>
        <v>2104</v>
      </c>
      <c r="E211" s="12" t="str">
        <f>E!D73</f>
        <v>Note 1</v>
      </c>
      <c r="F211" s="12">
        <f>F!D73</f>
        <v>0</v>
      </c>
      <c r="G211" s="12">
        <f>G!D73</f>
        <v>2120</v>
      </c>
      <c r="H211" s="12">
        <f>YD!D73</f>
        <v>0</v>
      </c>
      <c r="I211" s="12">
        <f>I!D73</f>
        <v>0</v>
      </c>
      <c r="J211" s="12">
        <f>J!D73</f>
        <v>0</v>
      </c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9" t="s">
        <v>115</v>
      </c>
      <c r="B212" s="12">
        <f>B!D74</f>
        <v>1919.7698233773071</v>
      </c>
      <c r="C212" s="12">
        <f>'C'!D74</f>
        <v>1975</v>
      </c>
      <c r="D212" s="12">
        <f>D!D74</f>
        <v>1975</v>
      </c>
      <c r="E212" s="12" t="str">
        <f>E!D74</f>
        <v>Note 1</v>
      </c>
      <c r="F212" s="12">
        <f>F!D74</f>
        <v>1911.8690000000017</v>
      </c>
      <c r="G212" s="12">
        <f>G!D74</f>
        <v>1976</v>
      </c>
      <c r="H212" s="12">
        <f>YD!D74</f>
        <v>0</v>
      </c>
      <c r="I212" s="12">
        <f>I!D74</f>
        <v>0</v>
      </c>
      <c r="J212" s="12">
        <f>J!D74</f>
        <v>0</v>
      </c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9" t="s">
        <v>120</v>
      </c>
      <c r="B213" s="12">
        <f>B!D75</f>
        <v>1476.6546903521444</v>
      </c>
      <c r="C213" s="12">
        <f>'C'!D75</f>
        <v>1527</v>
      </c>
      <c r="D213" s="12">
        <f>D!D75</f>
        <v>1527</v>
      </c>
      <c r="E213" s="12" t="str">
        <f>E!D75</f>
        <v>Note 1</v>
      </c>
      <c r="F213" s="12">
        <f>F!D75</f>
        <v>1475.5280000000027</v>
      </c>
      <c r="G213" s="12">
        <f>G!D75</f>
        <v>1524</v>
      </c>
      <c r="H213" s="12">
        <f>YD!D75</f>
        <v>0</v>
      </c>
      <c r="I213" s="12">
        <f>I!D75</f>
        <v>0</v>
      </c>
      <c r="J213" s="12">
        <f>J!D75</f>
        <v>0</v>
      </c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9" t="s">
        <v>124</v>
      </c>
      <c r="B214" s="12">
        <f>B!D76</f>
        <v>2937.676627832258</v>
      </c>
      <c r="C214" s="12">
        <f>'C'!D76</f>
        <v>3061</v>
      </c>
      <c r="D214" s="12">
        <f>D!D76</f>
        <v>3061</v>
      </c>
      <c r="E214" s="12" t="str">
        <f>E!D76</f>
        <v>Note 1</v>
      </c>
      <c r="F214" s="12">
        <f>F!D76</f>
        <v>2974.4</v>
      </c>
      <c r="G214" s="12">
        <f>G!D76</f>
        <v>3050</v>
      </c>
      <c r="H214" s="12">
        <f>YD!D76</f>
        <v>0</v>
      </c>
      <c r="I214" s="12">
        <f>I!D76</f>
        <v>0</v>
      </c>
      <c r="J214" s="12">
        <f>J!D76</f>
        <v>0</v>
      </c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9" t="s">
        <v>125</v>
      </c>
      <c r="B215" s="12">
        <f>B!D77</f>
        <v>2340.1169215021255</v>
      </c>
      <c r="C215" s="12">
        <f>'C'!D77</f>
        <v>2394</v>
      </c>
      <c r="D215" s="12">
        <f>D!D77</f>
        <v>2393</v>
      </c>
      <c r="E215" s="12" t="str">
        <f>E!D77</f>
        <v>Note 1</v>
      </c>
      <c r="F215" s="12">
        <f>F!D77</f>
        <v>2344.8270000000412</v>
      </c>
      <c r="G215" s="12">
        <f>G!D77</f>
        <v>2396</v>
      </c>
      <c r="H215" s="12">
        <f>YD!D77</f>
        <v>0</v>
      </c>
      <c r="I215" s="12">
        <f>I!D77</f>
        <v>0</v>
      </c>
      <c r="J215" s="12">
        <f>J!D77</f>
        <v>0</v>
      </c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9" t="s">
        <v>127</v>
      </c>
      <c r="B216" s="12">
        <f>B!D78</f>
        <v>2108.2782659614504</v>
      </c>
      <c r="C216" s="12">
        <f>'C'!D78</f>
        <v>2182</v>
      </c>
      <c r="D216" s="12">
        <f>D!D78</f>
        <v>2182</v>
      </c>
      <c r="E216" s="12" t="str">
        <f>E!D78</f>
        <v>Note 1</v>
      </c>
      <c r="F216" s="12">
        <f>F!D78</f>
        <v>2110.8329999999924</v>
      </c>
      <c r="G216" s="12">
        <f>G!D78</f>
        <v>2174</v>
      </c>
      <c r="H216" s="12">
        <f>YD!D78</f>
        <v>0</v>
      </c>
      <c r="I216" s="12">
        <f>I!D78</f>
        <v>0</v>
      </c>
      <c r="J216" s="12">
        <f>J!D78</f>
        <v>0</v>
      </c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9" t="s">
        <v>130</v>
      </c>
      <c r="B217" s="12">
        <f>B!D79</f>
        <v>1611.2289106354137</v>
      </c>
      <c r="C217" s="12">
        <f>'C'!D79</f>
        <v>1642</v>
      </c>
      <c r="D217" s="12">
        <f>D!D79</f>
        <v>1643</v>
      </c>
      <c r="E217" s="12" t="str">
        <f>E!D79</f>
        <v>Note 1</v>
      </c>
      <c r="F217" s="12">
        <f>F!D79</f>
        <v>1599.2030000000073</v>
      </c>
      <c r="G217" s="12">
        <f>G!D79</f>
        <v>1663</v>
      </c>
      <c r="H217" s="12">
        <f>YD!D79</f>
        <v>0</v>
      </c>
      <c r="I217" s="12">
        <f>I!D79</f>
        <v>0</v>
      </c>
      <c r="J217" s="12">
        <f>J!D79</f>
        <v>0</v>
      </c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9" t="s">
        <v>132</v>
      </c>
      <c r="B218" s="12">
        <f>B!D80</f>
        <v>1551.8308506501819</v>
      </c>
      <c r="C218" s="12">
        <f>'C'!D80</f>
        <v>1580</v>
      </c>
      <c r="D218" s="12">
        <f>D!D80</f>
        <v>1580</v>
      </c>
      <c r="E218" s="12" t="str">
        <f>E!D80</f>
        <v>Note 1</v>
      </c>
      <c r="F218" s="12">
        <f>F!D80</f>
        <v>1535.684</v>
      </c>
      <c r="G218" s="12">
        <f>G!D80</f>
        <v>1585</v>
      </c>
      <c r="H218" s="12">
        <f>YD!D80</f>
        <v>0</v>
      </c>
      <c r="I218" s="12">
        <f>I!D80</f>
        <v>0</v>
      </c>
      <c r="J218" s="12">
        <f>J!D80</f>
        <v>0</v>
      </c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9" t="s">
        <v>135</v>
      </c>
      <c r="B219" s="12">
        <f>B!D81</f>
        <v>1888.1034743537653</v>
      </c>
      <c r="C219" s="12">
        <f>'C'!D81</f>
        <v>1940</v>
      </c>
      <c r="D219" s="12">
        <f>D!D81</f>
        <v>1939</v>
      </c>
      <c r="E219" s="12" t="str">
        <f>E!D81</f>
        <v>Note 1</v>
      </c>
      <c r="F219" s="12">
        <f>F!D81</f>
        <v>1872.3359999999955</v>
      </c>
      <c r="G219" s="12">
        <f>G!D81</f>
        <v>1926</v>
      </c>
      <c r="H219" s="12">
        <f>YD!D81</f>
        <v>0</v>
      </c>
      <c r="I219" s="12">
        <f>I!D81</f>
        <v>0</v>
      </c>
      <c r="J219" s="12">
        <f>J!D81</f>
        <v>0</v>
      </c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70" t="s">
        <v>138</v>
      </c>
      <c r="B220" s="12">
        <f>B!D82</f>
        <v>1312.4522494395735</v>
      </c>
      <c r="C220" s="12">
        <f>'C'!D82</f>
        <v>1334</v>
      </c>
      <c r="D220" s="12">
        <f>D!D82</f>
        <v>1333</v>
      </c>
      <c r="E220" s="12" t="str">
        <f>E!D82</f>
        <v>Note 1</v>
      </c>
      <c r="F220" s="12">
        <f>F!D82</f>
        <v>1301.7909999999904</v>
      </c>
      <c r="G220" s="12">
        <f>G!D82</f>
        <v>1337</v>
      </c>
      <c r="H220" s="12">
        <f>YD!D82</f>
        <v>0</v>
      </c>
      <c r="I220" s="12">
        <f>I!D82</f>
        <v>0</v>
      </c>
      <c r="J220" s="12">
        <f>J!D82</f>
        <v>0</v>
      </c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411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245</v>
      </c>
      <c r="C229" s="10" t="s">
        <v>257</v>
      </c>
      <c r="D229" s="10" t="s">
        <v>258</v>
      </c>
      <c r="E229" s="10" t="s">
        <v>515</v>
      </c>
      <c r="F229" s="10" t="s">
        <v>373</v>
      </c>
      <c r="G229" s="10" t="s">
        <v>482</v>
      </c>
      <c r="H229" s="10" t="s">
        <v>516</v>
      </c>
      <c r="I229" s="10" t="s">
        <v>517</v>
      </c>
      <c r="J229" s="10" t="s">
        <v>517</v>
      </c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9" t="s">
        <v>91</v>
      </c>
      <c r="B230" s="12">
        <f>B!E62</f>
        <v>10879.92</v>
      </c>
      <c r="C230" s="12">
        <f>'C'!E62</f>
        <v>10880</v>
      </c>
      <c r="D230" s="12">
        <f>D!E62</f>
        <v>10880</v>
      </c>
      <c r="E230" s="12">
        <f>E!E62</f>
        <v>10862.091928960235</v>
      </c>
      <c r="F230" s="12">
        <f>F!E62</f>
        <v>10879.920000001301</v>
      </c>
      <c r="G230" s="12">
        <f>G!E62</f>
        <v>10880</v>
      </c>
      <c r="H230" s="12">
        <f>YD!E62</f>
        <v>0</v>
      </c>
      <c r="I230" s="12">
        <f>I!E62</f>
        <v>0</v>
      </c>
      <c r="J230" s="12">
        <f>J!E62</f>
        <v>0</v>
      </c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9" t="s">
        <v>96</v>
      </c>
      <c r="B231" s="12">
        <f>B!E63</f>
        <v>10879.92</v>
      </c>
      <c r="C231" s="12">
        <f>'C'!E63</f>
        <v>10880</v>
      </c>
      <c r="D231" s="12">
        <f>D!E63</f>
        <v>10880</v>
      </c>
      <c r="E231" s="12">
        <f>E!E63</f>
        <v>10862.091928960235</v>
      </c>
      <c r="F231" s="12">
        <f>F!E63</f>
        <v>10879.920000001301</v>
      </c>
      <c r="G231" s="12">
        <f>G!E63</f>
        <v>10880</v>
      </c>
      <c r="H231" s="12">
        <f>YD!E63</f>
        <v>0</v>
      </c>
      <c r="I231" s="12">
        <f>I!E63</f>
        <v>0</v>
      </c>
      <c r="J231" s="12">
        <f>J!E63</f>
        <v>0</v>
      </c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9" t="s">
        <v>98</v>
      </c>
      <c r="B232" s="12">
        <f>B!E64</f>
        <v>10879.92</v>
      </c>
      <c r="C232" s="12">
        <f>'C'!E64</f>
        <v>10880</v>
      </c>
      <c r="D232" s="12">
        <f>D!E64</f>
        <v>10880</v>
      </c>
      <c r="E232" s="12">
        <f>E!E64</f>
        <v>10862.091928960235</v>
      </c>
      <c r="F232" s="12">
        <f>F!E64</f>
        <v>10879.920000001301</v>
      </c>
      <c r="G232" s="12">
        <f>G!E64</f>
        <v>10880</v>
      </c>
      <c r="H232" s="12">
        <f>YD!E64</f>
        <v>0</v>
      </c>
      <c r="I232" s="12">
        <f>I!E64</f>
        <v>0</v>
      </c>
      <c r="J232" s="12">
        <f>J!E64</f>
        <v>0</v>
      </c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9" t="s">
        <v>102</v>
      </c>
      <c r="B233" s="12">
        <f>B!E65</f>
        <v>10879.92</v>
      </c>
      <c r="C233" s="12">
        <f>'C'!E65</f>
        <v>10880</v>
      </c>
      <c r="D233" s="12">
        <f>D!E65</f>
        <v>10880</v>
      </c>
      <c r="E233" s="12">
        <f>E!E65</f>
        <v>10862.091928960235</v>
      </c>
      <c r="F233" s="12">
        <f>F!E65</f>
        <v>10879.920000001301</v>
      </c>
      <c r="G233" s="12">
        <f>G!E65</f>
        <v>10880</v>
      </c>
      <c r="H233" s="12">
        <f>YD!E65</f>
        <v>0</v>
      </c>
      <c r="I233" s="12">
        <f>I!E65</f>
        <v>0</v>
      </c>
      <c r="J233" s="12">
        <f>J!E65</f>
        <v>0</v>
      </c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9" t="s">
        <v>356</v>
      </c>
      <c r="B234" s="12">
        <f>B!E66</f>
        <v>10879.92</v>
      </c>
      <c r="C234" s="12">
        <f>'C'!E66</f>
        <v>10880</v>
      </c>
      <c r="D234" s="12">
        <f>D!E66</f>
        <v>10880</v>
      </c>
      <c r="E234" s="12">
        <f>E!E66</f>
        <v>10862.091928960235</v>
      </c>
      <c r="F234" s="12">
        <f>F!E66</f>
        <v>10879.920000001301</v>
      </c>
      <c r="G234" s="12">
        <f>G!E66</f>
        <v>10880</v>
      </c>
      <c r="H234" s="12">
        <f>YD!E66</f>
        <v>0</v>
      </c>
      <c r="I234" s="12">
        <f>I!E66</f>
        <v>0</v>
      </c>
      <c r="J234" s="12">
        <f>J!E66</f>
        <v>0</v>
      </c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9" t="s">
        <v>105</v>
      </c>
      <c r="B235" s="12">
        <f>B!E67</f>
        <v>10879.92</v>
      </c>
      <c r="C235" s="12">
        <f>'C'!E67</f>
        <v>10880</v>
      </c>
      <c r="D235" s="12">
        <f>D!E67</f>
        <v>10880</v>
      </c>
      <c r="E235" s="12">
        <f>E!E67</f>
        <v>10862.091928960235</v>
      </c>
      <c r="F235" s="12">
        <f>F!E67</f>
        <v>10879.920000001301</v>
      </c>
      <c r="G235" s="12">
        <f>G!E67</f>
        <v>10880</v>
      </c>
      <c r="H235" s="12">
        <f>YD!E67</f>
        <v>0</v>
      </c>
      <c r="I235" s="12">
        <f>I!E67</f>
        <v>0</v>
      </c>
      <c r="J235" s="12">
        <f>J!E67</f>
        <v>0</v>
      </c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9" t="s">
        <v>108</v>
      </c>
      <c r="B236" s="12">
        <f>B!E68</f>
        <v>10879.92</v>
      </c>
      <c r="C236" s="12">
        <f>'C'!E68</f>
        <v>10880</v>
      </c>
      <c r="D236" s="12">
        <f>D!E68</f>
        <v>10880</v>
      </c>
      <c r="E236" s="12">
        <f>E!E68</f>
        <v>10862.091928960235</v>
      </c>
      <c r="F236" s="12">
        <f>F!E68</f>
        <v>10879.920000001301</v>
      </c>
      <c r="G236" s="12">
        <f>G!E68</f>
        <v>10880</v>
      </c>
      <c r="H236" s="12">
        <f>YD!E68</f>
        <v>0</v>
      </c>
      <c r="I236" s="12">
        <f>I!E68</f>
        <v>0</v>
      </c>
      <c r="J236" s="12">
        <f>J!E68</f>
        <v>0</v>
      </c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9" t="s">
        <v>109</v>
      </c>
      <c r="B237" s="12">
        <f>B!E69</f>
        <v>10879.92</v>
      </c>
      <c r="C237" s="12">
        <f>'C'!E69</f>
        <v>10880</v>
      </c>
      <c r="D237" s="12">
        <f>D!E69</f>
        <v>10880</v>
      </c>
      <c r="E237" s="12">
        <f>E!E69</f>
        <v>10862.091928960235</v>
      </c>
      <c r="F237" s="12">
        <f>F!E69</f>
        <v>0</v>
      </c>
      <c r="G237" s="12">
        <f>G!E69</f>
        <v>10880</v>
      </c>
      <c r="H237" s="12">
        <f>YD!E69</f>
        <v>0</v>
      </c>
      <c r="I237" s="12">
        <f>I!E69</f>
        <v>0</v>
      </c>
      <c r="J237" s="12">
        <f>J!E69</f>
        <v>0</v>
      </c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9" t="s">
        <v>111</v>
      </c>
      <c r="B238" s="12">
        <f>B!E70</f>
        <v>10879.92</v>
      </c>
      <c r="C238" s="12">
        <f>'C'!E70</f>
        <v>10880</v>
      </c>
      <c r="D238" s="12">
        <f>D!E70</f>
        <v>10880</v>
      </c>
      <c r="E238" s="12">
        <f>E!E70</f>
        <v>10862.091928960235</v>
      </c>
      <c r="F238" s="12">
        <f>F!E70</f>
        <v>0</v>
      </c>
      <c r="G238" s="12">
        <f>G!E70</f>
        <v>10880</v>
      </c>
      <c r="H238" s="12">
        <f>YD!E70</f>
        <v>0</v>
      </c>
      <c r="I238" s="12">
        <f>I!E70</f>
        <v>0</v>
      </c>
      <c r="J238" s="12">
        <f>J!E70</f>
        <v>0</v>
      </c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9" t="s">
        <v>112</v>
      </c>
      <c r="B239" s="12">
        <f>B!E71</f>
        <v>10879.92</v>
      </c>
      <c r="C239" s="12">
        <f>'C'!E71</f>
        <v>10880</v>
      </c>
      <c r="D239" s="12">
        <f>D!E71</f>
        <v>10880</v>
      </c>
      <c r="E239" s="12">
        <f>E!E71</f>
        <v>10862.091928960235</v>
      </c>
      <c r="F239" s="12">
        <f>F!E71</f>
        <v>0</v>
      </c>
      <c r="G239" s="12">
        <f>G!E71</f>
        <v>10880</v>
      </c>
      <c r="H239" s="12">
        <f>YD!E71</f>
        <v>0</v>
      </c>
      <c r="I239" s="12">
        <f>I!E71</f>
        <v>0</v>
      </c>
      <c r="J239" s="12">
        <f>J!E71</f>
        <v>0</v>
      </c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9" t="s">
        <v>113</v>
      </c>
      <c r="B240" s="12">
        <f>B!E72</f>
        <v>10879.92</v>
      </c>
      <c r="C240" s="12">
        <f>'C'!E72</f>
        <v>10880</v>
      </c>
      <c r="D240" s="12">
        <f>D!E72</f>
        <v>10880</v>
      </c>
      <c r="E240" s="12">
        <f>E!E72</f>
        <v>10862.091928960235</v>
      </c>
      <c r="F240" s="12">
        <f>F!E72</f>
        <v>0</v>
      </c>
      <c r="G240" s="12">
        <f>G!E72</f>
        <v>10880</v>
      </c>
      <c r="H240" s="12">
        <f>YD!E72</f>
        <v>0</v>
      </c>
      <c r="I240" s="12">
        <f>I!E72</f>
        <v>0</v>
      </c>
      <c r="J240" s="12">
        <f>J!E72</f>
        <v>0</v>
      </c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9" t="s">
        <v>114</v>
      </c>
      <c r="B241" s="12">
        <f>B!E73</f>
        <v>10879.92</v>
      </c>
      <c r="C241" s="12">
        <f>'C'!E73</f>
        <v>10880</v>
      </c>
      <c r="D241" s="12">
        <f>D!E73</f>
        <v>10880</v>
      </c>
      <c r="E241" s="12">
        <f>E!E73</f>
        <v>10862.091928960235</v>
      </c>
      <c r="F241" s="12">
        <f>F!E73</f>
        <v>0</v>
      </c>
      <c r="G241" s="12">
        <f>G!E73</f>
        <v>10880</v>
      </c>
      <c r="H241" s="12">
        <f>YD!E73</f>
        <v>0</v>
      </c>
      <c r="I241" s="12">
        <f>I!E73</f>
        <v>0</v>
      </c>
      <c r="J241" s="12">
        <f>J!E73</f>
        <v>0</v>
      </c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9" t="s">
        <v>115</v>
      </c>
      <c r="B242" s="12">
        <f>B!E74</f>
        <v>2563.8216350909911</v>
      </c>
      <c r="C242" s="12">
        <f>'C'!E74</f>
        <v>2369</v>
      </c>
      <c r="D242" s="12">
        <f>D!E74</f>
        <v>2369</v>
      </c>
      <c r="E242" s="12">
        <f>E!E74</f>
        <v>2630.5429758614428</v>
      </c>
      <c r="F242" s="12">
        <f>F!E74</f>
        <v>2553.2319999999895</v>
      </c>
      <c r="G242" s="12">
        <f>G!E74</f>
        <v>2639</v>
      </c>
      <c r="H242" s="12">
        <f>YD!E74</f>
        <v>0</v>
      </c>
      <c r="I242" s="12">
        <f>I!E74</f>
        <v>0</v>
      </c>
      <c r="J242" s="12">
        <f>J!E74</f>
        <v>0</v>
      </c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9" t="s">
        <v>120</v>
      </c>
      <c r="B243" s="12">
        <f>B!E75</f>
        <v>1972.0485219541506</v>
      </c>
      <c r="C243" s="12">
        <f>'C'!E75</f>
        <v>1837</v>
      </c>
      <c r="D243" s="12">
        <f>D!E75</f>
        <v>1837</v>
      </c>
      <c r="E243" s="12">
        <f>E!E75</f>
        <v>2030.7654181163252</v>
      </c>
      <c r="F243" s="12">
        <f>F!E75</f>
        <v>1970.496999999993</v>
      </c>
      <c r="G243" s="12">
        <f>G!E75</f>
        <v>2035</v>
      </c>
      <c r="H243" s="12">
        <f>YD!E75</f>
        <v>0</v>
      </c>
      <c r="I243" s="12">
        <f>I!E75</f>
        <v>0</v>
      </c>
      <c r="J243" s="12">
        <f>J!E75</f>
        <v>0</v>
      </c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9" t="s">
        <v>124</v>
      </c>
      <c r="B244" s="12">
        <f>B!E76</f>
        <v>3923.219754588878</v>
      </c>
      <c r="C244" s="12">
        <f>'C'!E76</f>
        <v>4099</v>
      </c>
      <c r="D244" s="12">
        <f>D!E76</f>
        <v>4099</v>
      </c>
      <c r="E244" s="12">
        <f>E!E76</f>
        <v>4065.8534654745631</v>
      </c>
      <c r="F244" s="12">
        <f>F!E76</f>
        <v>3972.28</v>
      </c>
      <c r="G244" s="12">
        <f>G!E76</f>
        <v>4073</v>
      </c>
      <c r="H244" s="12">
        <f>YD!E76</f>
        <v>0</v>
      </c>
      <c r="I244" s="12">
        <f>I!E76</f>
        <v>0</v>
      </c>
      <c r="J244" s="12">
        <f>J!E76</f>
        <v>0</v>
      </c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9" t="s">
        <v>125</v>
      </c>
      <c r="B245" s="12">
        <f>B!E77</f>
        <v>3125.1884048447769</v>
      </c>
      <c r="C245" s="12">
        <f>'C'!E77</f>
        <v>2874</v>
      </c>
      <c r="D245" s="12">
        <f>D!E77</f>
        <v>2871</v>
      </c>
      <c r="E245" s="12">
        <f>E!E77</f>
        <v>3140.7018870980669</v>
      </c>
      <c r="F245" s="12">
        <f>F!E77</f>
        <v>3131.2710000000302</v>
      </c>
      <c r="G245" s="12">
        <f>G!E77</f>
        <v>3200</v>
      </c>
      <c r="H245" s="12">
        <f>YD!E77</f>
        <v>0</v>
      </c>
      <c r="I245" s="12">
        <f>I!E77</f>
        <v>0</v>
      </c>
      <c r="J245" s="12">
        <f>J!E77</f>
        <v>0</v>
      </c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9" t="s">
        <v>127</v>
      </c>
      <c r="B246" s="12">
        <f>B!E78</f>
        <v>2815.5716197033621</v>
      </c>
      <c r="C246" s="12">
        <f>'C'!E78</f>
        <v>2704</v>
      </c>
      <c r="D246" s="12">
        <f>D!E78</f>
        <v>2707</v>
      </c>
      <c r="E246" s="12">
        <f>E!E78</f>
        <v>2878.8648882399661</v>
      </c>
      <c r="F246" s="12">
        <f>F!E78</f>
        <v>2819.112000000006</v>
      </c>
      <c r="G246" s="12">
        <f>G!E78</f>
        <v>2904</v>
      </c>
      <c r="H246" s="12">
        <f>YD!E78</f>
        <v>0</v>
      </c>
      <c r="I246" s="12">
        <f>I!E78</f>
        <v>0</v>
      </c>
      <c r="J246" s="12">
        <f>J!E78</f>
        <v>0</v>
      </c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9" t="s">
        <v>130</v>
      </c>
      <c r="B247" s="12">
        <f>B!E79</f>
        <v>2151.7702225905218</v>
      </c>
      <c r="C247" s="12">
        <f>'C'!E79</f>
        <v>1886</v>
      </c>
      <c r="D247" s="12">
        <f>D!E79</f>
        <v>1885</v>
      </c>
      <c r="E247" s="12">
        <f>E!E79</f>
        <v>2192.24716644307</v>
      </c>
      <c r="F247" s="12">
        <f>F!E79</f>
        <v>2135.7079999999992</v>
      </c>
      <c r="G247" s="12">
        <f>G!E79</f>
        <v>2221</v>
      </c>
      <c r="H247" s="12">
        <f>YD!E79</f>
        <v>0</v>
      </c>
      <c r="I247" s="12">
        <f>I!E79</f>
        <v>0</v>
      </c>
      <c r="J247" s="12">
        <f>J!E79</f>
        <v>0</v>
      </c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9" t="s">
        <v>132</v>
      </c>
      <c r="B248" s="12">
        <f>B!E80</f>
        <v>2072.4450715134722</v>
      </c>
      <c r="C248" s="12">
        <f>'C'!E80</f>
        <v>1833</v>
      </c>
      <c r="D248" s="12">
        <f>D!E80</f>
        <v>1833</v>
      </c>
      <c r="E248" s="12">
        <f>E!E80</f>
        <v>2121.7133965835774</v>
      </c>
      <c r="F248" s="12">
        <f>F!E80</f>
        <v>2050.855999999997</v>
      </c>
      <c r="G248" s="12">
        <f>G!E80</f>
        <v>2117</v>
      </c>
      <c r="H248" s="12">
        <f>YD!E80</f>
        <v>0</v>
      </c>
      <c r="I248" s="12">
        <f>I!E80</f>
        <v>0</v>
      </c>
      <c r="J248" s="12">
        <f>J!E80</f>
        <v>0</v>
      </c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9" t="s">
        <v>135</v>
      </c>
      <c r="B249" s="12">
        <f>B!E81</f>
        <v>2521.531736717593</v>
      </c>
      <c r="C249" s="12">
        <f>'C'!E81</f>
        <v>2258</v>
      </c>
      <c r="D249" s="12">
        <f>D!E81</f>
        <v>2258</v>
      </c>
      <c r="E249" s="12">
        <f>E!E81</f>
        <v>2493.7907916854338</v>
      </c>
      <c r="F249" s="12">
        <f>F!E81</f>
        <v>2500.4160000000597</v>
      </c>
      <c r="G249" s="12">
        <f>G!E81</f>
        <v>2573</v>
      </c>
      <c r="H249" s="12">
        <f>YD!E81</f>
        <v>0</v>
      </c>
      <c r="I249" s="12">
        <f>I!E81</f>
        <v>0</v>
      </c>
      <c r="J249" s="12">
        <f>J!E81</f>
        <v>0</v>
      </c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70" t="s">
        <v>138</v>
      </c>
      <c r="B250" s="12">
        <f>B!E82</f>
        <v>1752.7588105418879</v>
      </c>
      <c r="C250" s="12">
        <f>'C'!E82</f>
        <v>1501</v>
      </c>
      <c r="D250" s="12">
        <f>D!E82</f>
        <v>1501</v>
      </c>
      <c r="E250" s="12">
        <f>E!E82</f>
        <v>1865.1834311343553</v>
      </c>
      <c r="F250" s="12">
        <f>F!E82</f>
        <v>1738.6670000000074</v>
      </c>
      <c r="G250" s="12">
        <f>G!E82</f>
        <v>1786</v>
      </c>
      <c r="H250" s="12">
        <f>YD!E82</f>
        <v>0</v>
      </c>
      <c r="I250" s="12">
        <f>I!E82</f>
        <v>0</v>
      </c>
      <c r="J250" s="12">
        <f>J!E82</f>
        <v>0</v>
      </c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412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245</v>
      </c>
      <c r="C259" s="10" t="s">
        <v>257</v>
      </c>
      <c r="D259" s="10" t="s">
        <v>258</v>
      </c>
      <c r="E259" s="10" t="s">
        <v>515</v>
      </c>
      <c r="F259" s="10" t="s">
        <v>373</v>
      </c>
      <c r="G259" s="10" t="s">
        <v>482</v>
      </c>
      <c r="H259" s="10" t="s">
        <v>516</v>
      </c>
      <c r="I259" s="10" t="s">
        <v>517</v>
      </c>
      <c r="J259" s="10" t="s">
        <v>517</v>
      </c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9" t="s">
        <v>91</v>
      </c>
      <c r="B260" s="12">
        <f>B!F62</f>
        <v>80426.867481742112</v>
      </c>
      <c r="C260" s="12">
        <f>'C'!F62</f>
        <v>77283.435600000012</v>
      </c>
      <c r="D260" s="12">
        <f>D!F62</f>
        <v>77291.935500000007</v>
      </c>
      <c r="E260" s="12">
        <f>E!F62</f>
        <v>78329.997540555065</v>
      </c>
      <c r="F260" s="12">
        <f>F!F62</f>
        <v>77744.589000000124</v>
      </c>
      <c r="G260" s="12">
        <f>G!F62</f>
        <v>78257</v>
      </c>
      <c r="H260" s="12">
        <f>YD!F62</f>
        <v>0</v>
      </c>
      <c r="I260" s="12">
        <f>I!F62</f>
        <v>0</v>
      </c>
      <c r="J260" s="12">
        <f>J!F62</f>
        <v>0</v>
      </c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9" t="s">
        <v>96</v>
      </c>
      <c r="B261" s="12">
        <f>B!F63</f>
        <v>99342.131564849216</v>
      </c>
      <c r="C261" s="12">
        <f>'C'!F63</f>
        <v>97394.785200000013</v>
      </c>
      <c r="D261" s="12">
        <f>D!F63</f>
        <v>97412.078100000013</v>
      </c>
      <c r="E261" s="12">
        <f>E!F63</f>
        <v>97347.66090722708</v>
      </c>
      <c r="F261" s="12">
        <f>F!F63</f>
        <v>97295.865999999718</v>
      </c>
      <c r="G261" s="12">
        <f>G!F63</f>
        <v>97261</v>
      </c>
      <c r="H261" s="12">
        <f>YD!F63</f>
        <v>0</v>
      </c>
      <c r="I261" s="12">
        <f>I!F63</f>
        <v>0</v>
      </c>
      <c r="J261" s="12">
        <f>J!F63</f>
        <v>0</v>
      </c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9" t="s">
        <v>98</v>
      </c>
      <c r="B262" s="12">
        <f>B!F64</f>
        <v>99791.677967264899</v>
      </c>
      <c r="C262" s="12">
        <f>'C'!F64</f>
        <v>96356.331900000005</v>
      </c>
      <c r="D262" s="12">
        <f>D!F64</f>
        <v>96493.209600000002</v>
      </c>
      <c r="E262" s="12">
        <f>E!F64</f>
        <v>97434.838325451346</v>
      </c>
      <c r="F262" s="12">
        <f>F!F64</f>
        <v>97141.307000000001</v>
      </c>
      <c r="G262" s="12">
        <f>G!F64</f>
        <v>96957</v>
      </c>
      <c r="H262" s="12">
        <f>YD!F64</f>
        <v>0</v>
      </c>
      <c r="I262" s="12">
        <f>I!F64</f>
        <v>0</v>
      </c>
      <c r="J262" s="12">
        <f>J!F64</f>
        <v>0</v>
      </c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9" t="s">
        <v>102</v>
      </c>
      <c r="B263" s="12">
        <f>B!F65</f>
        <v>105012.87148956976</v>
      </c>
      <c r="C263" s="12">
        <f>'C'!F65</f>
        <v>100729.97010000001</v>
      </c>
      <c r="D263" s="12">
        <f>D!F65</f>
        <v>100993.467</v>
      </c>
      <c r="E263" s="12">
        <f>E!F65</f>
        <v>103810.92900120793</v>
      </c>
      <c r="F263" s="12">
        <f>F!F65</f>
        <v>103712.91500000004</v>
      </c>
      <c r="G263" s="12">
        <f>G!F65</f>
        <v>102008</v>
      </c>
      <c r="H263" s="12">
        <f>YD!F65</f>
        <v>0</v>
      </c>
      <c r="I263" s="12">
        <f>I!F65</f>
        <v>0</v>
      </c>
      <c r="J263" s="12">
        <f>J!F65</f>
        <v>0</v>
      </c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9" t="s">
        <v>356</v>
      </c>
      <c r="B264" s="12">
        <f>B!F66</f>
        <v>102727.97891432175</v>
      </c>
      <c r="C264" s="12">
        <f>'C'!F66</f>
        <v>99027.645300000004</v>
      </c>
      <c r="D264" s="12">
        <f>D!F66</f>
        <v>99223.143000000011</v>
      </c>
      <c r="E264" s="12">
        <f>E!F66</f>
        <v>101133.52775017772</v>
      </c>
      <c r="F264" s="12">
        <f>F!F66</f>
        <v>100676.21</v>
      </c>
      <c r="G264" s="12">
        <f>G!F66</f>
        <v>99753</v>
      </c>
      <c r="H264" s="12">
        <f>YD!F66</f>
        <v>0</v>
      </c>
      <c r="I264" s="12">
        <f>I!F66</f>
        <v>0</v>
      </c>
      <c r="J264" s="12">
        <f>J!F66</f>
        <v>0</v>
      </c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9" t="s">
        <v>105</v>
      </c>
      <c r="B265" s="12">
        <f>B!F67</f>
        <v>69387.997605120792</v>
      </c>
      <c r="C265" s="12">
        <f>'C'!F67</f>
        <v>63736.353600000009</v>
      </c>
      <c r="D265" s="12">
        <f>D!F67</f>
        <v>63634.647900000004</v>
      </c>
      <c r="E265" s="12">
        <f>E!F67</f>
        <v>66594.547200499786</v>
      </c>
      <c r="F265" s="12">
        <f>F!F67</f>
        <v>66860.163000000059</v>
      </c>
      <c r="G265" s="12">
        <f>G!F67</f>
        <v>67389</v>
      </c>
      <c r="H265" s="12">
        <f>YD!F67</f>
        <v>0</v>
      </c>
      <c r="I265" s="12">
        <f>I!F67</f>
        <v>0</v>
      </c>
      <c r="J265" s="12">
        <f>J!F67</f>
        <v>0</v>
      </c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9" t="s">
        <v>108</v>
      </c>
      <c r="B266" s="12">
        <f>B!F68</f>
        <v>162974.06257335175</v>
      </c>
      <c r="C266" s="12">
        <f>'C'!F68</f>
        <v>159807.20610000001</v>
      </c>
      <c r="D266" s="12">
        <f>D!F68</f>
        <v>159853.80900000001</v>
      </c>
      <c r="E266" s="12">
        <f>E!F68</f>
        <v>162207.68653318047</v>
      </c>
      <c r="F266" s="12">
        <f>F!F68</f>
        <v>161200.17900000018</v>
      </c>
      <c r="G266" s="12">
        <f>G!F68</f>
        <v>162168</v>
      </c>
      <c r="H266" s="12">
        <f>YD!F68</f>
        <v>0</v>
      </c>
      <c r="I266" s="12">
        <f>I!F68</f>
        <v>0</v>
      </c>
      <c r="J266" s="12">
        <f>J!F68</f>
        <v>0</v>
      </c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9" t="s">
        <v>109</v>
      </c>
      <c r="B267" s="12">
        <f>B!F69</f>
        <v>68792.822126469924</v>
      </c>
      <c r="C267" s="12">
        <f>'C'!F69</f>
        <v>64917.546600000009</v>
      </c>
      <c r="D267" s="12">
        <f>D!F69</f>
        <v>65025.114300000008</v>
      </c>
      <c r="E267" s="12">
        <f>E!F69</f>
        <v>66490.499195532233</v>
      </c>
      <c r="F267" s="12">
        <f>F!F69</f>
        <v>0</v>
      </c>
      <c r="G267" s="12">
        <f>G!F69</f>
        <v>66898</v>
      </c>
      <c r="H267" s="12">
        <f>YD!F69</f>
        <v>0</v>
      </c>
      <c r="I267" s="12">
        <f>I!F69</f>
        <v>0</v>
      </c>
      <c r="J267" s="12">
        <f>J!F69</f>
        <v>0</v>
      </c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9" t="s">
        <v>111</v>
      </c>
      <c r="B268" s="12">
        <f>B!F70</f>
        <v>68672.853832539928</v>
      </c>
      <c r="C268" s="12">
        <f>'C'!F70</f>
        <v>66779.6109</v>
      </c>
      <c r="D268" s="12">
        <f>D!F70</f>
        <v>66843.506700000013</v>
      </c>
      <c r="E268" s="12">
        <f>E!F70</f>
        <v>68071.421886632073</v>
      </c>
      <c r="F268" s="12">
        <f>F!F70</f>
        <v>0</v>
      </c>
      <c r="G268" s="12">
        <f>G!F70</f>
        <v>66175</v>
      </c>
      <c r="H268" s="12">
        <f>YD!F70</f>
        <v>0</v>
      </c>
      <c r="I268" s="12">
        <f>I!F70</f>
        <v>0</v>
      </c>
      <c r="J268" s="12">
        <f>J!F70</f>
        <v>0</v>
      </c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9" t="s">
        <v>112</v>
      </c>
      <c r="B269" s="12">
        <f>B!F71</f>
        <v>72609.307406750057</v>
      </c>
      <c r="C269" s="12">
        <f>'C'!F71</f>
        <v>69610.956900000005</v>
      </c>
      <c r="D269" s="12">
        <f>D!F71</f>
        <v>70882.131600000008</v>
      </c>
      <c r="E269" s="12">
        <f>E!F71</f>
        <v>71248.090397460735</v>
      </c>
      <c r="F269" s="12">
        <f>F!F71</f>
        <v>0</v>
      </c>
      <c r="G269" s="12">
        <f>G!F71</f>
        <v>71803</v>
      </c>
      <c r="H269" s="12">
        <f>YD!F71</f>
        <v>0</v>
      </c>
      <c r="I269" s="12">
        <f>I!F71</f>
        <v>0</v>
      </c>
      <c r="J269" s="12">
        <f>J!F71</f>
        <v>0</v>
      </c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9" t="s">
        <v>113</v>
      </c>
      <c r="B270" s="12">
        <f>B!F72</f>
        <v>69756.311989893147</v>
      </c>
      <c r="C270" s="12">
        <f>'C'!F72</f>
        <v>67640.738700000002</v>
      </c>
      <c r="D270" s="12">
        <f>D!F72</f>
        <v>67219.260900000008</v>
      </c>
      <c r="E270" s="12">
        <f>E!F72</f>
        <v>68287.754447713814</v>
      </c>
      <c r="F270" s="12">
        <f>F!F72</f>
        <v>0</v>
      </c>
      <c r="G270" s="12">
        <f>G!F72</f>
        <v>67200</v>
      </c>
      <c r="H270" s="12">
        <f>YD!F72</f>
        <v>0</v>
      </c>
      <c r="I270" s="12">
        <f>I!F72</f>
        <v>0</v>
      </c>
      <c r="J270" s="12">
        <f>J!F72</f>
        <v>0</v>
      </c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9" t="s">
        <v>114</v>
      </c>
      <c r="B271" s="12">
        <f>B!F73</f>
        <v>73711.363480827218</v>
      </c>
      <c r="C271" s="12">
        <f>'C'!F73</f>
        <v>71380.108500000002</v>
      </c>
      <c r="D271" s="12">
        <f>D!F73</f>
        <v>71181.093600000007</v>
      </c>
      <c r="E271" s="12">
        <f>E!F73</f>
        <v>72362.101155627257</v>
      </c>
      <c r="F271" s="12">
        <f>F!F73</f>
        <v>0</v>
      </c>
      <c r="G271" s="12">
        <f>G!F73</f>
        <v>72029</v>
      </c>
      <c r="H271" s="12">
        <f>YD!F73</f>
        <v>0</v>
      </c>
      <c r="I271" s="12">
        <f>I!F73</f>
        <v>0</v>
      </c>
      <c r="J271" s="12">
        <f>J!F73</f>
        <v>0</v>
      </c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9" t="s">
        <v>115</v>
      </c>
      <c r="B272" s="12">
        <f>B!F74</f>
        <v>63357.106250000092</v>
      </c>
      <c r="C272" s="12">
        <f>'C'!F74</f>
        <v>65995.861499999999</v>
      </c>
      <c r="D272" s="12">
        <f>D!F74</f>
        <v>65992.344300000012</v>
      </c>
      <c r="E272" s="12">
        <f>E!F74</f>
        <v>65589.356347818946</v>
      </c>
      <c r="F272" s="12">
        <f>F!F74</f>
        <v>63105.366000000147</v>
      </c>
      <c r="G272" s="12">
        <f>G!F74</f>
        <v>65614</v>
      </c>
      <c r="H272" s="12">
        <f>YD!F74</f>
        <v>0</v>
      </c>
      <c r="I272" s="12">
        <f>I!F74</f>
        <v>0</v>
      </c>
      <c r="J272" s="12">
        <f>J!F74</f>
        <v>0</v>
      </c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9" t="s">
        <v>120</v>
      </c>
      <c r="B273" s="12">
        <f>B!F75</f>
        <v>48443.43080000006</v>
      </c>
      <c r="C273" s="12">
        <f>'C'!F75</f>
        <v>50692.817400000007</v>
      </c>
      <c r="D273" s="12">
        <f>D!F75</f>
        <v>50690.472600000008</v>
      </c>
      <c r="E273" s="12">
        <f>E!F75</f>
        <v>50355.674104136109</v>
      </c>
      <c r="F273" s="12">
        <f>F!F75</f>
        <v>48439.57</v>
      </c>
      <c r="G273" s="12">
        <f>G!F75</f>
        <v>50357</v>
      </c>
      <c r="H273" s="12">
        <f>YD!F75</f>
        <v>0</v>
      </c>
      <c r="I273" s="12">
        <f>I!F75</f>
        <v>0</v>
      </c>
      <c r="J273" s="12">
        <f>J!F75</f>
        <v>0</v>
      </c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9" t="s">
        <v>124</v>
      </c>
      <c r="B274" s="12">
        <f>B!F76</f>
        <v>108974.30994000004</v>
      </c>
      <c r="C274" s="12">
        <f>'C'!F76</f>
        <v>114017.95170000001</v>
      </c>
      <c r="D274" s="12">
        <f>D!F76</f>
        <v>114015.3138</v>
      </c>
      <c r="E274" s="12">
        <f>E!F76</f>
        <v>112794.87725401894</v>
      </c>
      <c r="F274" s="12">
        <f>F!F76</f>
        <v>108979.01299999964</v>
      </c>
      <c r="G274" s="12">
        <f>G!F76</f>
        <v>112781</v>
      </c>
      <c r="H274" s="12">
        <f>YD!F76</f>
        <v>0</v>
      </c>
      <c r="I274" s="12">
        <f>I!F76</f>
        <v>0</v>
      </c>
      <c r="J274" s="12">
        <f>J!F76</f>
        <v>0</v>
      </c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9" t="s">
        <v>125</v>
      </c>
      <c r="B275" s="12">
        <f>B!F77</f>
        <v>63421.544428999987</v>
      </c>
      <c r="C275" s="12">
        <f>'C'!F77</f>
        <v>66571.216800000009</v>
      </c>
      <c r="D275" s="12">
        <f>D!F77</f>
        <v>66565.354800000001</v>
      </c>
      <c r="E275" s="12">
        <f>E!F77</f>
        <v>66213.276898262688</v>
      </c>
      <c r="F275" s="12">
        <f>F!F77</f>
        <v>63212.101999999744</v>
      </c>
      <c r="G275" s="12">
        <f>G!F77</f>
        <v>66146</v>
      </c>
      <c r="H275" s="12">
        <f>YD!F77</f>
        <v>0</v>
      </c>
      <c r="I275" s="12">
        <f>I!F77</f>
        <v>0</v>
      </c>
      <c r="J275" s="12">
        <f>J!F77</f>
        <v>0</v>
      </c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9" t="s">
        <v>127</v>
      </c>
      <c r="B276" s="12">
        <f>B!F78</f>
        <v>63389.22280399999</v>
      </c>
      <c r="C276" s="12">
        <f>'C'!F78</f>
        <v>66373.081200000001</v>
      </c>
      <c r="D276" s="12">
        <f>D!F78</f>
        <v>66371.908800000005</v>
      </c>
      <c r="E276" s="12">
        <f>E!F78</f>
        <v>65893.870640899928</v>
      </c>
      <c r="F276" s="12">
        <f>F!F78</f>
        <v>63157.029999999759</v>
      </c>
      <c r="G276" s="12">
        <f>G!F78</f>
        <v>65900</v>
      </c>
      <c r="H276" s="12">
        <f>YD!F78</f>
        <v>0</v>
      </c>
      <c r="I276" s="12">
        <f>I!F78</f>
        <v>0</v>
      </c>
      <c r="J276" s="12">
        <f>J!F78</f>
        <v>0</v>
      </c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9" t="s">
        <v>130</v>
      </c>
      <c r="B277" s="12">
        <f>B!F79</f>
        <v>63292.945401999998</v>
      </c>
      <c r="C277" s="12">
        <f>'C'!F79</f>
        <v>65399.109900000003</v>
      </c>
      <c r="D277" s="12">
        <f>D!F79</f>
        <v>65395.006500000003</v>
      </c>
      <c r="E277" s="12">
        <f>E!F79</f>
        <v>65028.317172362673</v>
      </c>
      <c r="F277" s="12">
        <f>F!F79</f>
        <v>63001.558000000026</v>
      </c>
      <c r="G277" s="12">
        <f>G!F79</f>
        <v>65155</v>
      </c>
      <c r="H277" s="12">
        <f>YD!F79</f>
        <v>0</v>
      </c>
      <c r="I277" s="12">
        <f>I!F79</f>
        <v>0</v>
      </c>
      <c r="J277" s="12">
        <f>J!F79</f>
        <v>0</v>
      </c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9" t="s">
        <v>132</v>
      </c>
      <c r="B278" s="12">
        <f>B!F80</f>
        <v>45045.847950000098</v>
      </c>
      <c r="C278" s="12">
        <f>'C'!F80</f>
        <v>46634.261700000003</v>
      </c>
      <c r="D278" s="12">
        <f>D!F80</f>
        <v>46630.744500000001</v>
      </c>
      <c r="E278" s="12">
        <f>E!F80</f>
        <v>46988.552083493028</v>
      </c>
      <c r="F278" s="12">
        <f>F!F80</f>
        <v>44875.413999999641</v>
      </c>
      <c r="G278" s="12">
        <f>G!F80</f>
        <v>47002</v>
      </c>
      <c r="H278" s="12">
        <f>YD!F80</f>
        <v>0</v>
      </c>
      <c r="I278" s="12">
        <f>I!F80</f>
        <v>0</v>
      </c>
      <c r="J278" s="12">
        <f>J!F80</f>
        <v>0</v>
      </c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9" t="s">
        <v>135</v>
      </c>
      <c r="B279" s="12">
        <f>B!F81</f>
        <v>45112.827029195018</v>
      </c>
      <c r="C279" s="12">
        <f>'C'!F81</f>
        <v>47129.893800000005</v>
      </c>
      <c r="D279" s="12">
        <f>D!F81</f>
        <v>47126.083500000008</v>
      </c>
      <c r="E279" s="12">
        <f>E!F81</f>
        <v>47482.085498379194</v>
      </c>
      <c r="F279" s="12">
        <f>F!F81</f>
        <v>44979.841999999706</v>
      </c>
      <c r="G279" s="12">
        <f>G!F81</f>
        <v>47462</v>
      </c>
      <c r="H279" s="12">
        <f>YD!F81</f>
        <v>0</v>
      </c>
      <c r="I279" s="12">
        <f>I!F81</f>
        <v>0</v>
      </c>
      <c r="J279" s="12">
        <f>J!F81</f>
        <v>0</v>
      </c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70" t="s">
        <v>138</v>
      </c>
      <c r="B280" s="12">
        <f>B!F82</f>
        <v>44981.351736000026</v>
      </c>
      <c r="C280" s="12">
        <f>'C'!F82</f>
        <v>46239.749100000001</v>
      </c>
      <c r="D280" s="12">
        <f>D!F82</f>
        <v>46235.938800000004</v>
      </c>
      <c r="E280" s="12">
        <f>E!F82</f>
        <v>46635.695062279076</v>
      </c>
      <c r="F280" s="12">
        <f>F!F82</f>
        <v>44775.109999999899</v>
      </c>
      <c r="G280" s="12">
        <f>G!F82</f>
        <v>46668</v>
      </c>
      <c r="H280" s="12">
        <f>YD!F82</f>
        <v>0</v>
      </c>
      <c r="I280" s="12">
        <f>I!F82</f>
        <v>0</v>
      </c>
      <c r="J280" s="12">
        <f>J!F82</f>
        <v>0</v>
      </c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10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10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10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11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245</v>
      </c>
      <c r="C289" s="10" t="s">
        <v>257</v>
      </c>
      <c r="D289" s="10" t="s">
        <v>258</v>
      </c>
      <c r="E289" s="10" t="s">
        <v>515</v>
      </c>
      <c r="F289" s="10" t="s">
        <v>373</v>
      </c>
      <c r="G289" s="10" t="s">
        <v>482</v>
      </c>
      <c r="H289" s="10" t="s">
        <v>516</v>
      </c>
      <c r="I289" s="10" t="s">
        <v>517</v>
      </c>
      <c r="J289" s="10" t="s">
        <v>517</v>
      </c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9" t="s">
        <v>91</v>
      </c>
      <c r="B290" s="115">
        <f>B!G62</f>
        <v>56661.748439000134</v>
      </c>
      <c r="C290" s="115">
        <f>'C'!G62</f>
        <v>55796.860800000009</v>
      </c>
      <c r="D290" s="115">
        <f>D!G62</f>
        <v>55804.7745</v>
      </c>
      <c r="E290" s="115">
        <f>E!G62</f>
        <v>55166.063457298224</v>
      </c>
      <c r="F290" s="115">
        <f>F!G62</f>
        <v>55209.465000000047</v>
      </c>
      <c r="G290" s="115">
        <f>G!G62</f>
        <v>55191</v>
      </c>
      <c r="H290" s="115">
        <f>YD!G62</f>
        <v>0</v>
      </c>
      <c r="I290" s="115">
        <f>I!G62</f>
        <v>0</v>
      </c>
      <c r="J290" s="115">
        <f>J!G62</f>
        <v>0</v>
      </c>
      <c r="K290" s="115"/>
      <c r="L290" s="115"/>
      <c r="M290" s="115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9" t="s">
        <v>96</v>
      </c>
      <c r="B291" s="115">
        <f>B!G63</f>
        <v>56256.3774670001</v>
      </c>
      <c r="C291" s="115">
        <f>'C'!G63</f>
        <v>56300.992800000007</v>
      </c>
      <c r="D291" s="115">
        <f>D!G63</f>
        <v>56312.716800000009</v>
      </c>
      <c r="E291" s="115">
        <f>E!G63</f>
        <v>55065.627854736507</v>
      </c>
      <c r="F291" s="115">
        <f>F!G63</f>
        <v>55185.072000000029</v>
      </c>
      <c r="G291" s="115">
        <f>G!G63</f>
        <v>55083</v>
      </c>
      <c r="H291" s="115">
        <f>YD!G63</f>
        <v>0</v>
      </c>
      <c r="I291" s="115">
        <f>I!G63</f>
        <v>0</v>
      </c>
      <c r="J291" s="115">
        <f>J!G63</f>
        <v>0</v>
      </c>
      <c r="K291" s="115"/>
      <c r="L291" s="115"/>
      <c r="M291" s="115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9" t="s">
        <v>98</v>
      </c>
      <c r="B292" s="115">
        <f>B!G64</f>
        <v>62859.205321999878</v>
      </c>
      <c r="C292" s="115">
        <f>'C'!G64</f>
        <v>62697.021000000001</v>
      </c>
      <c r="D292" s="115">
        <f>D!G64</f>
        <v>62746.847999999998</v>
      </c>
      <c r="E292" s="115">
        <f>E!G64</f>
        <v>61751.654819920572</v>
      </c>
      <c r="F292" s="115">
        <f>F!G64</f>
        <v>62008.804000000193</v>
      </c>
      <c r="G292" s="115">
        <f>G!G64</f>
        <v>62734</v>
      </c>
      <c r="H292" s="115">
        <f>YD!G64</f>
        <v>0</v>
      </c>
      <c r="I292" s="115">
        <f>I!G64</f>
        <v>0</v>
      </c>
      <c r="J292" s="115">
        <f>J!G64</f>
        <v>0</v>
      </c>
      <c r="K292" s="115"/>
      <c r="L292" s="115"/>
      <c r="M292" s="115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9" t="s">
        <v>102</v>
      </c>
      <c r="B293" s="115">
        <f>B!G65</f>
        <v>63083.376498999918</v>
      </c>
      <c r="C293" s="115">
        <f>'C'!G65</f>
        <v>63311.065500000004</v>
      </c>
      <c r="D293" s="115">
        <f>D!G65</f>
        <v>63327.772199999999</v>
      </c>
      <c r="E293" s="115">
        <f>E!G65</f>
        <v>63074.075770542782</v>
      </c>
      <c r="F293" s="115">
        <f>F!G65</f>
        <v>62649.459000000192</v>
      </c>
      <c r="G293" s="115">
        <f>G!G65</f>
        <v>61822</v>
      </c>
      <c r="H293" s="115">
        <f>YD!G65</f>
        <v>0</v>
      </c>
      <c r="I293" s="115">
        <f>I!G65</f>
        <v>0</v>
      </c>
      <c r="J293" s="115">
        <f>J!G65</f>
        <v>0</v>
      </c>
      <c r="K293" s="115"/>
      <c r="L293" s="115"/>
      <c r="M293" s="115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9" t="s">
        <v>356</v>
      </c>
      <c r="B294" s="115">
        <f>B!G66</f>
        <v>63032.606061999933</v>
      </c>
      <c r="C294" s="115">
        <f>'C'!G66</f>
        <v>63053.4306</v>
      </c>
      <c r="D294" s="115">
        <f>D!G66</f>
        <v>63110.585100000011</v>
      </c>
      <c r="E294" s="115">
        <f>E!G66</f>
        <v>62391.380396752473</v>
      </c>
      <c r="F294" s="115">
        <f>F!G66</f>
        <v>62380.560000000289</v>
      </c>
      <c r="G294" s="115">
        <f>G!G66</f>
        <v>61406</v>
      </c>
      <c r="H294" s="115">
        <f>YD!G66</f>
        <v>0</v>
      </c>
      <c r="I294" s="115">
        <f>I!G66</f>
        <v>0</v>
      </c>
      <c r="J294" s="115">
        <f>J!G66</f>
        <v>0</v>
      </c>
      <c r="K294" s="115"/>
      <c r="L294" s="115"/>
      <c r="M294" s="115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9" t="s">
        <v>105</v>
      </c>
      <c r="B295" s="115">
        <f>B!G67</f>
        <v>50370.830375999802</v>
      </c>
      <c r="C295" s="115">
        <f>'C'!G67</f>
        <v>47684.439000000006</v>
      </c>
      <c r="D295" s="115">
        <f>D!G67</f>
        <v>47676.525300000001</v>
      </c>
      <c r="E295" s="115">
        <f>E!G67</f>
        <v>48335.589054318843</v>
      </c>
      <c r="F295" s="115">
        <f>F!G67</f>
        <v>48588.801999999836</v>
      </c>
      <c r="G295" s="115">
        <f>G!G67</f>
        <v>48768</v>
      </c>
      <c r="H295" s="115">
        <f>YD!G67</f>
        <v>0</v>
      </c>
      <c r="I295" s="115">
        <f>I!G67</f>
        <v>0</v>
      </c>
      <c r="J295" s="115">
        <f>J!G67</f>
        <v>0</v>
      </c>
      <c r="K295" s="115"/>
      <c r="L295" s="115"/>
      <c r="M295" s="115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9" t="s">
        <v>108</v>
      </c>
      <c r="B296" s="115">
        <f>B!G68</f>
        <v>134976.83514699971</v>
      </c>
      <c r="C296" s="115">
        <f>'C'!G68</f>
        <v>134919.79200000002</v>
      </c>
      <c r="D296" s="115">
        <f>D!G68</f>
        <v>134939.72280000002</v>
      </c>
      <c r="E296" s="115">
        <f>E!G68</f>
        <v>134711.11686674133</v>
      </c>
      <c r="F296" s="115">
        <f>F!G68</f>
        <v>134205.70700000084</v>
      </c>
      <c r="G296" s="115">
        <f>G!G68</f>
        <v>134697</v>
      </c>
      <c r="H296" s="115">
        <f>YD!G68</f>
        <v>0</v>
      </c>
      <c r="I296" s="115">
        <f>I!G68</f>
        <v>0</v>
      </c>
      <c r="J296" s="115">
        <f>J!G68</f>
        <v>0</v>
      </c>
      <c r="K296" s="115"/>
      <c r="L296" s="115"/>
      <c r="M296" s="115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9" t="s">
        <v>109</v>
      </c>
      <c r="B297" s="115">
        <f>B!G69</f>
        <v>41952.359514999953</v>
      </c>
      <c r="C297" s="115">
        <f>'C'!G69</f>
        <v>41419.133400000006</v>
      </c>
      <c r="D297" s="115">
        <f>D!G69</f>
        <v>41437.012500000004</v>
      </c>
      <c r="E297" s="115">
        <f>E!G69</f>
        <v>40599.219218286213</v>
      </c>
      <c r="F297" s="115">
        <f>F!G69</f>
        <v>0</v>
      </c>
      <c r="G297" s="115">
        <f>G!G69</f>
        <v>41181</v>
      </c>
      <c r="H297" s="115">
        <f>YD!G69</f>
        <v>0</v>
      </c>
      <c r="I297" s="115">
        <f>I!G69</f>
        <v>0</v>
      </c>
      <c r="J297" s="115">
        <f>J!G69</f>
        <v>0</v>
      </c>
      <c r="K297" s="115"/>
      <c r="L297" s="115"/>
      <c r="M297" s="115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9" t="s">
        <v>111</v>
      </c>
      <c r="B298" s="115">
        <f>B!G70</f>
        <v>45676.645576999981</v>
      </c>
      <c r="C298" s="115">
        <f>'C'!G70</f>
        <v>47658.646200000003</v>
      </c>
      <c r="D298" s="115">
        <f>D!G70</f>
        <v>47659.818600000013</v>
      </c>
      <c r="E298" s="115">
        <f>E!G70</f>
        <v>47103.208562697931</v>
      </c>
      <c r="F298" s="115">
        <f>F!G70</f>
        <v>0</v>
      </c>
      <c r="G298" s="115">
        <f>G!G70</f>
        <v>45585</v>
      </c>
      <c r="H298" s="115">
        <f>YD!G70</f>
        <v>0</v>
      </c>
      <c r="I298" s="115">
        <f>I!G70</f>
        <v>0</v>
      </c>
      <c r="J298" s="115">
        <f>J!G70</f>
        <v>0</v>
      </c>
      <c r="K298" s="115"/>
      <c r="L298" s="115"/>
      <c r="M298" s="115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9" t="s">
        <v>112</v>
      </c>
      <c r="B299" s="115">
        <f>B!G71</f>
        <v>50389.824659000034</v>
      </c>
      <c r="C299" s="115">
        <f>'C'!G71</f>
        <v>49666.088100000008</v>
      </c>
      <c r="D299" s="115">
        <f>D!G71</f>
        <v>50612.214900000006</v>
      </c>
      <c r="E299" s="115">
        <f>E!G71</f>
        <v>49444.639083137168</v>
      </c>
      <c r="F299" s="115">
        <f>F!G71</f>
        <v>0</v>
      </c>
      <c r="G299" s="115">
        <f>G!G71</f>
        <v>49984</v>
      </c>
      <c r="H299" s="115">
        <f>YD!G71</f>
        <v>0</v>
      </c>
      <c r="I299" s="115">
        <f>I!G71</f>
        <v>0</v>
      </c>
      <c r="J299" s="115">
        <f>J!G71</f>
        <v>0</v>
      </c>
      <c r="K299" s="115"/>
      <c r="L299" s="115"/>
      <c r="M299" s="115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9" t="s">
        <v>113</v>
      </c>
      <c r="B300" s="115">
        <f>B!G72</f>
        <v>47863.346245000044</v>
      </c>
      <c r="C300" s="115">
        <f>'C'!G72</f>
        <v>47731.334999999999</v>
      </c>
      <c r="D300" s="115">
        <f>D!G72</f>
        <v>47454.06240000001</v>
      </c>
      <c r="E300" s="115">
        <f>E!G72</f>
        <v>46911.710036851502</v>
      </c>
      <c r="F300" s="115">
        <f>F!G72</f>
        <v>0</v>
      </c>
      <c r="G300" s="115">
        <f>G!G72</f>
        <v>46143</v>
      </c>
      <c r="H300" s="115">
        <f>YD!G72</f>
        <v>0</v>
      </c>
      <c r="I300" s="115">
        <f>I!G72</f>
        <v>0</v>
      </c>
      <c r="J300" s="115">
        <f>J!G72</f>
        <v>0</v>
      </c>
      <c r="K300" s="115"/>
      <c r="L300" s="115"/>
      <c r="M300" s="115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9" t="s">
        <v>114</v>
      </c>
      <c r="B301" s="115">
        <f>B!G73</f>
        <v>50876.072483000105</v>
      </c>
      <c r="C301" s="115">
        <f>'C'!G73</f>
        <v>50592.5772</v>
      </c>
      <c r="D301" s="115">
        <f>D!G73</f>
        <v>50492.043900000004</v>
      </c>
      <c r="E301" s="115">
        <f>E!G73</f>
        <v>50001.032811128229</v>
      </c>
      <c r="F301" s="115">
        <f>F!G73</f>
        <v>0</v>
      </c>
      <c r="G301" s="115">
        <f>G!G73</f>
        <v>49785</v>
      </c>
      <c r="H301" s="115">
        <f>YD!G73</f>
        <v>0</v>
      </c>
      <c r="I301" s="115">
        <f>I!G73</f>
        <v>0</v>
      </c>
      <c r="J301" s="115">
        <f>J!G73</f>
        <v>0</v>
      </c>
      <c r="K301" s="115"/>
      <c r="L301" s="115"/>
      <c r="M301" s="115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9" t="s">
        <v>115</v>
      </c>
      <c r="B302" s="115">
        <f>B!G74</f>
        <v>45043.800000000097</v>
      </c>
      <c r="C302" s="115">
        <f>'C'!G74</f>
        <v>47649.853199999998</v>
      </c>
      <c r="D302" s="115">
        <f>D!G74</f>
        <v>47646.042900000015</v>
      </c>
      <c r="E302" s="115">
        <f>E!G74</f>
        <v>47357.440343089511</v>
      </c>
      <c r="F302" s="115">
        <f>F!G74</f>
        <v>44874.224999999649</v>
      </c>
      <c r="G302" s="115">
        <f>G!G74</f>
        <v>47530</v>
      </c>
      <c r="H302" s="115">
        <f>YD!G74</f>
        <v>0</v>
      </c>
      <c r="I302" s="115">
        <f>I!G74</f>
        <v>0</v>
      </c>
      <c r="J302" s="115">
        <f>J!G74</f>
        <v>0</v>
      </c>
      <c r="K302" s="115"/>
      <c r="L302" s="115"/>
      <c r="M302" s="115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9" t="s">
        <v>120</v>
      </c>
      <c r="B303" s="115">
        <f>B!G75</f>
        <v>34443.234380000074</v>
      </c>
      <c r="C303" s="115">
        <f>'C'!G75</f>
        <v>36595.586700000007</v>
      </c>
      <c r="D303" s="115">
        <f>D!G75</f>
        <v>36593.241900000008</v>
      </c>
      <c r="E303" s="115">
        <f>E!G75</f>
        <v>36365.086563318095</v>
      </c>
      <c r="F303" s="115">
        <f>F!G75</f>
        <v>34448.150999999525</v>
      </c>
      <c r="G303" s="115">
        <f>G!G75</f>
        <v>36480</v>
      </c>
      <c r="H303" s="115">
        <f>YD!G75</f>
        <v>0</v>
      </c>
      <c r="I303" s="115">
        <f>I!G75</f>
        <v>0</v>
      </c>
      <c r="J303" s="115">
        <f>J!G75</f>
        <v>0</v>
      </c>
      <c r="K303" s="115"/>
      <c r="L303" s="115"/>
      <c r="M303" s="115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9" t="s">
        <v>124</v>
      </c>
      <c r="B304" s="115">
        <f>B!G76</f>
        <v>77489.432099999991</v>
      </c>
      <c r="C304" s="115">
        <f>'C'!G76</f>
        <v>82305.704100000003</v>
      </c>
      <c r="D304" s="115">
        <f>D!G76</f>
        <v>82303.066200000001</v>
      </c>
      <c r="E304" s="115">
        <f>E!G76</f>
        <v>81315.442213475908</v>
      </c>
      <c r="F304" s="115">
        <f>F!G76</f>
        <v>77498.985000000306</v>
      </c>
      <c r="G304" s="115">
        <f>G!G76</f>
        <v>81563</v>
      </c>
      <c r="H304" s="115">
        <f>YD!G76</f>
        <v>0</v>
      </c>
      <c r="I304" s="115">
        <f>I!G76</f>
        <v>0</v>
      </c>
      <c r="J304" s="115">
        <f>J!G76</f>
        <v>0</v>
      </c>
      <c r="K304" s="115"/>
      <c r="L304" s="115"/>
      <c r="M304" s="115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9" t="s">
        <v>125</v>
      </c>
      <c r="B305" s="115">
        <f>B!G77</f>
        <v>45109.614089999988</v>
      </c>
      <c r="C305" s="115">
        <f>'C'!G77</f>
        <v>48101.520300000004</v>
      </c>
      <c r="D305" s="115">
        <f>D!G77</f>
        <v>48095.658299999996</v>
      </c>
      <c r="E305" s="115">
        <f>E!G77</f>
        <v>47983.748355173033</v>
      </c>
      <c r="F305" s="115">
        <f>F!G77</f>
        <v>44976.723999999696</v>
      </c>
      <c r="G305" s="115">
        <f>G!G77</f>
        <v>48059</v>
      </c>
      <c r="H305" s="115">
        <f>YD!G77</f>
        <v>0</v>
      </c>
      <c r="I305" s="115">
        <f>I!G77</f>
        <v>0</v>
      </c>
      <c r="J305" s="115">
        <f>J!G77</f>
        <v>0</v>
      </c>
      <c r="K305" s="115"/>
      <c r="L305" s="115"/>
      <c r="M305" s="115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9" t="s">
        <v>127</v>
      </c>
      <c r="B306" s="115">
        <f>B!G78</f>
        <v>45076.031247999977</v>
      </c>
      <c r="C306" s="115">
        <f>'C'!G78</f>
        <v>47962.2978</v>
      </c>
      <c r="D306" s="115">
        <f>D!G78</f>
        <v>47961.4185</v>
      </c>
      <c r="E306" s="115">
        <f>E!G78</f>
        <v>47663.108975250296</v>
      </c>
      <c r="F306" s="115">
        <f>F!G78</f>
        <v>44924.113000000318</v>
      </c>
      <c r="G306" s="115">
        <f>G!G78</f>
        <v>47795</v>
      </c>
      <c r="H306" s="115">
        <f>YD!G78</f>
        <v>0</v>
      </c>
      <c r="I306" s="115">
        <f>I!G78</f>
        <v>0</v>
      </c>
      <c r="J306" s="115">
        <f>J!G78</f>
        <v>0</v>
      </c>
      <c r="K306" s="115"/>
      <c r="L306" s="115"/>
      <c r="M306" s="115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9" t="s">
        <v>130</v>
      </c>
      <c r="B307" s="115">
        <f>B!G79</f>
        <v>44979.010342000052</v>
      </c>
      <c r="C307" s="115">
        <f>'C'!G79</f>
        <v>47217.530700000003</v>
      </c>
      <c r="D307" s="115">
        <f>D!G79</f>
        <v>47213.427300000003</v>
      </c>
      <c r="E307" s="115">
        <f>E!G79</f>
        <v>46796.309837248911</v>
      </c>
      <c r="F307" s="115">
        <f>F!G79</f>
        <v>44775.104999999901</v>
      </c>
      <c r="G307" s="115">
        <f>G!G79</f>
        <v>47110</v>
      </c>
      <c r="H307" s="115">
        <f>YD!G79</f>
        <v>0</v>
      </c>
      <c r="I307" s="115">
        <f>I!G79</f>
        <v>0</v>
      </c>
      <c r="J307" s="115">
        <f>J!G79</f>
        <v>0</v>
      </c>
      <c r="K307" s="115"/>
      <c r="L307" s="115"/>
      <c r="M307" s="115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9" t="s">
        <v>132</v>
      </c>
      <c r="B308" s="115">
        <f>B!G80</f>
        <v>45045.847950000098</v>
      </c>
      <c r="C308" s="115">
        <f>'C'!G80</f>
        <v>46573.590000000004</v>
      </c>
      <c r="D308" s="115">
        <f>D!G80</f>
        <v>46570.072800000002</v>
      </c>
      <c r="E308" s="115">
        <f>E!G80</f>
        <v>46988.310253457523</v>
      </c>
      <c r="F308" s="115">
        <f>F!G80</f>
        <v>44874.224999999649</v>
      </c>
      <c r="G308" s="115">
        <f>G!G80</f>
        <v>47002</v>
      </c>
      <c r="H308" s="115">
        <f>YD!G80</f>
        <v>0</v>
      </c>
      <c r="I308" s="115">
        <f>I!G80</f>
        <v>0</v>
      </c>
      <c r="J308" s="115">
        <f>J!G80</f>
        <v>0</v>
      </c>
      <c r="K308" s="115"/>
      <c r="L308" s="115"/>
      <c r="M308" s="115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9" t="s">
        <v>135</v>
      </c>
      <c r="B309" s="115">
        <f>B!G81</f>
        <v>45111.847271000021</v>
      </c>
      <c r="C309" s="115">
        <f>'C'!G81</f>
        <v>47022.912300000004</v>
      </c>
      <c r="D309" s="115">
        <f>D!G81</f>
        <v>47019.102000000006</v>
      </c>
      <c r="E309" s="115">
        <f>E!G81</f>
        <v>47473.21834090534</v>
      </c>
      <c r="F309" s="115">
        <f>F!G81</f>
        <v>44976.746999999705</v>
      </c>
      <c r="G309" s="115">
        <f>G!G81</f>
        <v>47460</v>
      </c>
      <c r="H309" s="115">
        <f>YD!G81</f>
        <v>0</v>
      </c>
      <c r="I309" s="115">
        <f>I!G81</f>
        <v>0</v>
      </c>
      <c r="J309" s="115">
        <f>J!G81</f>
        <v>0</v>
      </c>
      <c r="K309" s="115"/>
      <c r="L309" s="115"/>
      <c r="M309" s="115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70" t="s">
        <v>138</v>
      </c>
      <c r="B310" s="115">
        <f>B!G82</f>
        <v>44981.351736000026</v>
      </c>
      <c r="C310" s="115">
        <f>'C'!G82</f>
        <v>46214.249400000001</v>
      </c>
      <c r="D310" s="115">
        <f>D!G82</f>
        <v>46210.439100000003</v>
      </c>
      <c r="E310" s="115">
        <f>E!G82</f>
        <v>46635.695062279068</v>
      </c>
      <c r="F310" s="115">
        <f>F!G82</f>
        <v>44775.104999999901</v>
      </c>
      <c r="G310" s="115">
        <f>G!G82</f>
        <v>46668</v>
      </c>
      <c r="H310" s="115">
        <f>YD!G82</f>
        <v>0</v>
      </c>
      <c r="I310" s="115">
        <f>I!G82</f>
        <v>0</v>
      </c>
      <c r="J310" s="115">
        <f>J!G82</f>
        <v>0</v>
      </c>
      <c r="K310" s="115"/>
      <c r="L310" s="115"/>
      <c r="M310" s="115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245</v>
      </c>
      <c r="C319" s="10" t="s">
        <v>257</v>
      </c>
      <c r="D319" s="10" t="s">
        <v>258</v>
      </c>
      <c r="E319" s="10" t="s">
        <v>515</v>
      </c>
      <c r="F319" s="10" t="s">
        <v>373</v>
      </c>
      <c r="G319" s="10" t="s">
        <v>482</v>
      </c>
      <c r="H319" s="10" t="s">
        <v>516</v>
      </c>
      <c r="I319" s="10" t="s">
        <v>517</v>
      </c>
      <c r="J319" s="10" t="s">
        <v>517</v>
      </c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9" t="s">
        <v>91</v>
      </c>
      <c r="B320" s="115">
        <f>B!H62</f>
        <v>23765.119042741982</v>
      </c>
      <c r="C320" s="115">
        <f>'C'!H62</f>
        <v>21486.574800000002</v>
      </c>
      <c r="D320" s="115">
        <f>D!H62</f>
        <v>21487.161000000004</v>
      </c>
      <c r="E320" s="115">
        <f>E!H62</f>
        <v>23163.934083256911</v>
      </c>
      <c r="F320" s="115">
        <f>F!H62</f>
        <v>22535.143000000036</v>
      </c>
      <c r="G320" s="115">
        <f>G!H62</f>
        <v>23067</v>
      </c>
      <c r="H320" s="115">
        <f>YD!H62</f>
        <v>0</v>
      </c>
      <c r="I320" s="115">
        <f>I!H62</f>
        <v>0</v>
      </c>
      <c r="J320" s="115">
        <f>J!H62</f>
        <v>0</v>
      </c>
      <c r="K320" s="115"/>
      <c r="L320" s="115"/>
      <c r="M320" s="115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9" t="s">
        <v>96</v>
      </c>
      <c r="B321" s="115">
        <f>B!H63</f>
        <v>43085.754097849116</v>
      </c>
      <c r="C321" s="115">
        <f>'C'!H63</f>
        <v>41093.792400000006</v>
      </c>
      <c r="D321" s="115">
        <f>D!H63</f>
        <v>41099.361300000004</v>
      </c>
      <c r="E321" s="115">
        <f>E!H63</f>
        <v>42282.033052490835</v>
      </c>
      <c r="F321" s="115">
        <f>F!H63</f>
        <v>42110.836000000032</v>
      </c>
      <c r="G321" s="115">
        <f>G!H63</f>
        <v>42178</v>
      </c>
      <c r="H321" s="115">
        <f>YD!H63</f>
        <v>0</v>
      </c>
      <c r="I321" s="115">
        <f>I!H63</f>
        <v>0</v>
      </c>
      <c r="J321" s="115">
        <f>J!H63</f>
        <v>0</v>
      </c>
      <c r="K321" s="115"/>
      <c r="L321" s="115"/>
      <c r="M321" s="115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9" t="s">
        <v>98</v>
      </c>
      <c r="B322" s="115">
        <f>B!H64</f>
        <v>36932.472645265028</v>
      </c>
      <c r="C322" s="115">
        <f>'C'!H64</f>
        <v>33659.310900000004</v>
      </c>
      <c r="D322" s="115">
        <f>D!H64</f>
        <v>33746.361600000004</v>
      </c>
      <c r="E322" s="115">
        <f>E!H64</f>
        <v>35683.183505530906</v>
      </c>
      <c r="F322" s="115">
        <f>F!H64</f>
        <v>35132.592000000026</v>
      </c>
      <c r="G322" s="115">
        <f>G!H64</f>
        <v>34224</v>
      </c>
      <c r="H322" s="115">
        <f>YD!H64</f>
        <v>0</v>
      </c>
      <c r="I322" s="115">
        <f>I!H64</f>
        <v>0</v>
      </c>
      <c r="J322" s="115">
        <f>J!H64</f>
        <v>0</v>
      </c>
      <c r="K322" s="115"/>
      <c r="L322" s="115"/>
      <c r="M322" s="115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9" t="s">
        <v>102</v>
      </c>
      <c r="B323" s="115">
        <f>B!H65</f>
        <v>41929.494990569845</v>
      </c>
      <c r="C323" s="115">
        <f>'C'!H65</f>
        <v>37418.904600000002</v>
      </c>
      <c r="D323" s="115">
        <f>D!H65</f>
        <v>37665.694800000005</v>
      </c>
      <c r="E323" s="115">
        <f>E!H65</f>
        <v>40736.853230665321</v>
      </c>
      <c r="F323" s="115">
        <f>F!H65</f>
        <v>41063.372999999883</v>
      </c>
      <c r="G323" s="115">
        <f>G!H65</f>
        <v>40186</v>
      </c>
      <c r="H323" s="115">
        <f>YD!H65</f>
        <v>0</v>
      </c>
      <c r="I323" s="115">
        <f>I!H65</f>
        <v>0</v>
      </c>
      <c r="J323" s="115">
        <f>J!H65</f>
        <v>0</v>
      </c>
      <c r="K323" s="115"/>
      <c r="L323" s="115"/>
      <c r="M323" s="115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9" t="s">
        <v>356</v>
      </c>
      <c r="B324" s="115">
        <f>B!H66</f>
        <v>39695.372852321809</v>
      </c>
      <c r="C324" s="115">
        <f>'C'!H66</f>
        <v>35974.214700000004</v>
      </c>
      <c r="D324" s="115">
        <f>D!H66</f>
        <v>36112.5579</v>
      </c>
      <c r="E324" s="115">
        <f>E!H66</f>
        <v>38742.147353425389</v>
      </c>
      <c r="F324" s="115">
        <f>F!H66</f>
        <v>38295.623999999953</v>
      </c>
      <c r="G324" s="115">
        <f>G!H66</f>
        <v>38346</v>
      </c>
      <c r="H324" s="115">
        <f>YD!H66</f>
        <v>0</v>
      </c>
      <c r="I324" s="115">
        <f>I!H66</f>
        <v>0</v>
      </c>
      <c r="J324" s="115">
        <f>J!H66</f>
        <v>0</v>
      </c>
      <c r="K324" s="115"/>
      <c r="L324" s="115"/>
      <c r="M324" s="115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9" t="s">
        <v>105</v>
      </c>
      <c r="B325" s="115">
        <f>B!H67</f>
        <v>19017.167229120987</v>
      </c>
      <c r="C325" s="115">
        <f>'C'!H67</f>
        <v>16051.914600000002</v>
      </c>
      <c r="D325" s="115">
        <f>D!H67</f>
        <v>15958.122600000001</v>
      </c>
      <c r="E325" s="115">
        <f>E!H67</f>
        <v>18258.95814618079</v>
      </c>
      <c r="F325" s="115">
        <f>F!H67</f>
        <v>18271.393999999975</v>
      </c>
      <c r="G325" s="115">
        <f>G!H67</f>
        <v>18621</v>
      </c>
      <c r="H325" s="115">
        <f>YD!H67</f>
        <v>0</v>
      </c>
      <c r="I325" s="115">
        <f>I!H67</f>
        <v>0</v>
      </c>
      <c r="J325" s="115">
        <f>J!H67</f>
        <v>0</v>
      </c>
      <c r="K325" s="115"/>
      <c r="L325" s="115"/>
      <c r="M325" s="115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9" t="s">
        <v>108</v>
      </c>
      <c r="B326" s="115">
        <f>B!H68</f>
        <v>27997.227426352034</v>
      </c>
      <c r="C326" s="115">
        <f>'C'!H68</f>
        <v>24887.414100000002</v>
      </c>
      <c r="D326" s="115">
        <f>D!H68</f>
        <v>24914.086200000002</v>
      </c>
      <c r="E326" s="115">
        <f>E!H68</f>
        <v>27496.569666439973</v>
      </c>
      <c r="F326" s="115">
        <f>F!H68</f>
        <v>26994.481999999978</v>
      </c>
      <c r="G326" s="115">
        <f>G!H68</f>
        <v>27470</v>
      </c>
      <c r="H326" s="115">
        <f>YD!H68</f>
        <v>0</v>
      </c>
      <c r="I326" s="115">
        <f>I!H68</f>
        <v>0</v>
      </c>
      <c r="J326" s="115">
        <f>J!H68</f>
        <v>0</v>
      </c>
      <c r="K326" s="115"/>
      <c r="L326" s="115"/>
      <c r="M326" s="115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9" t="s">
        <v>109</v>
      </c>
      <c r="B327" s="115">
        <f>B!H69</f>
        <v>26840.462611469979</v>
      </c>
      <c r="C327" s="115">
        <f>'C'!H69</f>
        <v>23498.413200000003</v>
      </c>
      <c r="D327" s="115">
        <f>D!H69</f>
        <v>23588.101800000004</v>
      </c>
      <c r="E327" s="115">
        <f>E!H69</f>
        <v>25891.279977246446</v>
      </c>
      <c r="F327" s="115">
        <f>F!H69</f>
        <v>0</v>
      </c>
      <c r="G327" s="115">
        <f>G!H69</f>
        <v>25717</v>
      </c>
      <c r="H327" s="115">
        <f>YD!H69</f>
        <v>0</v>
      </c>
      <c r="I327" s="115">
        <f>I!H69</f>
        <v>0</v>
      </c>
      <c r="J327" s="115">
        <f>J!H69</f>
        <v>0</v>
      </c>
      <c r="K327" s="115"/>
      <c r="L327" s="115"/>
      <c r="M327" s="115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9" t="s">
        <v>111</v>
      </c>
      <c r="B328" s="115">
        <f>B!H70</f>
        <v>22996.208255539954</v>
      </c>
      <c r="C328" s="115">
        <f>'C'!H70</f>
        <v>19120.9647</v>
      </c>
      <c r="D328" s="115">
        <f>D!H70</f>
        <v>19183.688100000003</v>
      </c>
      <c r="E328" s="115">
        <f>E!H70</f>
        <v>20968.213323934026</v>
      </c>
      <c r="F328" s="115">
        <f>F!H70</f>
        <v>0</v>
      </c>
      <c r="G328" s="115">
        <f>G!H70</f>
        <v>20590</v>
      </c>
      <c r="H328" s="115">
        <f>YD!H70</f>
        <v>0</v>
      </c>
      <c r="I328" s="115">
        <f>I!H70</f>
        <v>0</v>
      </c>
      <c r="J328" s="115">
        <f>J!H70</f>
        <v>0</v>
      </c>
      <c r="K328" s="115"/>
      <c r="L328" s="115"/>
      <c r="M328" s="115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9" t="s">
        <v>112</v>
      </c>
      <c r="B329" s="115">
        <f>B!H71</f>
        <v>22219.482747750022</v>
      </c>
      <c r="C329" s="115">
        <f>'C'!H71</f>
        <v>19944.8688</v>
      </c>
      <c r="D329" s="115">
        <f>D!H71</f>
        <v>20269.916700000002</v>
      </c>
      <c r="E329" s="115">
        <f>E!H71</f>
        <v>21803.451314323509</v>
      </c>
      <c r="F329" s="115">
        <f>F!H71</f>
        <v>0</v>
      </c>
      <c r="G329" s="115">
        <f>G!H71</f>
        <v>21855</v>
      </c>
      <c r="H329" s="115">
        <f>YD!H71</f>
        <v>0</v>
      </c>
      <c r="I329" s="115">
        <f>I!H71</f>
        <v>0</v>
      </c>
      <c r="J329" s="115">
        <f>J!H71</f>
        <v>0</v>
      </c>
      <c r="K329" s="115"/>
      <c r="L329" s="115"/>
      <c r="M329" s="115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9" t="s">
        <v>113</v>
      </c>
      <c r="B330" s="115">
        <f>B!H72</f>
        <v>21892.965744893096</v>
      </c>
      <c r="C330" s="115">
        <f>'C'!H72</f>
        <v>19909.403700000003</v>
      </c>
      <c r="D330" s="115">
        <f>D!H72</f>
        <v>19765.198500000002</v>
      </c>
      <c r="E330" s="115">
        <f>E!H72</f>
        <v>21376.044410862422</v>
      </c>
      <c r="F330" s="115">
        <f>F!H72</f>
        <v>0</v>
      </c>
      <c r="G330" s="115">
        <f>G!H72</f>
        <v>21057</v>
      </c>
      <c r="H330" s="115">
        <f>YD!H72</f>
        <v>0</v>
      </c>
      <c r="I330" s="115">
        <f>I!H72</f>
        <v>0</v>
      </c>
      <c r="J330" s="115">
        <f>J!H72</f>
        <v>0</v>
      </c>
      <c r="K330" s="115"/>
      <c r="L330" s="115"/>
      <c r="M330" s="115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9" t="s">
        <v>114</v>
      </c>
      <c r="B331" s="115">
        <f>B!H73</f>
        <v>22835.290997827113</v>
      </c>
      <c r="C331" s="115">
        <f>'C'!H73</f>
        <v>20787.531300000002</v>
      </c>
      <c r="D331" s="115">
        <f>D!H73</f>
        <v>20689.049700000003</v>
      </c>
      <c r="E331" s="115">
        <f>E!H73</f>
        <v>22361.068344499032</v>
      </c>
      <c r="F331" s="115">
        <f>F!H73</f>
        <v>0</v>
      </c>
      <c r="G331" s="115">
        <f>G!H73</f>
        <v>22244</v>
      </c>
      <c r="H331" s="115">
        <f>YD!H73</f>
        <v>0</v>
      </c>
      <c r="I331" s="115">
        <f>I!H73</f>
        <v>0</v>
      </c>
      <c r="J331" s="115">
        <f>J!H73</f>
        <v>0</v>
      </c>
      <c r="K331" s="115"/>
      <c r="L331" s="115"/>
      <c r="M331" s="115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9" t="s">
        <v>115</v>
      </c>
      <c r="B332" s="115">
        <f>B!H74</f>
        <v>18313.306249999994</v>
      </c>
      <c r="C332" s="115">
        <f>'C'!H74</f>
        <v>18346.008300000001</v>
      </c>
      <c r="D332" s="115">
        <f>D!H74</f>
        <v>18346.3014</v>
      </c>
      <c r="E332" s="115">
        <f>E!H74</f>
        <v>18231.91600472945</v>
      </c>
      <c r="F332" s="115">
        <f>F!H74</f>
        <v>18231.140999999938</v>
      </c>
      <c r="G332" s="115">
        <f>G!H74</f>
        <v>18084</v>
      </c>
      <c r="H332" s="115">
        <f>YD!H74</f>
        <v>0</v>
      </c>
      <c r="I332" s="115">
        <f>I!H74</f>
        <v>0</v>
      </c>
      <c r="J332" s="115">
        <f>J!H74</f>
        <v>0</v>
      </c>
      <c r="K332" s="115"/>
      <c r="L332" s="115"/>
      <c r="M332" s="115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9" t="s">
        <v>120</v>
      </c>
      <c r="B333" s="115">
        <f>B!H75</f>
        <v>14000.196419999986</v>
      </c>
      <c r="C333" s="115">
        <f>'C'!H75</f>
        <v>14097.230700000002</v>
      </c>
      <c r="D333" s="115">
        <f>D!H75</f>
        <v>14097.230700000002</v>
      </c>
      <c r="E333" s="115">
        <f>E!H75</f>
        <v>13990.587540818167</v>
      </c>
      <c r="F333" s="115">
        <f>F!H75</f>
        <v>13991.417999999976</v>
      </c>
      <c r="G333" s="115">
        <f>G!H75</f>
        <v>13877</v>
      </c>
      <c r="H333" s="115">
        <f>YD!H75</f>
        <v>0</v>
      </c>
      <c r="I333" s="115">
        <f>I!H75</f>
        <v>0</v>
      </c>
      <c r="J333" s="115">
        <f>J!H75</f>
        <v>0</v>
      </c>
      <c r="K333" s="115"/>
      <c r="L333" s="115"/>
      <c r="M333" s="115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9" t="s">
        <v>124</v>
      </c>
      <c r="B334" s="115">
        <f>B!H76</f>
        <v>31484.877840000041</v>
      </c>
      <c r="C334" s="115">
        <f>'C'!H76</f>
        <v>31712.247600000002</v>
      </c>
      <c r="D334" s="115">
        <f>D!H76</f>
        <v>31712.247600000002</v>
      </c>
      <c r="E334" s="115">
        <f>E!H76</f>
        <v>31479.435040542758</v>
      </c>
      <c r="F334" s="115">
        <f>F!H76</f>
        <v>31479.855999999923</v>
      </c>
      <c r="G334" s="115">
        <f>G!H76</f>
        <v>31217</v>
      </c>
      <c r="H334" s="115">
        <f>YD!H76</f>
        <v>0</v>
      </c>
      <c r="I334" s="115">
        <f>I!H76</f>
        <v>0</v>
      </c>
      <c r="J334" s="115">
        <f>J!H76</f>
        <v>0</v>
      </c>
      <c r="K334" s="115"/>
      <c r="L334" s="115"/>
      <c r="M334" s="115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9" t="s">
        <v>125</v>
      </c>
      <c r="B335" s="115">
        <f>B!H77</f>
        <v>18311.930338999995</v>
      </c>
      <c r="C335" s="115">
        <f>'C'!H77</f>
        <v>18469.696500000002</v>
      </c>
      <c r="D335" s="115">
        <f>D!H77</f>
        <v>18469.696500000002</v>
      </c>
      <c r="E335" s="115">
        <f>E!H77</f>
        <v>18229.528543089771</v>
      </c>
      <c r="F335" s="115">
        <f>F!H77</f>
        <v>18235.133000000213</v>
      </c>
      <c r="G335" s="115">
        <f>G!H77</f>
        <v>18087</v>
      </c>
      <c r="H335" s="115">
        <f>YD!H77</f>
        <v>0</v>
      </c>
      <c r="I335" s="115">
        <f>I!H77</f>
        <v>0</v>
      </c>
      <c r="J335" s="115">
        <f>J!H77</f>
        <v>0</v>
      </c>
      <c r="K335" s="115"/>
      <c r="L335" s="115"/>
      <c r="M335" s="115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9" t="s">
        <v>127</v>
      </c>
      <c r="B336" s="115">
        <f>B!H78</f>
        <v>18313.191556000009</v>
      </c>
      <c r="C336" s="115">
        <f>'C'!H78</f>
        <v>18410.7834</v>
      </c>
      <c r="D336" s="115">
        <f>D!H78</f>
        <v>18410.490300000001</v>
      </c>
      <c r="E336" s="115">
        <f>E!H78</f>
        <v>18230.761665649527</v>
      </c>
      <c r="F336" s="115">
        <f>F!H78</f>
        <v>18233.150999999987</v>
      </c>
      <c r="G336" s="115">
        <f>G!H78</f>
        <v>18104</v>
      </c>
      <c r="H336" s="115">
        <f>YD!H78</f>
        <v>0</v>
      </c>
      <c r="I336" s="115">
        <f>I!H78</f>
        <v>0</v>
      </c>
      <c r="J336" s="115">
        <f>J!H78</f>
        <v>0</v>
      </c>
      <c r="K336" s="115"/>
      <c r="L336" s="115"/>
      <c r="M336" s="115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9" t="s">
        <v>130</v>
      </c>
      <c r="B337" s="115">
        <f>B!H79</f>
        <v>18313.935059999949</v>
      </c>
      <c r="C337" s="115">
        <f>'C'!H79</f>
        <v>18181.5792</v>
      </c>
      <c r="D337" s="115">
        <f>D!H79</f>
        <v>18181.5792</v>
      </c>
      <c r="E337" s="115">
        <f>E!H79</f>
        <v>18232.007335113853</v>
      </c>
      <c r="F337" s="115">
        <f>F!H79</f>
        <v>18226.508999999944</v>
      </c>
      <c r="G337" s="115">
        <f>G!H79</f>
        <v>18045</v>
      </c>
      <c r="H337" s="115">
        <f>YD!H79</f>
        <v>0</v>
      </c>
      <c r="I337" s="115">
        <f>I!H79</f>
        <v>0</v>
      </c>
      <c r="J337" s="115">
        <f>J!H79</f>
        <v>0</v>
      </c>
      <c r="K337" s="115"/>
      <c r="L337" s="115"/>
      <c r="M337" s="115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9" t="s">
        <v>132</v>
      </c>
      <c r="B338" s="115">
        <f>B!H80</f>
        <v>5.6052956319999936E-13</v>
      </c>
      <c r="C338" s="115">
        <f>'C'!H80</f>
        <v>60.671700000000008</v>
      </c>
      <c r="D338" s="115">
        <f>D!H80</f>
        <v>60.671700000000008</v>
      </c>
      <c r="E338" s="115">
        <f>E!H80</f>
        <v>0.24183003551432733</v>
      </c>
      <c r="F338" s="115">
        <f>F!H80</f>
        <v>1.1859999999999984</v>
      </c>
      <c r="G338" s="115">
        <f>G!H80</f>
        <v>0</v>
      </c>
      <c r="H338" s="115">
        <f>YD!H80</f>
        <v>0</v>
      </c>
      <c r="I338" s="115">
        <f>I!H80</f>
        <v>0</v>
      </c>
      <c r="J338" s="115">
        <f>J!H80</f>
        <v>0</v>
      </c>
      <c r="K338" s="115"/>
      <c r="L338" s="115"/>
      <c r="M338" s="115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9" t="s">
        <v>135</v>
      </c>
      <c r="B339" s="115">
        <f>B!H81</f>
        <v>0.97975819500045036</v>
      </c>
      <c r="C339" s="115">
        <f>'C'!H81</f>
        <v>106.98150000000001</v>
      </c>
      <c r="D339" s="115">
        <f>D!H81</f>
        <v>106.98150000000001</v>
      </c>
      <c r="E339" s="115">
        <f>E!H81</f>
        <v>8.8671574738760111</v>
      </c>
      <c r="F339" s="115">
        <f>F!H81</f>
        <v>3.09</v>
      </c>
      <c r="G339" s="115">
        <f>G!H81</f>
        <v>2</v>
      </c>
      <c r="H339" s="115">
        <f>YD!H81</f>
        <v>0</v>
      </c>
      <c r="I339" s="115">
        <f>I!H81</f>
        <v>0</v>
      </c>
      <c r="J339" s="115">
        <f>J!H81</f>
        <v>0</v>
      </c>
      <c r="K339" s="115"/>
      <c r="L339" s="115"/>
      <c r="M339" s="115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70" t="s">
        <v>138</v>
      </c>
      <c r="B340" s="115">
        <f>B!H82</f>
        <v>-3.3573323999999783E-14</v>
      </c>
      <c r="C340" s="115">
        <f>'C'!H82</f>
        <v>25.499700000000001</v>
      </c>
      <c r="D340" s="115">
        <f>D!H82</f>
        <v>25.499700000000001</v>
      </c>
      <c r="E340" s="115">
        <f>E!H82</f>
        <v>3.5427769439087969E-12</v>
      </c>
      <c r="F340" s="115">
        <f>F!H82</f>
        <v>4.0000000000000001E-3</v>
      </c>
      <c r="G340" s="115">
        <f>G!H82</f>
        <v>0</v>
      </c>
      <c r="H340" s="115">
        <f>YD!H82</f>
        <v>0</v>
      </c>
      <c r="I340" s="115">
        <f>I!H82</f>
        <v>0</v>
      </c>
      <c r="J340" s="115">
        <f>J!H82</f>
        <v>0</v>
      </c>
      <c r="K340" s="115"/>
      <c r="L340" s="115"/>
      <c r="M340" s="115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410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245</v>
      </c>
      <c r="C349" s="10" t="s">
        <v>257</v>
      </c>
      <c r="D349" s="10" t="s">
        <v>258</v>
      </c>
      <c r="E349" s="10" t="s">
        <v>515</v>
      </c>
      <c r="F349" s="10" t="s">
        <v>373</v>
      </c>
      <c r="G349" s="10" t="s">
        <v>482</v>
      </c>
      <c r="H349" s="10" t="s">
        <v>516</v>
      </c>
      <c r="I349" s="10" t="s">
        <v>517</v>
      </c>
      <c r="J349" s="10" t="s">
        <v>517</v>
      </c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9" t="s">
        <v>91</v>
      </c>
      <c r="B350" s="112">
        <f>B!I62</f>
        <v>3.2490640412357039</v>
      </c>
      <c r="C350" s="112">
        <f>'C'!I62</f>
        <v>3.2376805865102645</v>
      </c>
      <c r="D350" s="112">
        <f>D!I62</f>
        <v>3.2373585549738224</v>
      </c>
      <c r="E350" s="112">
        <f>E!I62</f>
        <v>3.2419158791607874</v>
      </c>
      <c r="F350" s="112">
        <f>F!I62</f>
        <v>3.2263863232202681</v>
      </c>
      <c r="G350" s="112">
        <f>G!I62</f>
        <v>3.23</v>
      </c>
      <c r="H350" s="112">
        <f>YD!I62</f>
        <v>0</v>
      </c>
      <c r="I350" s="112">
        <f>I!I62</f>
        <v>0</v>
      </c>
      <c r="J350" s="112">
        <f>J!I62</f>
        <v>0</v>
      </c>
      <c r="K350" s="112"/>
      <c r="L350" s="112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9" t="s">
        <v>96</v>
      </c>
      <c r="B351" s="112">
        <f>B!I63</f>
        <v>3.4145863740610052</v>
      </c>
      <c r="C351" s="112">
        <f>'C'!I63</f>
        <v>3.4174807958173976</v>
      </c>
      <c r="D351" s="112">
        <f>D!I63</f>
        <v>3.4174880051922543</v>
      </c>
      <c r="E351" s="112">
        <f>E!I63</f>
        <v>3.4070913231146287</v>
      </c>
      <c r="F351" s="112">
        <f>F!I63</f>
        <v>3.3972436603535132</v>
      </c>
      <c r="G351" s="112">
        <f>G!I63</f>
        <v>3.38</v>
      </c>
      <c r="H351" s="112">
        <f>YD!I63</f>
        <v>0</v>
      </c>
      <c r="I351" s="112">
        <f>I!I63</f>
        <v>0</v>
      </c>
      <c r="J351" s="112">
        <f>J!I63</f>
        <v>0</v>
      </c>
      <c r="K351" s="112"/>
      <c r="L351" s="112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9" t="s">
        <v>98</v>
      </c>
      <c r="B352" s="112">
        <f>B!I64</f>
        <v>3.419896411537986</v>
      </c>
      <c r="C352" s="112">
        <f>'C'!I64</f>
        <v>3.4579699228422753</v>
      </c>
      <c r="D352" s="112">
        <f>D!I64</f>
        <v>3.4570510748065351</v>
      </c>
      <c r="E352" s="112">
        <f>E!I64</f>
        <v>3.4172143760694511</v>
      </c>
      <c r="F352" s="112">
        <f>F!I64</f>
        <v>3.4059697986335884</v>
      </c>
      <c r="G352" s="112">
        <f>G!I64</f>
        <v>3.39</v>
      </c>
      <c r="H352" s="112">
        <f>YD!I64</f>
        <v>0</v>
      </c>
      <c r="I352" s="112">
        <f>I!I64</f>
        <v>0</v>
      </c>
      <c r="J352" s="112">
        <f>J!I64</f>
        <v>0</v>
      </c>
      <c r="K352" s="112"/>
      <c r="L352" s="112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9" t="s">
        <v>102</v>
      </c>
      <c r="B353" s="112">
        <f>B!I65</f>
        <v>3.4907271114537237</v>
      </c>
      <c r="C353" s="112">
        <f>'C'!I65</f>
        <v>3.4941712952684894</v>
      </c>
      <c r="D353" s="112">
        <f>D!I65</f>
        <v>3.5364334687303032</v>
      </c>
      <c r="E353" s="112">
        <f>E!I65</f>
        <v>3.50633197407124</v>
      </c>
      <c r="F353" s="112">
        <f>F!I65</f>
        <v>3.4972907127943231</v>
      </c>
      <c r="G353" s="112">
        <f>G!I65</f>
        <v>3.46</v>
      </c>
      <c r="H353" s="112">
        <f>YD!I65</f>
        <v>0</v>
      </c>
      <c r="I353" s="112">
        <f>I!I65</f>
        <v>0</v>
      </c>
      <c r="J353" s="112">
        <f>J!I65</f>
        <v>0</v>
      </c>
      <c r="K353" s="112"/>
      <c r="L353" s="112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9" t="s">
        <v>356</v>
      </c>
      <c r="B354" s="112">
        <f>B!I66</f>
        <v>3.4542749634926753</v>
      </c>
      <c r="C354" s="112">
        <f>'C'!I66</f>
        <v>3.4773384823372431</v>
      </c>
      <c r="D354" s="112">
        <f>D!I66</f>
        <v>3.4956189184428399</v>
      </c>
      <c r="E354" s="112">
        <f>E!I66</f>
        <v>3.46237083759975</v>
      </c>
      <c r="F354" s="112">
        <f>F!I66</f>
        <v>3.4495471545115888</v>
      </c>
      <c r="G354" s="112">
        <f>G!I66</f>
        <v>3.42</v>
      </c>
      <c r="H354" s="112">
        <f>YD!I66</f>
        <v>0</v>
      </c>
      <c r="I354" s="112">
        <f>I!I66</f>
        <v>0</v>
      </c>
      <c r="J354" s="112">
        <f>J!I66</f>
        <v>0</v>
      </c>
      <c r="K354" s="112"/>
      <c r="L354" s="112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9" t="s">
        <v>105</v>
      </c>
      <c r="B355" s="112">
        <f>B!I67</f>
        <v>3.2489490281954185</v>
      </c>
      <c r="C355" s="112">
        <f>'C'!I67</f>
        <v>3.240776610565923</v>
      </c>
      <c r="D355" s="112">
        <f>D!I67</f>
        <v>3.235440710799268</v>
      </c>
      <c r="E355" s="112">
        <f>E!I67</f>
        <v>3.2462793787828992</v>
      </c>
      <c r="F355" s="112">
        <f>F!I67</f>
        <v>3.2289188238457793</v>
      </c>
      <c r="G355" s="112">
        <f>G!I67</f>
        <v>3.23</v>
      </c>
      <c r="H355" s="112">
        <f>YD!I67</f>
        <v>0</v>
      </c>
      <c r="I355" s="112">
        <f>I!I67</f>
        <v>0</v>
      </c>
      <c r="J355" s="112">
        <f>J!I67</f>
        <v>0</v>
      </c>
      <c r="K355" s="112"/>
      <c r="L355" s="112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9" t="s">
        <v>108</v>
      </c>
      <c r="B356" s="112">
        <f>B!I68</f>
        <v>3.6690275159907122</v>
      </c>
      <c r="C356" s="112">
        <f>'C'!I68</f>
        <v>3.7006114787884403</v>
      </c>
      <c r="D356" s="112">
        <f>D!I68</f>
        <v>3.705809741283383</v>
      </c>
      <c r="E356" s="112">
        <f>E!I68</f>
        <v>3.6796675326478208</v>
      </c>
      <c r="F356" s="112">
        <f>F!I68</f>
        <v>3.6666956226117398</v>
      </c>
      <c r="G356" s="112">
        <f>G!I68</f>
        <v>3.66</v>
      </c>
      <c r="H356" s="112">
        <f>YD!I68</f>
        <v>0</v>
      </c>
      <c r="I356" s="112">
        <f>I!I68</f>
        <v>0</v>
      </c>
      <c r="J356" s="112">
        <f>J!I68</f>
        <v>0</v>
      </c>
      <c r="K356" s="112"/>
      <c r="L356" s="112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9" t="s">
        <v>109</v>
      </c>
      <c r="B357" s="112">
        <f>B!I69</f>
        <v>3.2502746499298332</v>
      </c>
      <c r="C357" s="112">
        <f>'C'!I69</f>
        <v>3.2514047180206354</v>
      </c>
      <c r="D357" s="112">
        <f>D!I69</f>
        <v>3.2519060962192441</v>
      </c>
      <c r="E357" s="112">
        <f>E!I69</f>
        <v>3.2587708895217808</v>
      </c>
      <c r="F357" s="112">
        <f>F!I69</f>
        <v>0</v>
      </c>
      <c r="G357" s="112">
        <f>G!I69</f>
        <v>3.26</v>
      </c>
      <c r="H357" s="112">
        <f>YD!I69</f>
        <v>0</v>
      </c>
      <c r="I357" s="112">
        <f>I!I69</f>
        <v>0</v>
      </c>
      <c r="J357" s="112">
        <f>J!I69</f>
        <v>0</v>
      </c>
      <c r="K357" s="112"/>
      <c r="L357" s="112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9" t="s">
        <v>111</v>
      </c>
      <c r="B358" s="112">
        <f>B!I70</f>
        <v>3.2395129561133276</v>
      </c>
      <c r="C358" s="112">
        <f>'C'!I70</f>
        <v>3.2124115306907832</v>
      </c>
      <c r="D358" s="112">
        <f>D!I70</f>
        <v>3.2106972813295553</v>
      </c>
      <c r="E358" s="112">
        <f>E!I70</f>
        <v>3.2187482875465139</v>
      </c>
      <c r="F358" s="112">
        <f>F!I70</f>
        <v>0</v>
      </c>
      <c r="G358" s="112">
        <f>G!I70</f>
        <v>3.21</v>
      </c>
      <c r="H358" s="112">
        <f>YD!I70</f>
        <v>0</v>
      </c>
      <c r="I358" s="112">
        <f>I!I70</f>
        <v>0</v>
      </c>
      <c r="J358" s="112">
        <f>J!I70</f>
        <v>0</v>
      </c>
      <c r="K358" s="112"/>
      <c r="L358" s="112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9" t="s">
        <v>112</v>
      </c>
      <c r="B359" s="112">
        <f>B!I71</f>
        <v>3.2260641035937025</v>
      </c>
      <c r="C359" s="112">
        <f>'C'!I71</f>
        <v>3.2152866928406469</v>
      </c>
      <c r="D359" s="112">
        <f>D!I71</f>
        <v>3.2175275351793013</v>
      </c>
      <c r="E359" s="112">
        <f>E!I71</f>
        <v>3.2214971063565341</v>
      </c>
      <c r="F359" s="112">
        <f>F!I71</f>
        <v>0</v>
      </c>
      <c r="G359" s="112">
        <f>G!I71</f>
        <v>3.21</v>
      </c>
      <c r="H359" s="112">
        <f>YD!I71</f>
        <v>0</v>
      </c>
      <c r="I359" s="112">
        <f>I!I71</f>
        <v>0</v>
      </c>
      <c r="J359" s="112">
        <f>J!I71</f>
        <v>0</v>
      </c>
      <c r="K359" s="112"/>
      <c r="L359" s="112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9" t="s">
        <v>113</v>
      </c>
      <c r="B360" s="112">
        <f>B!I72</f>
        <v>3.2207938616310492</v>
      </c>
      <c r="C360" s="112">
        <f>'C'!I72</f>
        <v>3.2130314791943757</v>
      </c>
      <c r="D360" s="112">
        <f>D!I72</f>
        <v>3.2114691557976212</v>
      </c>
      <c r="E360" s="112">
        <f>E!I72</f>
        <v>3.2175650685425263</v>
      </c>
      <c r="F360" s="112">
        <f>F!I72</f>
        <v>0</v>
      </c>
      <c r="G360" s="112">
        <f>G!I72</f>
        <v>3.21</v>
      </c>
      <c r="H360" s="112">
        <f>YD!I72</f>
        <v>0</v>
      </c>
      <c r="I360" s="112">
        <f>I!I72</f>
        <v>0</v>
      </c>
      <c r="J360" s="112">
        <f>J!I72</f>
        <v>0</v>
      </c>
      <c r="K360" s="112"/>
      <c r="L360" s="112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9" t="s">
        <v>114</v>
      </c>
      <c r="B361" s="112">
        <f>B!I73</f>
        <v>3.2313387251007555</v>
      </c>
      <c r="C361" s="112">
        <f>'C'!I73</f>
        <v>3.2222873104008669</v>
      </c>
      <c r="D361" s="112">
        <f>D!I73</f>
        <v>3.2218844701941793</v>
      </c>
      <c r="E361" s="112">
        <f>E!I73</f>
        <v>3.2271755662385644</v>
      </c>
      <c r="F361" s="112">
        <f>F!I73</f>
        <v>0</v>
      </c>
      <c r="G361" s="112">
        <f>G!I73</f>
        <v>3.22</v>
      </c>
      <c r="H361" s="112">
        <f>YD!I73</f>
        <v>0</v>
      </c>
      <c r="I361" s="112">
        <f>I!I73</f>
        <v>0</v>
      </c>
      <c r="J361" s="112">
        <f>J!I73</f>
        <v>0</v>
      </c>
      <c r="K361" s="112"/>
      <c r="L361" s="112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9" t="s">
        <v>115</v>
      </c>
      <c r="B362" s="112">
        <f>B!I74</f>
        <v>3.2040506101569686</v>
      </c>
      <c r="C362" s="112">
        <f>'C'!I74</f>
        <v>3.2274971390845071</v>
      </c>
      <c r="D362" s="112">
        <f>D!I74</f>
        <v>3.2265361707329006</v>
      </c>
      <c r="E362" s="112">
        <f>E!I74</f>
        <v>3.208044447110225</v>
      </c>
      <c r="F362" s="112">
        <f>F!I74</f>
        <v>3.1920210710105641</v>
      </c>
      <c r="G362" s="112">
        <f>G!I74</f>
        <v>3.2</v>
      </c>
      <c r="H362" s="112">
        <f>YD!I74</f>
        <v>0</v>
      </c>
      <c r="I362" s="112">
        <f>I!I74</f>
        <v>0</v>
      </c>
      <c r="J362" s="112">
        <f>J!I74</f>
        <v>0</v>
      </c>
      <c r="K362" s="112"/>
      <c r="L362" s="112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9" t="s">
        <v>120</v>
      </c>
      <c r="B363" s="112">
        <f>B!I75</f>
        <v>3.1418413089454327</v>
      </c>
      <c r="C363" s="112">
        <f>'C'!I75</f>
        <v>3.1613855565949489</v>
      </c>
      <c r="D363" s="112">
        <f>D!I75</f>
        <v>3.1616336680596278</v>
      </c>
      <c r="E363" s="112">
        <f>E!I75</f>
        <v>3.1472396390899418</v>
      </c>
      <c r="F363" s="112">
        <f>F!I75</f>
        <v>3.132400718052974</v>
      </c>
      <c r="G363" s="112">
        <f>G!I75</f>
        <v>3.14</v>
      </c>
      <c r="H363" s="112">
        <f>YD!I75</f>
        <v>0</v>
      </c>
      <c r="I363" s="112">
        <f>I!I75</f>
        <v>0</v>
      </c>
      <c r="J363" s="112">
        <f>J!I75</f>
        <v>0</v>
      </c>
      <c r="K363" s="112"/>
      <c r="L363" s="112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9" t="s">
        <v>124</v>
      </c>
      <c r="B364" s="112">
        <f>B!I76</f>
        <v>3.5513226917289793</v>
      </c>
      <c r="C364" s="112">
        <f>'C'!I76</f>
        <v>3.5773704725150606</v>
      </c>
      <c r="D364" s="112">
        <f>D!I76</f>
        <v>3.5773999497976217</v>
      </c>
      <c r="E364" s="112">
        <f>E!I76</f>
        <v>3.5553754078702928</v>
      </c>
      <c r="F364" s="112">
        <f>F!I76</f>
        <v>3.529529503755886</v>
      </c>
      <c r="G364" s="112">
        <f>G!I76</f>
        <v>3.55</v>
      </c>
      <c r="H364" s="112">
        <f>YD!I76</f>
        <v>0</v>
      </c>
      <c r="I364" s="112">
        <f>I!I76</f>
        <v>0</v>
      </c>
      <c r="J364" s="112">
        <f>J!I76</f>
        <v>0</v>
      </c>
      <c r="K364" s="112"/>
      <c r="L364" s="112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9" t="s">
        <v>125</v>
      </c>
      <c r="B365" s="112">
        <f>B!I77</f>
        <v>2.9010750931291152</v>
      </c>
      <c r="C365" s="112">
        <f>'C'!I77</f>
        <v>2.9567495802798138</v>
      </c>
      <c r="D365" s="112">
        <f>D!I77</f>
        <v>2.9559640658999067</v>
      </c>
      <c r="E365" s="112">
        <f>E!I77</f>
        <v>2.9204616418745704</v>
      </c>
      <c r="F365" s="112">
        <f>F!I77</f>
        <v>2.8733036151829876</v>
      </c>
      <c r="G365" s="112">
        <f>G!I77</f>
        <v>2.92</v>
      </c>
      <c r="H365" s="112">
        <f>YD!I77</f>
        <v>0</v>
      </c>
      <c r="I365" s="112">
        <f>I!I77</f>
        <v>0</v>
      </c>
      <c r="J365" s="112">
        <f>J!I77</f>
        <v>0</v>
      </c>
      <c r="K365" s="112"/>
      <c r="L365" s="112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9" t="s">
        <v>127</v>
      </c>
      <c r="B366" s="112">
        <f>B!I78</f>
        <v>3.0580577666203514</v>
      </c>
      <c r="C366" s="112">
        <f>'C'!I78</f>
        <v>3.0743934966881281</v>
      </c>
      <c r="D366" s="112">
        <f>D!I78</f>
        <v>3.072773555555556</v>
      </c>
      <c r="E366" s="112">
        <f>E!I78</f>
        <v>3.0638799308877736</v>
      </c>
      <c r="F366" s="112">
        <f>F!I78</f>
        <v>3.0363034161654276</v>
      </c>
      <c r="G366" s="112">
        <f>G!I78</f>
        <v>3.07</v>
      </c>
      <c r="H366" s="112">
        <f>YD!I78</f>
        <v>0</v>
      </c>
      <c r="I366" s="112">
        <f>I!I78</f>
        <v>0</v>
      </c>
      <c r="J366" s="112">
        <f>J!I78</f>
        <v>0</v>
      </c>
      <c r="K366" s="112"/>
      <c r="L366" s="112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9" t="s">
        <v>130</v>
      </c>
      <c r="B367" s="112">
        <f>B!I79</f>
        <v>3.4835480223015232</v>
      </c>
      <c r="C367" s="112">
        <f>'C'!I79</f>
        <v>3.5308881276320054</v>
      </c>
      <c r="D367" s="112">
        <f>D!I79</f>
        <v>3.5279999190763922</v>
      </c>
      <c r="E367" s="112">
        <f>E!I79</f>
        <v>3.4981954262230528</v>
      </c>
      <c r="F367" s="112">
        <f>F!I79</f>
        <v>3.4795946427718336</v>
      </c>
      <c r="G367" s="112">
        <f>G!I79</f>
        <v>3.41</v>
      </c>
      <c r="H367" s="112">
        <f>YD!I79</f>
        <v>0</v>
      </c>
      <c r="I367" s="112">
        <f>I!I79</f>
        <v>0</v>
      </c>
      <c r="J367" s="112">
        <f>J!I79</f>
        <v>0</v>
      </c>
      <c r="K367" s="112"/>
      <c r="L367" s="112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9" t="s">
        <v>132</v>
      </c>
      <c r="B368" s="112">
        <f>B!I80</f>
        <v>2.961822827530562</v>
      </c>
      <c r="C368" s="112">
        <f>'C'!I80</f>
        <v>2.969011377093016</v>
      </c>
      <c r="D368" s="112">
        <f>D!I80</f>
        <v>2.969354591186959</v>
      </c>
      <c r="E368" s="112">
        <f>E!I80</f>
        <v>2.9604219306766106</v>
      </c>
      <c r="F368" s="112">
        <f>F!I80</f>
        <v>2.91557596436289</v>
      </c>
      <c r="G368" s="112">
        <f>G!I80</f>
        <v>2.98</v>
      </c>
      <c r="H368" s="112">
        <f>YD!I80</f>
        <v>0</v>
      </c>
      <c r="I368" s="112">
        <f>I!I80</f>
        <v>0</v>
      </c>
      <c r="J368" s="112">
        <f>J!I80</f>
        <v>0</v>
      </c>
      <c r="K368" s="112"/>
      <c r="L368" s="112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9" t="s">
        <v>135</v>
      </c>
      <c r="B369" s="112">
        <f>B!I81</f>
        <v>2.6680014143975166</v>
      </c>
      <c r="C369" s="112">
        <f>'C'!I81</f>
        <v>2.6747953348467655</v>
      </c>
      <c r="D369" s="112">
        <f>D!I81</f>
        <v>2.6751863930517716</v>
      </c>
      <c r="E369" s="112">
        <f>E!I81</f>
        <v>2.6934164262744402</v>
      </c>
      <c r="F369" s="112">
        <f>F!I81</f>
        <v>2.6402576966306008</v>
      </c>
      <c r="G369" s="112">
        <f>G!I81</f>
        <v>2.69</v>
      </c>
      <c r="H369" s="112">
        <f>YD!I81</f>
        <v>0</v>
      </c>
      <c r="I369" s="112">
        <f>I!I81</f>
        <v>0</v>
      </c>
      <c r="J369" s="112">
        <f>J!I81</f>
        <v>0</v>
      </c>
      <c r="K369" s="112"/>
      <c r="L369" s="112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70" t="s">
        <v>138</v>
      </c>
      <c r="B370" s="112">
        <f>B!I82</f>
        <v>3.2280979090130502</v>
      </c>
      <c r="C370" s="112">
        <f>'C'!I82</f>
        <v>3.2333227816236629</v>
      </c>
      <c r="D370" s="112">
        <f>D!I82</f>
        <v>3.2355450524842548</v>
      </c>
      <c r="E370" s="112">
        <f>E!I82</f>
        <v>3.1631536330233647</v>
      </c>
      <c r="F370" s="112">
        <f>F!I82</f>
        <v>3.186293116613272</v>
      </c>
      <c r="G370" s="112">
        <f>G!I82</f>
        <v>3.2</v>
      </c>
      <c r="H370" s="112">
        <f>YD!I82</f>
        <v>0</v>
      </c>
      <c r="I370" s="112">
        <f>I!I82</f>
        <v>0</v>
      </c>
      <c r="J370" s="112">
        <f>J!I82</f>
        <v>0</v>
      </c>
      <c r="K370" s="112"/>
      <c r="L370" s="112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245</v>
      </c>
      <c r="C379" s="10" t="s">
        <v>257</v>
      </c>
      <c r="D379" s="10" t="s">
        <v>258</v>
      </c>
      <c r="E379" s="10" t="s">
        <v>515</v>
      </c>
      <c r="F379" s="10" t="s">
        <v>373</v>
      </c>
      <c r="G379" s="10" t="s">
        <v>482</v>
      </c>
      <c r="H379" s="10" t="s">
        <v>516</v>
      </c>
      <c r="I379" s="10" t="s">
        <v>517</v>
      </c>
      <c r="J379" s="10" t="s">
        <v>517</v>
      </c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9" t="s">
        <v>91</v>
      </c>
      <c r="B380" s="113">
        <f>B!J62</f>
        <v>23.624274631278602</v>
      </c>
      <c r="C380" s="113">
        <f>'C'!J62</f>
        <v>24.055555555555554</v>
      </c>
      <c r="D380" s="113">
        <f>D!J62</f>
        <v>24.055555555555554</v>
      </c>
      <c r="E380" s="113">
        <f>E!J62</f>
        <v>24.089100588595329</v>
      </c>
      <c r="F380" s="113">
        <f>F!J62</f>
        <v>24.081647260274028</v>
      </c>
      <c r="G380" s="113">
        <f>G!J62</f>
        <v>23.99</v>
      </c>
      <c r="H380" s="95">
        <f>YD!J62</f>
        <v>0</v>
      </c>
      <c r="I380" s="95">
        <f>I!J62</f>
        <v>0</v>
      </c>
      <c r="J380" s="95">
        <f>J!J62</f>
        <v>0</v>
      </c>
      <c r="K380" s="95"/>
      <c r="L380" s="95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9" t="s">
        <v>96</v>
      </c>
      <c r="B381" s="113">
        <f>B!J63</f>
        <v>23.755573192922416</v>
      </c>
      <c r="C381" s="113">
        <f>'C'!J63</f>
        <v>24.111111111111114</v>
      </c>
      <c r="D381" s="113">
        <f>D!J63</f>
        <v>24.055555555555554</v>
      </c>
      <c r="E381" s="113">
        <f>E!J63</f>
        <v>24.091465255790009</v>
      </c>
      <c r="F381" s="113">
        <f>F!J63</f>
        <v>24.089708904109656</v>
      </c>
      <c r="G381" s="113">
        <f>G!J63</f>
        <v>24.01</v>
      </c>
      <c r="H381" s="95">
        <f>YD!J63</f>
        <v>0</v>
      </c>
      <c r="I381" s="95">
        <f>I!J63</f>
        <v>0</v>
      </c>
      <c r="J381" s="95">
        <f>J!J63</f>
        <v>0</v>
      </c>
      <c r="K381" s="95"/>
      <c r="L381" s="95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9" t="s">
        <v>98</v>
      </c>
      <c r="B382" s="113">
        <f>B!J64</f>
        <v>23.90049940753422</v>
      </c>
      <c r="C382" s="113">
        <f>'C'!J64</f>
        <v>24.388888888888893</v>
      </c>
      <c r="D382" s="113">
        <f>D!J64</f>
        <v>24.388888888888893</v>
      </c>
      <c r="E382" s="113">
        <f>E!J64</f>
        <v>24.232151722430519</v>
      </c>
      <c r="F382" s="113">
        <f>F!J64</f>
        <v>24.327353881278576</v>
      </c>
      <c r="G382" s="113">
        <f>G!J64</f>
        <v>24.53</v>
      </c>
      <c r="H382" s="95">
        <f>YD!J64</f>
        <v>0</v>
      </c>
      <c r="I382" s="95">
        <f>I!J64</f>
        <v>0</v>
      </c>
      <c r="J382" s="95">
        <f>J!J64</f>
        <v>0</v>
      </c>
      <c r="K382" s="95"/>
      <c r="L382" s="95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9" t="s">
        <v>102</v>
      </c>
      <c r="B383" s="113">
        <f>B!J65</f>
        <v>23.879729368721453</v>
      </c>
      <c r="C383" s="113">
        <f>'C'!J65</f>
        <v>24.277777777777779</v>
      </c>
      <c r="D383" s="113">
        <f>D!J65</f>
        <v>24.277777777777779</v>
      </c>
      <c r="E383" s="113">
        <f>E!J65</f>
        <v>24.295252404737674</v>
      </c>
      <c r="F383" s="113">
        <f>F!J65</f>
        <v>24.2954691780822</v>
      </c>
      <c r="G383" s="113">
        <f>G!J65</f>
        <v>24.18</v>
      </c>
      <c r="H383" s="95">
        <f>YD!J65</f>
        <v>0</v>
      </c>
      <c r="I383" s="95">
        <f>I!J65</f>
        <v>0</v>
      </c>
      <c r="J383" s="95">
        <f>J!J65</f>
        <v>0</v>
      </c>
      <c r="K383" s="95"/>
      <c r="L383" s="95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9" t="s">
        <v>356</v>
      </c>
      <c r="B384" s="113">
        <f>B!J66</f>
        <v>23.875627816210084</v>
      </c>
      <c r="C384" s="113">
        <f>'C'!J66</f>
        <v>24.277777777777779</v>
      </c>
      <c r="D384" s="113">
        <f>D!J66</f>
        <v>24.277777777777779</v>
      </c>
      <c r="E384" s="113">
        <f>E!J66</f>
        <v>24.31049385776663</v>
      </c>
      <c r="F384" s="113">
        <f>F!J66</f>
        <v>24.308863013698669</v>
      </c>
      <c r="G384" s="113">
        <f>G!J66</f>
        <v>24.21</v>
      </c>
      <c r="H384" s="95">
        <f>YD!J66</f>
        <v>0</v>
      </c>
      <c r="I384" s="95">
        <f>I!J66</f>
        <v>0</v>
      </c>
      <c r="J384" s="95">
        <f>J!J66</f>
        <v>0</v>
      </c>
      <c r="K384" s="95"/>
      <c r="L384" s="95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9" t="s">
        <v>105</v>
      </c>
      <c r="B385" s="113">
        <f>B!J67</f>
        <v>25.659465613013619</v>
      </c>
      <c r="C385" s="113">
        <f>'C'!J67</f>
        <v>26.166666666666664</v>
      </c>
      <c r="D385" s="113">
        <f>D!J67</f>
        <v>26.166666666666664</v>
      </c>
      <c r="E385" s="113">
        <f>E!J67</f>
        <v>26.236826283362589</v>
      </c>
      <c r="F385" s="113">
        <f>F!J67</f>
        <v>26.268599315068546</v>
      </c>
      <c r="G385" s="113">
        <f>G!J67</f>
        <v>26.15</v>
      </c>
      <c r="H385" s="95">
        <f>YD!J67</f>
        <v>0</v>
      </c>
      <c r="I385" s="95">
        <f>I!J67</f>
        <v>0</v>
      </c>
      <c r="J385" s="95">
        <f>J!J67</f>
        <v>0</v>
      </c>
      <c r="K385" s="95"/>
      <c r="L385" s="95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9" t="s">
        <v>108</v>
      </c>
      <c r="B386" s="113">
        <f>B!J68</f>
        <v>25.364948660958916</v>
      </c>
      <c r="C386" s="113">
        <f>'C'!J68</f>
        <v>25.611111111111107</v>
      </c>
      <c r="D386" s="113">
        <f>D!J68</f>
        <v>25.555555555555554</v>
      </c>
      <c r="E386" s="113">
        <f>E!J68</f>
        <v>25.431118171998271</v>
      </c>
      <c r="F386" s="113">
        <f>F!J68</f>
        <v>25.480876712328794</v>
      </c>
      <c r="G386" s="113">
        <f>G!J68</f>
        <v>25.37</v>
      </c>
      <c r="H386" s="95">
        <f>YD!J68</f>
        <v>0</v>
      </c>
      <c r="I386" s="95">
        <f>I!J68</f>
        <v>0</v>
      </c>
      <c r="J386" s="95">
        <f>J!J68</f>
        <v>0</v>
      </c>
      <c r="K386" s="95"/>
      <c r="L386" s="95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9" t="s">
        <v>109</v>
      </c>
      <c r="B387" s="113">
        <f>B!J69</f>
        <v>24.126294471461257</v>
      </c>
      <c r="C387" s="113">
        <f>'C'!J69</f>
        <v>24.055555555555554</v>
      </c>
      <c r="D387" s="113">
        <f>D!J69</f>
        <v>24.055555555555554</v>
      </c>
      <c r="E387" s="113">
        <f>E!J69</f>
        <v>24.090459328599369</v>
      </c>
      <c r="F387" s="113">
        <f>F!J69</f>
        <v>0</v>
      </c>
      <c r="G387" s="113">
        <f>G!J69</f>
        <v>23.99</v>
      </c>
      <c r="H387" s="95">
        <f>YD!J69</f>
        <v>0</v>
      </c>
      <c r="I387" s="95">
        <f>I!J69</f>
        <v>0</v>
      </c>
      <c r="J387" s="95">
        <f>J!J69</f>
        <v>0</v>
      </c>
      <c r="K387" s="95"/>
      <c r="L387" s="95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9" t="s">
        <v>111</v>
      </c>
      <c r="B388" s="113">
        <f>B!J70</f>
        <v>24.122146412100513</v>
      </c>
      <c r="C388" s="113">
        <f>'C'!J70</f>
        <v>24.055555555555554</v>
      </c>
      <c r="D388" s="113">
        <f>D!J70</f>
        <v>24.055555555555554</v>
      </c>
      <c r="E388" s="113">
        <f>E!J70</f>
        <v>24.088989264750246</v>
      </c>
      <c r="F388" s="113">
        <f>F!J70</f>
        <v>0</v>
      </c>
      <c r="G388" s="113">
        <f>G!J70</f>
        <v>23.99</v>
      </c>
      <c r="H388" s="95">
        <f>YD!J70</f>
        <v>0</v>
      </c>
      <c r="I388" s="95">
        <f>I!J70</f>
        <v>0</v>
      </c>
      <c r="J388" s="95">
        <f>J!J70</f>
        <v>0</v>
      </c>
      <c r="K388" s="95"/>
      <c r="L388" s="95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9" t="s">
        <v>112</v>
      </c>
      <c r="B389" s="113">
        <f>B!J71</f>
        <v>23.926173912100584</v>
      </c>
      <c r="C389" s="113">
        <f>'C'!J71</f>
        <v>24.055555555555554</v>
      </c>
      <c r="D389" s="113">
        <f>D!J71</f>
        <v>24.055555555555554</v>
      </c>
      <c r="E389" s="113">
        <f>E!J71</f>
        <v>24.089038062089866</v>
      </c>
      <c r="F389" s="113">
        <f>F!J71</f>
        <v>0</v>
      </c>
      <c r="G389" s="113">
        <f>G!J71</f>
        <v>23.99</v>
      </c>
      <c r="H389" s="95">
        <f>YD!J71</f>
        <v>0</v>
      </c>
      <c r="I389" s="95">
        <f>I!J71</f>
        <v>0</v>
      </c>
      <c r="J389" s="95">
        <f>J!J71</f>
        <v>0</v>
      </c>
      <c r="K389" s="95"/>
      <c r="L389" s="95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9" t="s">
        <v>113</v>
      </c>
      <c r="B390" s="113">
        <f>B!J72</f>
        <v>23.991582428082271</v>
      </c>
      <c r="C390" s="113">
        <f>'C'!J72</f>
        <v>24.055555555555554</v>
      </c>
      <c r="D390" s="113">
        <f>D!J72</f>
        <v>24.055555555555554</v>
      </c>
      <c r="E390" s="113">
        <f>E!J72</f>
        <v>24.089030863511095</v>
      </c>
      <c r="F390" s="113">
        <f>F!J72</f>
        <v>0</v>
      </c>
      <c r="G390" s="113">
        <f>G!J72</f>
        <v>23.99</v>
      </c>
      <c r="H390" s="95">
        <f>YD!J72</f>
        <v>0</v>
      </c>
      <c r="I390" s="95">
        <f>I!J72</f>
        <v>0</v>
      </c>
      <c r="J390" s="95">
        <f>J!J72</f>
        <v>0</v>
      </c>
      <c r="K390" s="95"/>
      <c r="L390" s="95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9" t="s">
        <v>114</v>
      </c>
      <c r="B391" s="113">
        <f>B!J73</f>
        <v>23.91177118379002</v>
      </c>
      <c r="C391" s="113">
        <f>'C'!J73</f>
        <v>24.055555555555554</v>
      </c>
      <c r="D391" s="113">
        <f>D!J73</f>
        <v>24.055555555555554</v>
      </c>
      <c r="E391" s="113">
        <f>E!J73</f>
        <v>24.089066762619694</v>
      </c>
      <c r="F391" s="113">
        <f>F!J73</f>
        <v>0</v>
      </c>
      <c r="G391" s="113">
        <f>G!J73</f>
        <v>23.99</v>
      </c>
      <c r="H391" s="95">
        <f>YD!J73</f>
        <v>0</v>
      </c>
      <c r="I391" s="95">
        <f>I!J73</f>
        <v>0</v>
      </c>
      <c r="J391" s="95">
        <f>J!J73</f>
        <v>0</v>
      </c>
      <c r="K391" s="95"/>
      <c r="L391" s="95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9" t="s">
        <v>115</v>
      </c>
      <c r="B392" s="113">
        <f>B!J74</f>
        <v>20.234182794520542</v>
      </c>
      <c r="C392" s="113">
        <f>'C'!J74</f>
        <v>20.666666666666668</v>
      </c>
      <c r="D392" s="113">
        <f>D!J74</f>
        <v>20.555555555555554</v>
      </c>
      <c r="E392" s="113">
        <f>E!J74</f>
        <v>20.40369330062828</v>
      </c>
      <c r="F392" s="113">
        <f>F!J74</f>
        <v>21.097828767123321</v>
      </c>
      <c r="G392" s="113">
        <f>G!J74</f>
        <v>22.86</v>
      </c>
      <c r="H392" s="95">
        <f>YD!J74</f>
        <v>0</v>
      </c>
      <c r="I392" s="95">
        <f>I!J74</f>
        <v>0</v>
      </c>
      <c r="J392" s="95">
        <f>J!J74</f>
        <v>0</v>
      </c>
      <c r="K392" s="95"/>
      <c r="L392" s="95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9" t="s">
        <v>120</v>
      </c>
      <c r="B393" s="113">
        <f>B!J75</f>
        <v>24.572292429193926</v>
      </c>
      <c r="C393" s="113">
        <f>'C'!J75</f>
        <v>25</v>
      </c>
      <c r="D393" s="113">
        <f>D!J75</f>
        <v>25</v>
      </c>
      <c r="E393" s="113">
        <f>E!J75</f>
        <v>24.982691668938305</v>
      </c>
      <c r="F393" s="113">
        <f>F!J75</f>
        <v>25</v>
      </c>
      <c r="G393" s="113">
        <f>G!J75</f>
        <v>25</v>
      </c>
      <c r="H393" s="95">
        <f>YD!J75</f>
        <v>0</v>
      </c>
      <c r="I393" s="95">
        <f>I!J75</f>
        <v>0</v>
      </c>
      <c r="J393" s="95">
        <f>J!J75</f>
        <v>0</v>
      </c>
      <c r="K393" s="95"/>
      <c r="L393" s="95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9" t="s">
        <v>124</v>
      </c>
      <c r="B394" s="113">
        <f>B!J76</f>
        <v>25.816808224400845</v>
      </c>
      <c r="C394" s="113">
        <f>'C'!J76</f>
        <v>25.111111111111111</v>
      </c>
      <c r="D394" s="113">
        <f>D!J76</f>
        <v>25.111111111111111</v>
      </c>
      <c r="E394" s="113">
        <f>E!J76</f>
        <v>24.959722174661206</v>
      </c>
      <c r="F394" s="113">
        <f>F!J76</f>
        <v>25</v>
      </c>
      <c r="G394" s="113">
        <f>G!J76</f>
        <v>25</v>
      </c>
      <c r="H394" s="95">
        <f>YD!J76</f>
        <v>0</v>
      </c>
      <c r="I394" s="95">
        <f>I!J76</f>
        <v>0</v>
      </c>
      <c r="J394" s="95">
        <f>J!J76</f>
        <v>0</v>
      </c>
      <c r="K394" s="95"/>
      <c r="L394" s="95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9" t="s">
        <v>125</v>
      </c>
      <c r="B395" s="113">
        <f>B!J77</f>
        <v>13.51710186187217</v>
      </c>
      <c r="C395" s="113">
        <f>'C'!J77</f>
        <v>13.777777777777775</v>
      </c>
      <c r="D395" s="113">
        <f>D!J77</f>
        <v>13.722222222222225</v>
      </c>
      <c r="E395" s="113">
        <f>E!J77</f>
        <v>13.625903662770655</v>
      </c>
      <c r="F395" s="113">
        <f>F!J77</f>
        <v>14.142081050228299</v>
      </c>
      <c r="G395" s="113">
        <f>G!J77</f>
        <v>14.89</v>
      </c>
      <c r="H395" s="95">
        <f>YD!J77</f>
        <v>0</v>
      </c>
      <c r="I395" s="95">
        <f>I!J77</f>
        <v>0</v>
      </c>
      <c r="J395" s="95">
        <f>J!J77</f>
        <v>0</v>
      </c>
      <c r="K395" s="95"/>
      <c r="L395" s="95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9" t="s">
        <v>127</v>
      </c>
      <c r="B396" s="113">
        <f>B!J78</f>
        <v>16.945636687214613</v>
      </c>
      <c r="C396" s="113">
        <f>'C'!J78</f>
        <v>17.277777777777779</v>
      </c>
      <c r="D396" s="113">
        <f>D!J78</f>
        <v>17.222222222222221</v>
      </c>
      <c r="E396" s="113">
        <f>E!J78</f>
        <v>17.032731585935139</v>
      </c>
      <c r="F396" s="113">
        <f>F!J78</f>
        <v>17.729027397260282</v>
      </c>
      <c r="G396" s="113">
        <f>G!J78</f>
        <v>18.7</v>
      </c>
      <c r="H396" s="95">
        <f>YD!J78</f>
        <v>0</v>
      </c>
      <c r="I396" s="95">
        <f>I!J78</f>
        <v>0</v>
      </c>
      <c r="J396" s="95">
        <f>J!J78</f>
        <v>0</v>
      </c>
      <c r="K396" s="95"/>
      <c r="L396" s="95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9" t="s">
        <v>130</v>
      </c>
      <c r="B397" s="113">
        <f>B!J79</f>
        <v>26.844263271689471</v>
      </c>
      <c r="C397" s="113">
        <f>'C'!J79</f>
        <v>27.388888888888886</v>
      </c>
      <c r="D397" s="113">
        <f>D!J79</f>
        <v>27.277777777777771</v>
      </c>
      <c r="E397" s="113">
        <f>E!J79</f>
        <v>27.128669306311327</v>
      </c>
      <c r="F397" s="113">
        <f>F!J79</f>
        <v>27.770939497716959</v>
      </c>
      <c r="G397" s="113">
        <f>G!J79</f>
        <v>30.69</v>
      </c>
      <c r="H397" s="95">
        <f>YD!J79</f>
        <v>0</v>
      </c>
      <c r="I397" s="95">
        <f>I!J79</f>
        <v>0</v>
      </c>
      <c r="J397" s="95">
        <f>J!J79</f>
        <v>0</v>
      </c>
      <c r="K397" s="95"/>
      <c r="L397" s="95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9" t="s">
        <v>132</v>
      </c>
      <c r="B398" s="113">
        <f>B!J80</f>
        <v>20.025301170091296</v>
      </c>
      <c r="C398" s="113">
        <f>'C'!J80</f>
        <v>20.611111111111107</v>
      </c>
      <c r="D398" s="113">
        <f>D!J80</f>
        <v>20.555555555555554</v>
      </c>
      <c r="E398" s="113">
        <f>E!J80</f>
        <v>20.595094826643443</v>
      </c>
      <c r="F398" s="113">
        <f>F!J80</f>
        <v>21.097828767123321</v>
      </c>
      <c r="G398" s="113">
        <f>G!J80</f>
        <v>22.86</v>
      </c>
      <c r="H398" s="95">
        <f>YD!J80</f>
        <v>0</v>
      </c>
      <c r="I398" s="95">
        <f>I!J80</f>
        <v>0</v>
      </c>
      <c r="J398" s="95">
        <f>J!J80</f>
        <v>0</v>
      </c>
      <c r="K398" s="95"/>
      <c r="L398" s="95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9" t="s">
        <v>135</v>
      </c>
      <c r="B399" s="113">
        <f>B!J81</f>
        <v>13.289258955479395</v>
      </c>
      <c r="C399" s="113">
        <f>'C'!J81</f>
        <v>13.777777777777775</v>
      </c>
      <c r="D399" s="113">
        <f>D!J81</f>
        <v>13.722222222222225</v>
      </c>
      <c r="E399" s="113">
        <f>E!J81</f>
        <v>13.801722213423506</v>
      </c>
      <c r="F399" s="113">
        <f>F!J81</f>
        <v>14.140647260273958</v>
      </c>
      <c r="G399" s="113">
        <f>G!J81</f>
        <v>14.98</v>
      </c>
      <c r="H399" s="95">
        <f>YD!J81</f>
        <v>0</v>
      </c>
      <c r="I399" s="95">
        <f>I!J81</f>
        <v>0</v>
      </c>
      <c r="J399" s="95">
        <f>J!J81</f>
        <v>0</v>
      </c>
      <c r="K399" s="95"/>
      <c r="L399" s="95"/>
    </row>
    <row r="400" spans="1:28">
      <c r="A400" s="70" t="s">
        <v>138</v>
      </c>
      <c r="B400" s="113">
        <f>B!J82</f>
        <v>26.605193127853905</v>
      </c>
      <c r="C400" s="113">
        <f>'C'!J82</f>
        <v>27.333333333333336</v>
      </c>
      <c r="D400" s="113">
        <f>D!J82</f>
        <v>27.277777777777771</v>
      </c>
      <c r="E400" s="113">
        <f>E!J82</f>
        <v>27.321947471860025</v>
      </c>
      <c r="F400" s="113">
        <f>F!J82</f>
        <v>27.716633561643903</v>
      </c>
      <c r="G400" s="113">
        <f>G!J82</f>
        <v>30.69</v>
      </c>
      <c r="H400" s="95">
        <f>YD!J82</f>
        <v>0</v>
      </c>
      <c r="I400" s="95">
        <f>I!J82</f>
        <v>0</v>
      </c>
      <c r="J400" s="95">
        <f>J!J82</f>
        <v>0</v>
      </c>
      <c r="K400" s="95"/>
      <c r="L400" s="95"/>
    </row>
    <row r="401" spans="1:28">
      <c r="A401" s="110"/>
      <c r="B401" s="114"/>
      <c r="C401" s="114"/>
      <c r="D401" s="114"/>
      <c r="E401" s="114"/>
      <c r="F401" s="114"/>
      <c r="G401" s="114"/>
    </row>
    <row r="402" spans="1:28">
      <c r="A402" s="110"/>
      <c r="B402" s="114"/>
      <c r="C402" s="114"/>
      <c r="D402" s="114"/>
      <c r="E402" s="114"/>
      <c r="F402" s="114"/>
      <c r="G402" s="114"/>
    </row>
    <row r="403" spans="1:28">
      <c r="A403" s="110"/>
      <c r="B403" s="114"/>
      <c r="C403" s="114"/>
      <c r="D403" s="114"/>
      <c r="E403" s="114"/>
      <c r="F403" s="114"/>
      <c r="G403" s="114"/>
    </row>
    <row r="404" spans="1:28">
      <c r="A404" s="110"/>
      <c r="B404" s="114"/>
      <c r="C404" s="114"/>
      <c r="D404" s="114"/>
      <c r="E404" s="114"/>
      <c r="F404" s="114"/>
      <c r="G404" s="114"/>
    </row>
    <row r="405" spans="1:28">
      <c r="A405" s="110"/>
      <c r="B405" s="114"/>
      <c r="C405" s="114"/>
      <c r="D405" s="114"/>
      <c r="E405" s="114"/>
      <c r="F405" s="114"/>
      <c r="G405" s="114"/>
    </row>
    <row r="406" spans="1:28">
      <c r="A406" s="110"/>
      <c r="B406" s="114"/>
      <c r="C406" s="114"/>
      <c r="D406" s="114"/>
      <c r="E406" s="114"/>
      <c r="F406" s="114"/>
      <c r="G406" s="114"/>
    </row>
    <row r="407" spans="1:28">
      <c r="A407" t="s">
        <v>20</v>
      </c>
      <c r="B407" s="114"/>
      <c r="C407" s="114"/>
      <c r="D407" s="114"/>
      <c r="E407" s="114"/>
      <c r="F407" s="114"/>
      <c r="G407" s="114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245</v>
      </c>
      <c r="C409" s="10" t="s">
        <v>257</v>
      </c>
      <c r="D409" s="10" t="s">
        <v>258</v>
      </c>
      <c r="E409" s="10" t="s">
        <v>515</v>
      </c>
      <c r="F409" s="10" t="s">
        <v>373</v>
      </c>
      <c r="G409" s="10" t="s">
        <v>482</v>
      </c>
      <c r="H409" s="10" t="s">
        <v>516</v>
      </c>
      <c r="I409" s="10" t="s">
        <v>517</v>
      </c>
      <c r="J409" s="10" t="s">
        <v>517</v>
      </c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9" t="s">
        <v>91</v>
      </c>
      <c r="B410" s="114">
        <f>B!K62</f>
        <v>9.0690822031963426E-3</v>
      </c>
      <c r="C410" s="114">
        <f>'C'!K62</f>
        <v>9.1999999999999998E-3</v>
      </c>
      <c r="D410" s="114">
        <f>D!K62</f>
        <v>9.1999999999999998E-3</v>
      </c>
      <c r="E410" s="114">
        <f>E!K62</f>
        <v>9.1653821331974944E-3</v>
      </c>
      <c r="F410" s="114">
        <f>F!K62</f>
        <v>9.1748202054794236E-3</v>
      </c>
      <c r="G410" s="114">
        <f>G!K62</f>
        <v>9.1999999999999998E-3</v>
      </c>
      <c r="H410" s="114">
        <f>YD!K62</f>
        <v>0</v>
      </c>
      <c r="I410" s="114">
        <f>I!K62</f>
        <v>0</v>
      </c>
      <c r="J410" s="114">
        <f>J!K62</f>
        <v>0</v>
      </c>
      <c r="K410" s="114"/>
      <c r="L410" s="114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9" t="s">
        <v>96</v>
      </c>
      <c r="B411" s="114">
        <f>B!K63</f>
        <v>1.1070886085616464E-2</v>
      </c>
      <c r="C411" s="114">
        <f>'C'!K63</f>
        <v>1.1299999999999999E-2</v>
      </c>
      <c r="D411" s="114">
        <f>D!K63</f>
        <v>1.1299999999999999E-2</v>
      </c>
      <c r="E411" s="114">
        <f>E!K63</f>
        <v>1.1153501222074636E-2</v>
      </c>
      <c r="F411" s="114">
        <f>F!K63</f>
        <v>1.1174638812785374E-2</v>
      </c>
      <c r="G411" s="114">
        <f>G!K63</f>
        <v>1.11E-2</v>
      </c>
      <c r="H411" s="114">
        <f>YD!K63</f>
        <v>0</v>
      </c>
      <c r="I411" s="114">
        <f>I!K63</f>
        <v>0</v>
      </c>
      <c r="J411" s="114">
        <f>J!K63</f>
        <v>0</v>
      </c>
      <c r="K411" s="114"/>
      <c r="L411" s="114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9" t="s">
        <v>98</v>
      </c>
      <c r="B412" s="114">
        <f>B!K64</f>
        <v>9.9880373253424821E-3</v>
      </c>
      <c r="C412" s="114">
        <f>'C'!K64</f>
        <v>1.01E-2</v>
      </c>
      <c r="D412" s="114">
        <f>D!K64</f>
        <v>1.01E-2</v>
      </c>
      <c r="E412" s="114">
        <f>E!K64</f>
        <v>1.0036880698076376E-2</v>
      </c>
      <c r="F412" s="114">
        <f>F!K64</f>
        <v>1.0049198972602738E-2</v>
      </c>
      <c r="G412" s="114">
        <f>G!K64</f>
        <v>9.9000000000000008E-3</v>
      </c>
      <c r="H412" s="114">
        <f>YD!K64</f>
        <v>0</v>
      </c>
      <c r="I412" s="114">
        <f>I!K64</f>
        <v>0</v>
      </c>
      <c r="J412" s="114">
        <f>J!K64</f>
        <v>0</v>
      </c>
      <c r="K412" s="114"/>
      <c r="L412" s="114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9" t="s">
        <v>102</v>
      </c>
      <c r="B413" s="114">
        <f>B!K65</f>
        <v>9.7409446187214678E-3</v>
      </c>
      <c r="C413" s="114">
        <f>'C'!K65</f>
        <v>9.9000000000000008E-3</v>
      </c>
      <c r="D413" s="114">
        <f>D!K65</f>
        <v>9.9000000000000008E-3</v>
      </c>
      <c r="E413" s="114">
        <f>E!K65</f>
        <v>9.8805750640062039E-3</v>
      </c>
      <c r="F413" s="114">
        <f>F!K65</f>
        <v>9.8116047945205134E-3</v>
      </c>
      <c r="G413" s="114">
        <f>G!K65</f>
        <v>9.9000000000000008E-3</v>
      </c>
      <c r="H413" s="114">
        <f>YD!K65</f>
        <v>0</v>
      </c>
      <c r="I413" s="114">
        <f>I!K65</f>
        <v>0</v>
      </c>
      <c r="J413" s="114">
        <f>J!K65</f>
        <v>0</v>
      </c>
      <c r="K413" s="114"/>
      <c r="L413" s="114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9" t="s">
        <v>356</v>
      </c>
      <c r="B414" s="114">
        <f>B!K66</f>
        <v>9.7914059041095854E-3</v>
      </c>
      <c r="C414" s="114">
        <f>'C'!K66</f>
        <v>9.9000000000000008E-3</v>
      </c>
      <c r="D414" s="114">
        <f>D!K66</f>
        <v>9.9000000000000008E-3</v>
      </c>
      <c r="E414" s="114">
        <f>E!K66</f>
        <v>9.9021303434107723E-3</v>
      </c>
      <c r="F414" s="114">
        <f>F!K66</f>
        <v>9.8683336757990694E-3</v>
      </c>
      <c r="G414" s="114">
        <f>G!K66</f>
        <v>9.9000000000000008E-3</v>
      </c>
      <c r="H414" s="114">
        <f>YD!K66</f>
        <v>0</v>
      </c>
      <c r="I414" s="114">
        <f>I!K66</f>
        <v>0</v>
      </c>
      <c r="J414" s="114">
        <f>J!K66</f>
        <v>0</v>
      </c>
      <c r="K414" s="114"/>
      <c r="L414" s="114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9" t="s">
        <v>105</v>
      </c>
      <c r="B415" s="114">
        <f>B!K67</f>
        <v>9.705930864155235E-3</v>
      </c>
      <c r="C415" s="114">
        <f>'C'!K67</f>
        <v>0.01</v>
      </c>
      <c r="D415" s="114">
        <f>D!K67</f>
        <v>0.01</v>
      </c>
      <c r="E415" s="114">
        <f>E!K67</f>
        <v>9.7963736705359641E-3</v>
      </c>
      <c r="F415" s="114">
        <f>F!K67</f>
        <v>9.7585481735159314E-3</v>
      </c>
      <c r="G415" s="114">
        <f>G!K67</f>
        <v>9.7699999999999992E-3</v>
      </c>
      <c r="H415" s="114">
        <f>YD!K67</f>
        <v>0</v>
      </c>
      <c r="I415" s="114">
        <f>I!K67</f>
        <v>0</v>
      </c>
      <c r="J415" s="114">
        <f>J!K67</f>
        <v>0</v>
      </c>
      <c r="K415" s="114"/>
      <c r="L415" s="114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9" t="s">
        <v>108</v>
      </c>
      <c r="B416" s="114">
        <f>B!K68</f>
        <v>8.4994811107306049E-3</v>
      </c>
      <c r="C416" s="114">
        <f>'C'!K68</f>
        <v>8.6999999999999994E-3</v>
      </c>
      <c r="D416" s="114">
        <f>D!K68</f>
        <v>8.6999999999999994E-3</v>
      </c>
      <c r="E416" s="114">
        <f>E!K68</f>
        <v>8.6062916094321474E-3</v>
      </c>
      <c r="F416" s="114">
        <f>F!K68</f>
        <v>8.552449543378967E-3</v>
      </c>
      <c r="G416" s="114">
        <f>G!K68</f>
        <v>8.5800000000000008E-3</v>
      </c>
      <c r="H416" s="114">
        <f>YD!K68</f>
        <v>0</v>
      </c>
      <c r="I416" s="114">
        <f>I!K68</f>
        <v>0</v>
      </c>
      <c r="J416" s="114">
        <f>J!K68</f>
        <v>0</v>
      </c>
      <c r="K416" s="114"/>
      <c r="L416" s="114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9" t="s">
        <v>109</v>
      </c>
      <c r="B417" s="114">
        <f>B!K69</f>
        <v>9.8011450958904334E-3</v>
      </c>
      <c r="C417" s="114">
        <f>'C'!K69</f>
        <v>0.01</v>
      </c>
      <c r="D417" s="114">
        <f>D!K69</f>
        <v>0.01</v>
      </c>
      <c r="E417" s="114">
        <f>E!K69</f>
        <v>1.0041896100711798E-2</v>
      </c>
      <c r="F417" s="114">
        <f>F!K69</f>
        <v>0</v>
      </c>
      <c r="G417" s="114">
        <f>G!K69</f>
        <v>0.01</v>
      </c>
      <c r="H417" s="114">
        <f>YD!K69</f>
        <v>0</v>
      </c>
      <c r="I417" s="114">
        <f>I!K69</f>
        <v>0</v>
      </c>
      <c r="J417" s="114">
        <f>J!K69</f>
        <v>0</v>
      </c>
      <c r="K417" s="114"/>
      <c r="L417" s="114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9" t="s">
        <v>111</v>
      </c>
      <c r="B418" s="114">
        <f>B!K70</f>
        <v>9.7404771940639307E-3</v>
      </c>
      <c r="C418" s="114">
        <f>'C'!K70</f>
        <v>9.4999999999999998E-3</v>
      </c>
      <c r="D418" s="114">
        <f>D!K70</f>
        <v>9.4999999999999998E-3</v>
      </c>
      <c r="E418" s="114">
        <f>E!K70</f>
        <v>9.4822829454586158E-3</v>
      </c>
      <c r="F418" s="114">
        <f>F!K70</f>
        <v>0</v>
      </c>
      <c r="G418" s="114">
        <f>G!K70</f>
        <v>9.4999999999999998E-3</v>
      </c>
      <c r="H418" s="114">
        <f>YD!K70</f>
        <v>0</v>
      </c>
      <c r="I418" s="114">
        <f>I!K70</f>
        <v>0</v>
      </c>
      <c r="J418" s="114">
        <f>J!K70</f>
        <v>0</v>
      </c>
      <c r="K418" s="114"/>
      <c r="L418" s="114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9" t="s">
        <v>112</v>
      </c>
      <c r="B419" s="114">
        <f>B!K71</f>
        <v>9.2638875388127741E-3</v>
      </c>
      <c r="C419" s="114">
        <f>'C'!K71</f>
        <v>9.4000000000000004E-3</v>
      </c>
      <c r="D419" s="114">
        <f>D!K71</f>
        <v>9.4000000000000004E-3</v>
      </c>
      <c r="E419" s="114">
        <f>E!K71</f>
        <v>9.3475580551083751E-3</v>
      </c>
      <c r="F419" s="114">
        <f>F!K71</f>
        <v>0</v>
      </c>
      <c r="G419" s="114">
        <f>G!K71</f>
        <v>9.2999999999999992E-3</v>
      </c>
      <c r="H419" s="114">
        <f>YD!K71</f>
        <v>0</v>
      </c>
      <c r="I419" s="114">
        <f>I!K71</f>
        <v>0</v>
      </c>
      <c r="J419" s="114">
        <f>J!K71</f>
        <v>0</v>
      </c>
      <c r="K419" s="114"/>
      <c r="L419" s="114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9" t="s">
        <v>113</v>
      </c>
      <c r="B420" s="114">
        <f>B!K72</f>
        <v>9.310276779680382E-3</v>
      </c>
      <c r="C420" s="114">
        <f>'C'!K72</f>
        <v>9.4000000000000004E-3</v>
      </c>
      <c r="D420" s="114">
        <f>D!K72</f>
        <v>9.4000000000000004E-3</v>
      </c>
      <c r="E420" s="114">
        <f>E!K72</f>
        <v>9.3870109180310014E-3</v>
      </c>
      <c r="F420" s="114">
        <f>F!K72</f>
        <v>0</v>
      </c>
      <c r="G420" s="114">
        <f>G!K72</f>
        <v>9.4000000000000004E-3</v>
      </c>
      <c r="H420" s="114">
        <f>YD!K72</f>
        <v>0</v>
      </c>
      <c r="I420" s="114">
        <f>I!K72</f>
        <v>0</v>
      </c>
      <c r="J420" s="114">
        <f>J!K72</f>
        <v>0</v>
      </c>
      <c r="K420" s="114"/>
      <c r="L420" s="114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9" t="s">
        <v>114</v>
      </c>
      <c r="B421" s="114">
        <f>B!K73</f>
        <v>9.1578199486301911E-3</v>
      </c>
      <c r="C421" s="114">
        <f>'C'!K73</f>
        <v>9.2999999999999992E-3</v>
      </c>
      <c r="D421" s="114">
        <f>D!K73</f>
        <v>9.2999999999999992E-3</v>
      </c>
      <c r="E421" s="114">
        <f>E!K73</f>
        <v>9.2306979115424643E-3</v>
      </c>
      <c r="F421" s="114">
        <f>F!K73</f>
        <v>0</v>
      </c>
      <c r="G421" s="114">
        <f>G!K73</f>
        <v>9.1999999999999998E-3</v>
      </c>
      <c r="H421" s="114">
        <f>YD!K73</f>
        <v>0</v>
      </c>
      <c r="I421" s="114">
        <f>I!K73</f>
        <v>0</v>
      </c>
      <c r="J421" s="114">
        <f>J!K73</f>
        <v>0</v>
      </c>
      <c r="K421" s="114"/>
      <c r="L421" s="114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9" t="s">
        <v>115</v>
      </c>
      <c r="B422" s="114">
        <f>B!K74</f>
        <v>9.7752996655252524E-3</v>
      </c>
      <c r="C422" s="114">
        <f>'C'!K74</f>
        <v>0</v>
      </c>
      <c r="D422" s="114">
        <f>D!K74</f>
        <v>0</v>
      </c>
      <c r="E422" s="114">
        <f>E!K74</f>
        <v>9.1456287851062121E-3</v>
      </c>
      <c r="F422" s="114">
        <f>F!K74</f>
        <v>1.0218289383561367E-2</v>
      </c>
      <c r="G422" s="114">
        <f>G!K74</f>
        <v>1.0699999999999999E-2</v>
      </c>
      <c r="H422" s="114">
        <f>YD!K74</f>
        <v>0</v>
      </c>
      <c r="I422" s="114">
        <f>I!K74</f>
        <v>0</v>
      </c>
      <c r="J422" s="114">
        <f>J!K74</f>
        <v>0</v>
      </c>
      <c r="K422" s="114"/>
      <c r="L422" s="114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9" t="s">
        <v>120</v>
      </c>
      <c r="B423" s="114">
        <f>B!K75</f>
        <v>1.1020851416122001E-2</v>
      </c>
      <c r="C423" s="114">
        <f>'C'!K75</f>
        <v>1.14E-2</v>
      </c>
      <c r="D423" s="114">
        <f>D!K75</f>
        <v>1.14E-2</v>
      </c>
      <c r="E423" s="114">
        <f>E!K75</f>
        <v>1.0999349072433219E-2</v>
      </c>
      <c r="F423" s="114">
        <f>F!K75</f>
        <v>1.1329294934640546E-2</v>
      </c>
      <c r="G423" s="114">
        <f>G!K75</f>
        <v>1.09E-2</v>
      </c>
      <c r="H423" s="114">
        <f>YD!K75</f>
        <v>0</v>
      </c>
      <c r="I423" s="114">
        <f>I!K75</f>
        <v>0</v>
      </c>
      <c r="J423" s="114">
        <f>J!K75</f>
        <v>0</v>
      </c>
      <c r="K423" s="114"/>
      <c r="L423" s="114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9" t="s">
        <v>124</v>
      </c>
      <c r="B424" s="114">
        <f>B!K76</f>
        <v>1.1395419907407389E-2</v>
      </c>
      <c r="C424" s="114">
        <f>'C'!K76</f>
        <v>1.14E-2</v>
      </c>
      <c r="D424" s="114">
        <f>D!K76</f>
        <v>1.14E-2</v>
      </c>
      <c r="E424" s="114">
        <f>E!K76</f>
        <v>1.1007725927302797E-2</v>
      </c>
      <c r="F424" s="114">
        <f>F!K76</f>
        <v>1.1328404956427012E-2</v>
      </c>
      <c r="G424" s="114">
        <f>G!K76</f>
        <v>1.09E-2</v>
      </c>
      <c r="H424" s="114">
        <f>YD!K76</f>
        <v>0</v>
      </c>
      <c r="I424" s="114">
        <f>I!K76</f>
        <v>0</v>
      </c>
      <c r="J424" s="114">
        <f>J!K76</f>
        <v>0</v>
      </c>
      <c r="K424" s="114"/>
      <c r="L424" s="114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9" t="s">
        <v>125</v>
      </c>
      <c r="B425" s="114">
        <f>B!K77</f>
        <v>6.6924052328766054E-3</v>
      </c>
      <c r="C425" s="114">
        <f>'C'!K77</f>
        <v>0</v>
      </c>
      <c r="D425" s="114">
        <f>D!K77</f>
        <v>0</v>
      </c>
      <c r="E425" s="114">
        <f>E!K77</f>
        <v>6.0156927748213629E-3</v>
      </c>
      <c r="F425" s="114">
        <f>F!K77</f>
        <v>7.0233744292240554E-3</v>
      </c>
      <c r="G425" s="114">
        <f>G!K77</f>
        <v>7.6299999999999996E-3</v>
      </c>
      <c r="H425" s="114">
        <f>YD!K77</f>
        <v>0</v>
      </c>
      <c r="I425" s="114">
        <f>I!K77</f>
        <v>0</v>
      </c>
      <c r="J425" s="114">
        <f>J!K77</f>
        <v>0</v>
      </c>
      <c r="K425" s="114"/>
      <c r="L425" s="114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9" t="s">
        <v>127</v>
      </c>
      <c r="B426" s="114">
        <f>B!K78</f>
        <v>8.1904468938349267E-3</v>
      </c>
      <c r="C426" s="114">
        <f>'C'!K78</f>
        <v>0</v>
      </c>
      <c r="D426" s="114">
        <f>D!K78</f>
        <v>0</v>
      </c>
      <c r="E426" s="114">
        <f>E!K78</f>
        <v>7.480528641157785E-3</v>
      </c>
      <c r="F426" s="114">
        <f>F!K78</f>
        <v>8.5797287671236355E-3</v>
      </c>
      <c r="G426" s="114">
        <f>G!K78</f>
        <v>9.0100000000000006E-3</v>
      </c>
      <c r="H426" s="114">
        <f>YD!K78</f>
        <v>0</v>
      </c>
      <c r="I426" s="114">
        <f>I!K78</f>
        <v>0</v>
      </c>
      <c r="J426" s="114">
        <f>J!K78</f>
        <v>0</v>
      </c>
      <c r="K426" s="114"/>
      <c r="L426" s="114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9" t="s">
        <v>130</v>
      </c>
      <c r="B427" s="114">
        <f>B!K79</f>
        <v>1.3712712512557254E-2</v>
      </c>
      <c r="C427" s="114">
        <f>'C'!K79</f>
        <v>0</v>
      </c>
      <c r="D427" s="114">
        <f>D!K79</f>
        <v>0</v>
      </c>
      <c r="E427" s="114">
        <f>E!K79</f>
        <v>1.3380293530455892E-2</v>
      </c>
      <c r="F427" s="114">
        <f>F!K79</f>
        <v>1.3980307305935722E-2</v>
      </c>
      <c r="G427" s="114">
        <f>G!K79</f>
        <v>1.5100000000000001E-2</v>
      </c>
      <c r="H427" s="114">
        <f>YD!K79</f>
        <v>0</v>
      </c>
      <c r="I427" s="114">
        <f>I!K79</f>
        <v>0</v>
      </c>
      <c r="J427" s="114">
        <f>J!K79</f>
        <v>0</v>
      </c>
      <c r="K427" s="114"/>
      <c r="L427" s="114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9" t="s">
        <v>132</v>
      </c>
      <c r="B428" s="114">
        <f>B!K80</f>
        <v>6.2265487134692283E-3</v>
      </c>
      <c r="C428" s="114">
        <f>'C'!K80</f>
        <v>0</v>
      </c>
      <c r="D428" s="114">
        <f>D!K80</f>
        <v>0</v>
      </c>
      <c r="E428" s="114">
        <f>E!K80</f>
        <v>6.4847631667446564E-3</v>
      </c>
      <c r="F428" s="114">
        <f>F!K80</f>
        <v>5.7975094748851539E-3</v>
      </c>
      <c r="G428" s="114">
        <f>G!K80</f>
        <v>6.6699999999999997E-3</v>
      </c>
      <c r="H428" s="114">
        <f>YD!K80</f>
        <v>0</v>
      </c>
      <c r="I428" s="114">
        <f>I!K80</f>
        <v>0</v>
      </c>
      <c r="J428" s="114">
        <f>J!K80</f>
        <v>0</v>
      </c>
      <c r="K428" s="114"/>
      <c r="L428" s="114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9" t="s">
        <v>135</v>
      </c>
      <c r="B429" s="114">
        <f>B!K81</f>
        <v>4.4601085502286733E-3</v>
      </c>
      <c r="C429" s="114">
        <f>'C'!K81</f>
        <v>0</v>
      </c>
      <c r="D429" s="114">
        <f>D!K81</f>
        <v>0</v>
      </c>
      <c r="E429" s="114">
        <f>E!K81</f>
        <v>4.3402179002156359E-3</v>
      </c>
      <c r="F429" s="114">
        <f>F!K81</f>
        <v>3.8545738584480375E-3</v>
      </c>
      <c r="G429" s="114">
        <f>G!K81</f>
        <v>4.6299999999999996E-3</v>
      </c>
      <c r="H429" s="114">
        <f>YD!K81</f>
        <v>0</v>
      </c>
      <c r="I429" s="114">
        <f>I!K81</f>
        <v>0</v>
      </c>
      <c r="J429" s="114">
        <f>J!K81</f>
        <v>0</v>
      </c>
      <c r="K429" s="114"/>
      <c r="L429" s="114"/>
    </row>
    <row r="430" spans="1:28">
      <c r="A430" s="70" t="s">
        <v>138</v>
      </c>
      <c r="B430" s="114">
        <f>B!K82</f>
        <v>6.2265487134692283E-3</v>
      </c>
      <c r="C430" s="114">
        <f>'C'!K82</f>
        <v>0</v>
      </c>
      <c r="D430" s="114">
        <f>D!K82</f>
        <v>0</v>
      </c>
      <c r="E430" s="114">
        <f>E!K82</f>
        <v>6.7479414957845674E-3</v>
      </c>
      <c r="F430" s="114">
        <f>F!K82</f>
        <v>6.7490358447480567E-3</v>
      </c>
      <c r="G430" s="114">
        <f>G!K82</f>
        <v>7.2199999999999999E-3</v>
      </c>
      <c r="H430" s="114">
        <f>YD!K82</f>
        <v>0</v>
      </c>
      <c r="I430" s="114">
        <f>I!K82</f>
        <v>0</v>
      </c>
      <c r="J430" s="114">
        <f>J!K82</f>
        <v>0</v>
      </c>
      <c r="K430" s="114"/>
      <c r="L430" s="114"/>
    </row>
    <row r="437" spans="1:12">
      <c r="A437" t="s">
        <v>228</v>
      </c>
      <c r="B437" s="114"/>
      <c r="C437" s="114"/>
      <c r="D437" s="114"/>
      <c r="E437" s="114"/>
      <c r="F437" s="114"/>
      <c r="G437" s="114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245</v>
      </c>
      <c r="C439" s="10" t="s">
        <v>257</v>
      </c>
      <c r="D439" s="10" t="s">
        <v>258</v>
      </c>
      <c r="E439" s="10" t="s">
        <v>515</v>
      </c>
      <c r="F439" s="10" t="s">
        <v>373</v>
      </c>
      <c r="G439" s="10" t="s">
        <v>482</v>
      </c>
      <c r="H439" s="10" t="s">
        <v>516</v>
      </c>
      <c r="I439" s="10" t="s">
        <v>517</v>
      </c>
      <c r="J439" s="10" t="s">
        <v>517</v>
      </c>
    </row>
    <row r="440" spans="1:12">
      <c r="A440" s="69" t="s">
        <v>91</v>
      </c>
      <c r="B440" s="113">
        <f>B!L62</f>
        <v>48.614860102739854</v>
      </c>
      <c r="C440" s="113">
        <f>'C'!L62</f>
        <v>48.26</v>
      </c>
      <c r="D440" s="113">
        <f>D!L62</f>
        <v>48.28</v>
      </c>
      <c r="E440" s="113">
        <f>E!L62</f>
        <v>47.944742213612329</v>
      </c>
      <c r="F440" s="113">
        <f>F!L62</f>
        <v>47.82614155251165</v>
      </c>
      <c r="G440" s="113">
        <f>G!L62</f>
        <v>47.93</v>
      </c>
      <c r="H440" s="95">
        <f>YD!L62</f>
        <v>0</v>
      </c>
      <c r="I440" s="95">
        <f>I!L62</f>
        <v>0</v>
      </c>
      <c r="J440" s="95">
        <f>J!L62</f>
        <v>0</v>
      </c>
      <c r="K440" s="95"/>
      <c r="L440" s="95"/>
    </row>
    <row r="441" spans="1:12">
      <c r="A441" s="69" t="s">
        <v>96</v>
      </c>
      <c r="B441" s="113">
        <f>B!L63</f>
        <v>58.330700913241614</v>
      </c>
      <c r="C441" s="113">
        <f>'C'!L63</f>
        <v>58.51</v>
      </c>
      <c r="D441" s="113">
        <f>D!L63</f>
        <v>58.53</v>
      </c>
      <c r="E441" s="113">
        <f>E!L63</f>
        <v>57.961046186027652</v>
      </c>
      <c r="F441" s="113">
        <f>F!L63</f>
        <v>57.840981735158394</v>
      </c>
      <c r="G441" s="113">
        <f>G!L63</f>
        <v>57.8</v>
      </c>
      <c r="H441" s="95">
        <f>YD!L63</f>
        <v>0</v>
      </c>
      <c r="I441" s="95">
        <f>I!L63</f>
        <v>0</v>
      </c>
      <c r="J441" s="95">
        <f>J!L63</f>
        <v>0</v>
      </c>
      <c r="K441" s="95"/>
      <c r="L441" s="95"/>
    </row>
    <row r="442" spans="1:12">
      <c r="A442" s="69" t="s">
        <v>98</v>
      </c>
      <c r="B442" s="113">
        <f>B!L64</f>
        <v>52.00530301369875</v>
      </c>
      <c r="C442" s="113">
        <f>'C'!L64</f>
        <v>51.21</v>
      </c>
      <c r="D442" s="113">
        <f>D!L64</f>
        <v>51.25</v>
      </c>
      <c r="E442" s="113">
        <f>E!L64</f>
        <v>51.453078413480725</v>
      </c>
      <c r="F442" s="113">
        <f>F!L64</f>
        <v>51.103424657534461</v>
      </c>
      <c r="G442" s="113">
        <f>G!L64</f>
        <v>49.94</v>
      </c>
      <c r="H442" s="95">
        <f>YD!L64</f>
        <v>0</v>
      </c>
      <c r="I442" s="95">
        <f>I!L64</f>
        <v>0</v>
      </c>
      <c r="J442" s="95">
        <f>J!L64</f>
        <v>0</v>
      </c>
      <c r="K442" s="95"/>
      <c r="L442" s="95"/>
    </row>
    <row r="443" spans="1:12">
      <c r="A443" s="69" t="s">
        <v>102</v>
      </c>
      <c r="B443" s="113">
        <f>B!L65</f>
        <v>50.844470547945278</v>
      </c>
      <c r="C443" s="113">
        <f>'C'!L65</f>
        <v>50.58</v>
      </c>
      <c r="D443" s="113">
        <f>D!L65</f>
        <v>50.65</v>
      </c>
      <c r="E443" s="113">
        <f>E!L65</f>
        <v>50.606484961362192</v>
      </c>
      <c r="F443" s="113">
        <f>F!L65</f>
        <v>50.084817351598268</v>
      </c>
      <c r="G443" s="113">
        <f>G!L65</f>
        <v>50.7</v>
      </c>
      <c r="H443" s="95">
        <f>YD!L65</f>
        <v>0</v>
      </c>
      <c r="I443" s="95">
        <f>I!L65</f>
        <v>0</v>
      </c>
      <c r="J443" s="95">
        <f>J!L65</f>
        <v>0</v>
      </c>
      <c r="K443" s="95"/>
      <c r="L443" s="95"/>
    </row>
    <row r="444" spans="1:12">
      <c r="A444" s="69" t="s">
        <v>356</v>
      </c>
      <c r="B444" s="113">
        <f>B!L66</f>
        <v>51.085032043379037</v>
      </c>
      <c r="C444" s="113">
        <f>'C'!L66</f>
        <v>50.69</v>
      </c>
      <c r="D444" s="113">
        <f>D!L66</f>
        <v>50.73</v>
      </c>
      <c r="E444" s="113">
        <f>E!L66</f>
        <v>50.64738437733039</v>
      </c>
      <c r="F444" s="113">
        <f>F!L66</f>
        <v>50.296689497717153</v>
      </c>
      <c r="G444" s="113">
        <f>G!L66</f>
        <v>50.78</v>
      </c>
      <c r="H444" s="95">
        <f>YD!L66</f>
        <v>0</v>
      </c>
      <c r="I444" s="95">
        <f>I!L66</f>
        <v>0</v>
      </c>
      <c r="J444" s="95">
        <f>J!L66</f>
        <v>0</v>
      </c>
      <c r="K444" s="95"/>
      <c r="L444" s="95"/>
    </row>
    <row r="445" spans="1:12">
      <c r="A445" s="69" t="s">
        <v>105</v>
      </c>
      <c r="B445" s="113">
        <f>B!L67</f>
        <v>45.48395562785403</v>
      </c>
      <c r="C445" s="113">
        <f>'C'!L67</f>
        <v>45.45</v>
      </c>
      <c r="D445" s="113">
        <f>D!L67</f>
        <v>45.55</v>
      </c>
      <c r="E445" s="113">
        <f>E!L67</f>
        <v>44.59421052922886</v>
      </c>
      <c r="F445" s="113">
        <f>F!L67</f>
        <v>44.316210045662174</v>
      </c>
      <c r="G445" s="113">
        <f>G!L67</f>
        <v>44.56</v>
      </c>
      <c r="H445" s="95">
        <f>YD!L67</f>
        <v>0</v>
      </c>
      <c r="I445" s="95">
        <f>I!L67</f>
        <v>0</v>
      </c>
      <c r="J445" s="95">
        <f>J!L67</f>
        <v>0</v>
      </c>
      <c r="K445" s="95"/>
      <c r="L445" s="95"/>
    </row>
    <row r="446" spans="1:12">
      <c r="A446" s="69" t="s">
        <v>108</v>
      </c>
      <c r="B446" s="113">
        <f>B!L68</f>
        <v>41.033473984018258</v>
      </c>
      <c r="C446" s="113">
        <f>'C'!L68</f>
        <v>41.49</v>
      </c>
      <c r="D446" s="113">
        <f>D!L68</f>
        <v>41.49</v>
      </c>
      <c r="E446" s="113">
        <f>E!L68</f>
        <v>41.363700199361176</v>
      </c>
      <c r="F446" s="113">
        <f>F!L68</f>
        <v>40.87100456621188</v>
      </c>
      <c r="G446" s="113">
        <f>G!L68</f>
        <v>41.21</v>
      </c>
      <c r="H446" s="95">
        <f>YD!L68</f>
        <v>0</v>
      </c>
      <c r="I446" s="95">
        <f>I!L68</f>
        <v>0</v>
      </c>
      <c r="J446" s="95">
        <f>J!L68</f>
        <v>0</v>
      </c>
      <c r="K446" s="95"/>
      <c r="L446" s="95"/>
    </row>
    <row r="447" spans="1:12">
      <c r="A447" s="69" t="s">
        <v>109</v>
      </c>
      <c r="B447" s="113">
        <f>B!L69</f>
        <v>50.770897728310473</v>
      </c>
      <c r="C447" s="113">
        <f>'C'!L69</f>
        <v>52.21</v>
      </c>
      <c r="D447" s="113">
        <f>D!L69</f>
        <v>52.25</v>
      </c>
      <c r="E447" s="113">
        <f>E!L69</f>
        <v>52.274581697959078</v>
      </c>
      <c r="F447" s="113">
        <f>F!L69</f>
        <v>0</v>
      </c>
      <c r="G447" s="113">
        <f>G!L69</f>
        <v>52.01</v>
      </c>
      <c r="H447" s="95">
        <f>YD!L69</f>
        <v>0</v>
      </c>
      <c r="I447" s="95">
        <f>I!L69</f>
        <v>0</v>
      </c>
      <c r="J447" s="95">
        <f>J!L69</f>
        <v>0</v>
      </c>
      <c r="K447" s="95"/>
      <c r="L447" s="95"/>
    </row>
    <row r="448" spans="1:12">
      <c r="A448" s="69" t="s">
        <v>111</v>
      </c>
      <c r="B448" s="113">
        <f>B!L70</f>
        <v>50.497098949771569</v>
      </c>
      <c r="C448" s="113">
        <f>'C'!L70</f>
        <v>49.65</v>
      </c>
      <c r="D448" s="113">
        <f>D!L70</f>
        <v>49.63</v>
      </c>
      <c r="E448" s="113">
        <f>E!L70</f>
        <v>49.516127890351157</v>
      </c>
      <c r="F448" s="113">
        <f>F!L70</f>
        <v>0</v>
      </c>
      <c r="G448" s="113">
        <f>G!L70</f>
        <v>49.75</v>
      </c>
      <c r="H448" s="95">
        <f>YD!L70</f>
        <v>0</v>
      </c>
      <c r="I448" s="95">
        <f>I!L70</f>
        <v>0</v>
      </c>
      <c r="J448" s="95">
        <f>J!L70</f>
        <v>0</v>
      </c>
      <c r="K448" s="95"/>
      <c r="L448" s="95"/>
    </row>
    <row r="449" spans="1:12">
      <c r="A449" s="69" t="s">
        <v>112</v>
      </c>
      <c r="B449" s="113">
        <f>B!L71</f>
        <v>48.779368002283327</v>
      </c>
      <c r="C449" s="113">
        <f>'C'!L71</f>
        <v>49.14</v>
      </c>
      <c r="D449" s="113">
        <f>D!L71</f>
        <v>48.97</v>
      </c>
      <c r="E449" s="113">
        <f>E!L71</f>
        <v>48.849465456848122</v>
      </c>
      <c r="F449" s="113">
        <f>F!L71</f>
        <v>0</v>
      </c>
      <c r="G449" s="113">
        <f>G!L71</f>
        <v>48.76</v>
      </c>
      <c r="H449" s="95">
        <f>YD!L71</f>
        <v>0</v>
      </c>
      <c r="I449" s="95">
        <f>I!L71</f>
        <v>0</v>
      </c>
      <c r="J449" s="95">
        <f>J!L71</f>
        <v>0</v>
      </c>
      <c r="K449" s="95"/>
      <c r="L449" s="95"/>
    </row>
    <row r="450" spans="1:12">
      <c r="A450" s="69" t="s">
        <v>113</v>
      </c>
      <c r="B450" s="113">
        <f>B!L72</f>
        <v>48.821944840182738</v>
      </c>
      <c r="C450" s="113">
        <f>'C'!L72</f>
        <v>49.17</v>
      </c>
      <c r="D450" s="113">
        <f>D!L72</f>
        <v>49.3</v>
      </c>
      <c r="E450" s="113">
        <f>E!L72</f>
        <v>49.044422928027274</v>
      </c>
      <c r="F450" s="113">
        <f>F!L72</f>
        <v>0</v>
      </c>
      <c r="G450" s="113">
        <f>G!L72</f>
        <v>49.17</v>
      </c>
      <c r="H450" s="95">
        <f>YD!L72</f>
        <v>0</v>
      </c>
      <c r="I450" s="95">
        <f>I!L72</f>
        <v>0</v>
      </c>
      <c r="J450" s="95">
        <f>J!L72</f>
        <v>0</v>
      </c>
      <c r="K450" s="95"/>
      <c r="L450" s="95"/>
    </row>
    <row r="451" spans="1:12">
      <c r="A451" s="69" t="s">
        <v>114</v>
      </c>
      <c r="B451" s="113">
        <f>B!L73</f>
        <v>48.329768664383728</v>
      </c>
      <c r="C451" s="113">
        <f>'C'!L73</f>
        <v>48.46</v>
      </c>
      <c r="D451" s="113">
        <f>D!L73</f>
        <v>48.57</v>
      </c>
      <c r="E451" s="113">
        <f>E!L73</f>
        <v>48.26890572015904</v>
      </c>
      <c r="F451" s="113">
        <f>F!L73</f>
        <v>0</v>
      </c>
      <c r="G451" s="113">
        <f>G!L73</f>
        <v>48.23</v>
      </c>
      <c r="H451" s="95">
        <f>YD!L73</f>
        <v>0</v>
      </c>
      <c r="I451" s="95">
        <f>I!L73</f>
        <v>0</v>
      </c>
      <c r="J451" s="95">
        <f>J!L73</f>
        <v>0</v>
      </c>
      <c r="K451" s="95"/>
      <c r="L451" s="95"/>
    </row>
    <row r="452" spans="1:12">
      <c r="A452" s="69" t="s">
        <v>115</v>
      </c>
      <c r="B452" s="113">
        <f>B!L74</f>
        <v>66.526122203196252</v>
      </c>
      <c r="C452" s="113">
        <f>'C'!L74</f>
        <v>0</v>
      </c>
      <c r="D452" s="113">
        <f>D!L74</f>
        <v>0</v>
      </c>
      <c r="E452" s="113">
        <f>E!L74</f>
        <v>57.93619804975993</v>
      </c>
      <c r="F452" s="113">
        <f>F!L74</f>
        <v>65.941894977171202</v>
      </c>
      <c r="G452" s="113">
        <f>G!L74</f>
        <v>63.73</v>
      </c>
      <c r="H452" s="95">
        <f>YD!L74</f>
        <v>0</v>
      </c>
      <c r="I452" s="95">
        <f>I!L74</f>
        <v>0</v>
      </c>
      <c r="J452" s="95">
        <f>J!L74</f>
        <v>0</v>
      </c>
      <c r="K452" s="95"/>
      <c r="L452" s="95"/>
    </row>
    <row r="453" spans="1:12">
      <c r="A453" s="69" t="s">
        <v>120</v>
      </c>
      <c r="B453" s="113">
        <f>B!L75</f>
        <v>57.047631889978156</v>
      </c>
      <c r="C453" s="113">
        <f>'C'!L75</f>
        <v>57.47</v>
      </c>
      <c r="D453" s="113">
        <f>D!L75</f>
        <v>57.47</v>
      </c>
      <c r="E453" s="113">
        <f>E!L75</f>
        <v>55.660206396027817</v>
      </c>
      <c r="F453" s="113">
        <f>F!L75</f>
        <v>57.072167755988787</v>
      </c>
      <c r="G453" s="113">
        <f>G!L75</f>
        <v>55.13</v>
      </c>
      <c r="H453" s="95">
        <f>YD!L75</f>
        <v>0</v>
      </c>
      <c r="I453" s="95">
        <f>I!L75</f>
        <v>0</v>
      </c>
      <c r="J453" s="95">
        <f>J!L75</f>
        <v>0</v>
      </c>
      <c r="K453" s="95"/>
      <c r="L453" s="95"/>
    </row>
    <row r="454" spans="1:12">
      <c r="A454" s="69" t="s">
        <v>124</v>
      </c>
      <c r="B454" s="113">
        <f>B!L76</f>
        <v>54.700072821350801</v>
      </c>
      <c r="C454" s="113">
        <f>'C'!L76</f>
        <v>57.36</v>
      </c>
      <c r="D454" s="113">
        <f>D!L76</f>
        <v>57.36</v>
      </c>
      <c r="E454" s="113">
        <f>E!L76</f>
        <v>55.77802165729225</v>
      </c>
      <c r="F454" s="113">
        <f>F!L76</f>
        <v>57.061546840956055</v>
      </c>
      <c r="G454" s="113">
        <f>G!L76</f>
        <v>55.24</v>
      </c>
      <c r="H454" s="95">
        <f>YD!L76</f>
        <v>0</v>
      </c>
      <c r="I454" s="95">
        <f>I!L76</f>
        <v>0</v>
      </c>
      <c r="J454" s="95">
        <f>J!L76</f>
        <v>0</v>
      </c>
      <c r="K454" s="95"/>
      <c r="L454" s="95"/>
    </row>
    <row r="455" spans="1:12">
      <c r="A455" s="69" t="s">
        <v>125</v>
      </c>
      <c r="B455" s="113">
        <f>B!L77</f>
        <v>69.874455981734982</v>
      </c>
      <c r="C455" s="113">
        <f>'C'!L77</f>
        <v>0</v>
      </c>
      <c r="D455" s="113">
        <f>D!L77</f>
        <v>0</v>
      </c>
      <c r="E455" s="113">
        <f>E!L77</f>
        <v>60.928214382625612</v>
      </c>
      <c r="F455" s="113">
        <f>F!L77</f>
        <v>70.226826484016939</v>
      </c>
      <c r="G455" s="113">
        <f>G!L77</f>
        <v>72.17</v>
      </c>
      <c r="H455" s="95">
        <f>YD!L77</f>
        <v>0</v>
      </c>
      <c r="I455" s="95">
        <f>I!L77</f>
        <v>0</v>
      </c>
      <c r="J455" s="95">
        <f>J!L77</f>
        <v>0</v>
      </c>
      <c r="K455" s="95"/>
      <c r="L455" s="95"/>
    </row>
    <row r="456" spans="1:12">
      <c r="A456" s="69" t="s">
        <v>127</v>
      </c>
      <c r="B456" s="113">
        <f>B!L78</f>
        <v>68.677375262557277</v>
      </c>
      <c r="C456" s="113">
        <f>'C'!L78</f>
        <v>0</v>
      </c>
      <c r="D456" s="113">
        <f>D!L78</f>
        <v>0</v>
      </c>
      <c r="E456" s="113">
        <f>E!L78</f>
        <v>59.707353189780918</v>
      </c>
      <c r="F456" s="113">
        <f>F!L78</f>
        <v>68.231392694061995</v>
      </c>
      <c r="G456" s="113">
        <f>G!L78</f>
        <v>68.11</v>
      </c>
      <c r="H456" s="95">
        <f>YD!L78</f>
        <v>0</v>
      </c>
      <c r="I456" s="95">
        <f>I!L78</f>
        <v>0</v>
      </c>
      <c r="J456" s="95">
        <f>J!L78</f>
        <v>0</v>
      </c>
      <c r="K456" s="95"/>
      <c r="L456" s="95"/>
    </row>
    <row r="457" spans="1:12">
      <c r="A457" s="69" t="s">
        <v>130</v>
      </c>
      <c r="B457" s="113">
        <f>B!L79</f>
        <v>61.467399063927004</v>
      </c>
      <c r="C457" s="113">
        <f>'C'!L79</f>
        <v>0</v>
      </c>
      <c r="D457" s="113">
        <f>D!L79</f>
        <v>0</v>
      </c>
      <c r="E457" s="113">
        <f>E!L79</f>
        <v>53.71669213147522</v>
      </c>
      <c r="F457" s="113">
        <f>F!L79</f>
        <v>60.138698630132005</v>
      </c>
      <c r="G457" s="113">
        <f>G!L79</f>
        <v>57.37</v>
      </c>
      <c r="H457" s="95">
        <f>YD!L79</f>
        <v>0</v>
      </c>
      <c r="I457" s="95">
        <f>I!L79</f>
        <v>0</v>
      </c>
      <c r="J457" s="95">
        <f>J!L79</f>
        <v>0</v>
      </c>
      <c r="K457" s="95"/>
      <c r="L457" s="95"/>
    </row>
    <row r="458" spans="1:12">
      <c r="A458" s="69" t="s">
        <v>132</v>
      </c>
      <c r="B458" s="113">
        <f>B!L80</f>
        <v>46.729939874429292</v>
      </c>
      <c r="C458" s="113">
        <f>'C'!L80</f>
        <v>0</v>
      </c>
      <c r="D458" s="113">
        <f>D!L80</f>
        <v>0</v>
      </c>
      <c r="E458" s="113">
        <f>E!L80</f>
        <v>47.53150585721562</v>
      </c>
      <c r="F458" s="113">
        <f>F!L80</f>
        <v>41.451598173521695</v>
      </c>
      <c r="G458" s="113">
        <f>G!L80</f>
        <v>39.6</v>
      </c>
      <c r="H458" s="95">
        <f>YD!L80</f>
        <v>0</v>
      </c>
      <c r="I458" s="95">
        <f>I!L80</f>
        <v>0</v>
      </c>
      <c r="J458" s="95">
        <f>J!L80</f>
        <v>0</v>
      </c>
      <c r="K458" s="95"/>
      <c r="L458" s="95"/>
    </row>
    <row r="459" spans="1:12">
      <c r="A459" s="69" t="s">
        <v>135</v>
      </c>
      <c r="B459" s="113">
        <f>B!L81</f>
        <v>48.520982031963811</v>
      </c>
      <c r="C459" s="113">
        <f>'C'!L81</f>
        <v>0</v>
      </c>
      <c r="D459" s="113">
        <f>D!L81</f>
        <v>0</v>
      </c>
      <c r="E459" s="113">
        <f>E!L81</f>
        <v>46.176930892597952</v>
      </c>
      <c r="F459" s="113">
        <f>F!L81</f>
        <v>40.050913242005713</v>
      </c>
      <c r="G459" s="113">
        <f>G!L81</f>
        <v>43.82</v>
      </c>
      <c r="H459" s="95">
        <f>YD!L81</f>
        <v>0</v>
      </c>
      <c r="I459" s="95">
        <f>I!L81</f>
        <v>0</v>
      </c>
      <c r="J459" s="95">
        <f>J!L81</f>
        <v>0</v>
      </c>
      <c r="K459" s="95"/>
      <c r="L459" s="95"/>
    </row>
    <row r="460" spans="1:12">
      <c r="A460" s="70" t="s">
        <v>138</v>
      </c>
      <c r="B460" s="113">
        <f>B!L82</f>
        <v>36.624875993150724</v>
      </c>
      <c r="C460" s="113">
        <f>'C'!L82</f>
        <v>0</v>
      </c>
      <c r="D460" s="113">
        <f>D!L82</f>
        <v>0</v>
      </c>
      <c r="E460" s="113">
        <f>E!L82</f>
        <v>38.630048217717501</v>
      </c>
      <c r="F460" s="113">
        <f>F!L82</f>
        <v>36.874657534249643</v>
      </c>
      <c r="G460" s="113">
        <f>G!L82</f>
        <v>29.2</v>
      </c>
      <c r="H460" s="95">
        <f>YD!L82</f>
        <v>0</v>
      </c>
      <c r="I460" s="95">
        <f>I!L82</f>
        <v>0</v>
      </c>
      <c r="J460" s="95">
        <f>J!L82</f>
        <v>0</v>
      </c>
      <c r="K460" s="95"/>
      <c r="L460" s="95"/>
    </row>
    <row r="467" spans="1:28">
      <c r="A467" t="s">
        <v>413</v>
      </c>
    </row>
    <row r="468" spans="1:28">
      <c r="B468" s="10"/>
      <c r="C468" s="10"/>
      <c r="D468" s="10"/>
      <c r="E468" s="10"/>
      <c r="F468" s="10"/>
    </row>
    <row r="469" spans="1:28">
      <c r="B469" s="10" t="s">
        <v>245</v>
      </c>
      <c r="C469" s="10" t="s">
        <v>257</v>
      </c>
      <c r="D469" s="10" t="s">
        <v>258</v>
      </c>
      <c r="E469" s="10" t="s">
        <v>515</v>
      </c>
      <c r="F469" s="10" t="s">
        <v>373</v>
      </c>
      <c r="G469" s="10" t="s">
        <v>482</v>
      </c>
      <c r="H469" s="10" t="s">
        <v>516</v>
      </c>
      <c r="I469" s="10" t="s">
        <v>517</v>
      </c>
      <c r="J469" s="10" t="s">
        <v>517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151</v>
      </c>
      <c r="B470" s="119">
        <f>B!M62</f>
        <v>19.914452054794491</v>
      </c>
      <c r="C470" s="119">
        <f>'C'!M62</f>
        <v>19.888888888888886</v>
      </c>
      <c r="D470" s="119">
        <f>D!M62</f>
        <v>19.888888888888886</v>
      </c>
      <c r="E470" s="119">
        <f>E!M62</f>
        <v>19.914143835616347</v>
      </c>
      <c r="F470" s="119">
        <f>F!M62</f>
        <v>19.914452054794427</v>
      </c>
      <c r="G470" s="119">
        <f>G!M62</f>
        <v>19.91</v>
      </c>
      <c r="H470" s="119">
        <f>YD!M62</f>
        <v>0</v>
      </c>
      <c r="I470" s="119">
        <f>I!M62</f>
        <v>0</v>
      </c>
      <c r="J470" s="119">
        <f>J!M62</f>
        <v>0</v>
      </c>
      <c r="K470" s="119"/>
      <c r="L470" s="119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223</v>
      </c>
      <c r="B471" s="347">
        <f>B!N62</f>
        <v>1.1642917900684956E-2</v>
      </c>
      <c r="C471" s="347">
        <f>'C'!N62</f>
        <v>1.1599999999999999E-2</v>
      </c>
      <c r="D471" s="347">
        <f>D!N62</f>
        <v>1.1599999999999999E-2</v>
      </c>
      <c r="E471" s="347">
        <f>E!N62</f>
        <v>1.1607902527993211E-2</v>
      </c>
      <c r="F471" s="347">
        <f>F!N62</f>
        <v>1.1648657534246494E-2</v>
      </c>
      <c r="G471" s="347">
        <f>G!N62</f>
        <v>1.1599999999999999E-2</v>
      </c>
      <c r="H471" s="347">
        <f>YD!N62</f>
        <v>0</v>
      </c>
      <c r="I471" s="347">
        <f>I!N62</f>
        <v>0</v>
      </c>
      <c r="J471" s="347">
        <f>J!N62</f>
        <v>0</v>
      </c>
      <c r="K471" s="347"/>
      <c r="L471" s="347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 ht="15.75">
      <c r="A483" s="58" t="s">
        <v>229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78</v>
      </c>
      <c r="B489" s="10" t="s">
        <v>245</v>
      </c>
      <c r="C489" s="10" t="s">
        <v>257</v>
      </c>
      <c r="D489" s="10" t="s">
        <v>258</v>
      </c>
      <c r="E489" s="10" t="s">
        <v>515</v>
      </c>
      <c r="F489" s="10" t="s">
        <v>373</v>
      </c>
      <c r="G489" s="10" t="s">
        <v>482</v>
      </c>
      <c r="H489" s="10" t="s">
        <v>516</v>
      </c>
      <c r="I489" s="10" t="s">
        <v>517</v>
      </c>
      <c r="J489" s="10" t="s">
        <v>517</v>
      </c>
    </row>
    <row r="490" spans="1:10">
      <c r="A490" s="69" t="s">
        <v>159</v>
      </c>
      <c r="B490" s="12">
        <f>B!B89</f>
        <v>2055.769720310841</v>
      </c>
      <c r="C490" s="12">
        <f>'C'!B89</f>
        <v>1897</v>
      </c>
      <c r="D490" s="12">
        <f>D!B89</f>
        <v>1894</v>
      </c>
      <c r="E490" s="12">
        <f>E!B89</f>
        <v>2153.3475438412001</v>
      </c>
      <c r="F490" s="12">
        <f>F!B89</f>
        <v>1886</v>
      </c>
      <c r="G490" s="12">
        <f>G!B89</f>
        <v>1942.81</v>
      </c>
      <c r="H490">
        <f>YD!B89</f>
        <v>0</v>
      </c>
      <c r="I490">
        <f>I!B89</f>
        <v>0</v>
      </c>
      <c r="J490">
        <f>J!B89</f>
        <v>0</v>
      </c>
    </row>
    <row r="491" spans="1:10">
      <c r="A491" s="69" t="s">
        <v>166</v>
      </c>
      <c r="B491" s="12">
        <f>B!B90</f>
        <v>2053.6705655900555</v>
      </c>
      <c r="C491" s="12">
        <f>'C'!B90</f>
        <v>1941</v>
      </c>
      <c r="D491" s="12">
        <f>D!B90</f>
        <v>1941</v>
      </c>
      <c r="E491" s="12">
        <f>E!B90</f>
        <v>2166.99328596236</v>
      </c>
      <c r="F491" s="12">
        <f>F!B90</f>
        <v>1964</v>
      </c>
      <c r="G491" s="12">
        <f>G!B90</f>
        <v>1950.53</v>
      </c>
      <c r="H491">
        <f>YD!B90</f>
        <v>0</v>
      </c>
      <c r="I491">
        <f>I!B90</f>
        <v>0</v>
      </c>
      <c r="J491">
        <f>J!B90</f>
        <v>0</v>
      </c>
    </row>
    <row r="492" spans="1:10">
      <c r="A492" s="69" t="s">
        <v>169</v>
      </c>
      <c r="B492" s="12">
        <f>B!B91</f>
        <v>2054.4922521461531</v>
      </c>
      <c r="C492" s="12">
        <f>'C'!B91</f>
        <v>1897</v>
      </c>
      <c r="D492" s="12">
        <f>D!B91</f>
        <v>1894</v>
      </c>
      <c r="E492" s="12">
        <f>E!B91</f>
        <v>2147.8736165535802</v>
      </c>
      <c r="F492" s="12">
        <f>F!B91</f>
        <v>1881</v>
      </c>
      <c r="G492" s="12">
        <f>G!B91</f>
        <v>1902.33</v>
      </c>
      <c r="H492">
        <f>YD!B91</f>
        <v>0</v>
      </c>
      <c r="I492">
        <f>I!B91</f>
        <v>0</v>
      </c>
      <c r="J492">
        <f>J!B91</f>
        <v>0</v>
      </c>
    </row>
    <row r="493" spans="1:10">
      <c r="A493" s="69" t="s">
        <v>171</v>
      </c>
      <c r="B493" s="12">
        <f>B!B92</f>
        <v>1830.0823980528924</v>
      </c>
      <c r="C493" s="12">
        <f>'C'!B92</f>
        <v>1891</v>
      </c>
      <c r="D493" s="12">
        <f>D!B92</f>
        <v>1890</v>
      </c>
      <c r="E493" s="12">
        <f>E!B92</f>
        <v>2109.75753045689</v>
      </c>
      <c r="F493" s="12">
        <f>F!B92</f>
        <v>1878</v>
      </c>
      <c r="G493" s="12">
        <f>G!B92</f>
        <v>1845.43</v>
      </c>
      <c r="H493">
        <f>YD!B92</f>
        <v>0</v>
      </c>
      <c r="I493">
        <f>I!B92</f>
        <v>0</v>
      </c>
      <c r="J493">
        <f>J!B92</f>
        <v>0</v>
      </c>
    </row>
    <row r="494" spans="1:10">
      <c r="A494" s="69" t="s">
        <v>173</v>
      </c>
      <c r="B494" s="12">
        <f>B!B93</f>
        <v>2029.3425670209424</v>
      </c>
      <c r="C494" s="12">
        <f>'C'!B93</f>
        <v>1697</v>
      </c>
      <c r="D494" s="12">
        <f>D!B93</f>
        <v>1694</v>
      </c>
      <c r="E494" s="12">
        <f>E!B93</f>
        <v>2031.5835898856201</v>
      </c>
      <c r="F494" s="12">
        <f>F!B93</f>
        <v>1756</v>
      </c>
      <c r="G494" s="12">
        <f>G!B93</f>
        <v>1914.46</v>
      </c>
      <c r="H494">
        <f>YD!B93</f>
        <v>0</v>
      </c>
      <c r="I494">
        <f>I!B93</f>
        <v>0</v>
      </c>
      <c r="J494">
        <f>J!B93</f>
        <v>0</v>
      </c>
    </row>
    <row r="495" spans="1:10">
      <c r="A495" s="69" t="s">
        <v>174</v>
      </c>
      <c r="B495" s="12">
        <f>B!B94</f>
        <v>1839.4316687849705</v>
      </c>
      <c r="C495" s="12">
        <f>'C'!B94</f>
        <v>2126</v>
      </c>
      <c r="D495" s="12">
        <f>D!B94</f>
        <v>2133</v>
      </c>
      <c r="E495" s="12">
        <f>E!B94</f>
        <v>2181.6445776105602</v>
      </c>
      <c r="F495" s="12">
        <f>F!B94</f>
        <v>2075</v>
      </c>
      <c r="G495" s="12">
        <f>G!B94</f>
        <v>2506.5700000000002</v>
      </c>
      <c r="H495">
        <f>YD!B94</f>
        <v>0</v>
      </c>
      <c r="I495">
        <f>I!B94</f>
        <v>0</v>
      </c>
      <c r="J495">
        <f>J!B94</f>
        <v>0</v>
      </c>
    </row>
    <row r="496" spans="1:10">
      <c r="A496" s="69" t="s">
        <v>176</v>
      </c>
      <c r="B496" s="12">
        <f>B!B95</f>
        <v>2667.2443936627674</v>
      </c>
      <c r="C496" s="12">
        <f>'C'!B95</f>
        <v>3198</v>
      </c>
      <c r="D496" s="12">
        <f>D!B95</f>
        <v>3223</v>
      </c>
      <c r="E496" s="12">
        <f>E!B95</f>
        <v>2926.8471636776399</v>
      </c>
      <c r="F496" s="12">
        <f>F!B95</f>
        <v>3035</v>
      </c>
      <c r="G496" s="12">
        <f>G!B95</f>
        <v>3170.95</v>
      </c>
      <c r="H496">
        <f>YD!B95</f>
        <v>0</v>
      </c>
      <c r="I496">
        <f>I!B95</f>
        <v>0</v>
      </c>
      <c r="J496">
        <f>J!B95</f>
        <v>0</v>
      </c>
    </row>
    <row r="497" spans="1:10">
      <c r="A497" s="69" t="s">
        <v>178</v>
      </c>
      <c r="B497" s="12">
        <f>B!B96</f>
        <v>3552.7184949106027</v>
      </c>
      <c r="C497" s="12">
        <f>'C'!B96</f>
        <v>3135</v>
      </c>
      <c r="D497" s="12">
        <f>D!B96</f>
        <v>3145</v>
      </c>
      <c r="E497" s="12">
        <f>E!B96</f>
        <v>3571.6614414431001</v>
      </c>
      <c r="F497" s="12">
        <f>F!B96</f>
        <v>3303</v>
      </c>
      <c r="G497" s="12">
        <f>G!B96</f>
        <v>3433.96</v>
      </c>
      <c r="H497">
        <f>YD!B96</f>
        <v>0</v>
      </c>
      <c r="I497">
        <f>I!B96</f>
        <v>0</v>
      </c>
      <c r="J497">
        <f>J!B96</f>
        <v>0</v>
      </c>
    </row>
    <row r="498" spans="1:10">
      <c r="A498" s="69" t="s">
        <v>180</v>
      </c>
      <c r="B498" s="12">
        <f>B!B97</f>
        <v>4364.7758495164062</v>
      </c>
      <c r="C498" s="12">
        <f>'C'!B97</f>
        <v>4528</v>
      </c>
      <c r="D498" s="12">
        <f>D!B97</f>
        <v>4526</v>
      </c>
      <c r="E498" s="12">
        <f>E!B97</f>
        <v>4771.5974997405201</v>
      </c>
      <c r="F498" s="12">
        <f>F!B97</f>
        <v>4483</v>
      </c>
      <c r="G498" s="12">
        <f>G!B97</f>
        <v>4489.1499999999996</v>
      </c>
      <c r="H498">
        <f>YD!B97</f>
        <v>0</v>
      </c>
      <c r="I498">
        <f>I!B97</f>
        <v>0</v>
      </c>
      <c r="J498">
        <f>J!B97</f>
        <v>0</v>
      </c>
    </row>
    <row r="499" spans="1:10">
      <c r="A499" s="69" t="s">
        <v>183</v>
      </c>
      <c r="B499" s="12">
        <f>B!B98</f>
        <v>4441.0632976815668</v>
      </c>
      <c r="C499" s="12">
        <f>'C'!B98</f>
        <v>4651</v>
      </c>
      <c r="D499" s="12">
        <f>D!B98</f>
        <v>4655</v>
      </c>
      <c r="E499" s="12">
        <f>E!B98</f>
        <v>5029.2701864095798</v>
      </c>
      <c r="F499" s="12">
        <f>F!B98</f>
        <v>4594</v>
      </c>
      <c r="G499" s="12">
        <f>G!B98</f>
        <v>4853.28</v>
      </c>
      <c r="H499">
        <f>YD!B98</f>
        <v>0</v>
      </c>
      <c r="I499">
        <f>I!B98</f>
        <v>0</v>
      </c>
      <c r="J499">
        <f>J!B98</f>
        <v>0</v>
      </c>
    </row>
    <row r="500" spans="1:10">
      <c r="A500" s="69" t="s">
        <v>186</v>
      </c>
      <c r="B500" s="12">
        <f>B!B99</f>
        <v>4999.5949681009843</v>
      </c>
      <c r="C500" s="12">
        <f>'C'!B99</f>
        <v>5434</v>
      </c>
      <c r="D500" s="12">
        <f>D!B99</f>
        <v>5456</v>
      </c>
      <c r="E500" s="12">
        <f>E!B99</f>
        <v>5485.3257390101298</v>
      </c>
      <c r="F500" s="12">
        <f>F!B99</f>
        <v>5238</v>
      </c>
      <c r="G500" s="12">
        <f>G!B99</f>
        <v>5164.22</v>
      </c>
      <c r="H500">
        <f>YD!B99</f>
        <v>0</v>
      </c>
      <c r="I500">
        <f>I!B99</f>
        <v>0</v>
      </c>
      <c r="J500">
        <f>J!B99</f>
        <v>0</v>
      </c>
    </row>
    <row r="501" spans="1:10">
      <c r="A501" s="69" t="s">
        <v>187</v>
      </c>
      <c r="B501" s="12">
        <f>B!B100</f>
        <v>5316.7711371459918</v>
      </c>
      <c r="C501" s="12">
        <f>'C'!B100</f>
        <v>5019</v>
      </c>
      <c r="D501" s="12">
        <f>D!B100</f>
        <v>5015</v>
      </c>
      <c r="E501" s="12">
        <f>E!B100</f>
        <v>5708.5514700862404</v>
      </c>
      <c r="F501" s="12">
        <f>F!B100</f>
        <v>5066</v>
      </c>
      <c r="G501" s="12">
        <f>G!B100</f>
        <v>5004.96</v>
      </c>
      <c r="H501">
        <f>YD!B100</f>
        <v>0</v>
      </c>
      <c r="I501">
        <f>I!B100</f>
        <v>0</v>
      </c>
      <c r="J501">
        <f>J!B100</f>
        <v>0</v>
      </c>
    </row>
    <row r="502" spans="1:10">
      <c r="A502" s="69" t="s">
        <v>191</v>
      </c>
      <c r="B502" s="12">
        <f>B!B101</f>
        <v>6188.547691714125</v>
      </c>
      <c r="C502" s="12">
        <f>'C'!B101</f>
        <v>6040</v>
      </c>
      <c r="D502" s="12">
        <f>D!B101</f>
        <v>6036</v>
      </c>
      <c r="E502" s="12">
        <f>E!B101</f>
        <v>7233.0373681055298</v>
      </c>
      <c r="F502" s="12">
        <f>F!B101</f>
        <v>6442</v>
      </c>
      <c r="G502" s="12">
        <f>G!B101</f>
        <v>6454.59</v>
      </c>
      <c r="H502">
        <f>YD!B101</f>
        <v>0</v>
      </c>
      <c r="I502">
        <f>I!B101</f>
        <v>0</v>
      </c>
      <c r="J502">
        <f>J!B101</f>
        <v>0</v>
      </c>
    </row>
    <row r="503" spans="1:10">
      <c r="A503" s="69" t="s">
        <v>194</v>
      </c>
      <c r="B503" s="12">
        <f>B!B102</f>
        <v>6210.9292642389719</v>
      </c>
      <c r="C503" s="12">
        <f>'C'!B102</f>
        <v>6420</v>
      </c>
      <c r="D503" s="12">
        <f>D!B102</f>
        <v>6429</v>
      </c>
      <c r="E503" s="12">
        <f>E!B102</f>
        <v>7085.9570260006803</v>
      </c>
      <c r="F503" s="12">
        <f>F!B102</f>
        <v>6523</v>
      </c>
      <c r="G503" s="12">
        <f>G!B102</f>
        <v>6503.4</v>
      </c>
      <c r="H503">
        <f>YD!B102</f>
        <v>0</v>
      </c>
      <c r="I503">
        <f>I!B102</f>
        <v>0</v>
      </c>
      <c r="J503">
        <f>J!B102</f>
        <v>0</v>
      </c>
    </row>
    <row r="504" spans="1:10">
      <c r="A504" s="69" t="s">
        <v>79</v>
      </c>
      <c r="B504" s="12">
        <f>B!B103</f>
        <v>7922.4534138611234</v>
      </c>
      <c r="C504" s="12">
        <f>'C'!B103</f>
        <v>7671</v>
      </c>
      <c r="D504" s="12">
        <f>D!B103</f>
        <v>7683</v>
      </c>
      <c r="E504" s="12">
        <f>E!B103</f>
        <v>8689.9560731824095</v>
      </c>
      <c r="F504" s="12">
        <f>F!B103</f>
        <v>8000</v>
      </c>
      <c r="G504" s="12">
        <f>G!B103</f>
        <v>8040.55</v>
      </c>
      <c r="H504">
        <f>YD!B103</f>
        <v>0</v>
      </c>
      <c r="I504">
        <f>I!B103</f>
        <v>0</v>
      </c>
      <c r="J504">
        <f>J!B103</f>
        <v>0</v>
      </c>
    </row>
    <row r="505" spans="1:10">
      <c r="A505" s="69" t="s">
        <v>198</v>
      </c>
      <c r="B505" s="12">
        <f>B!B104</f>
        <v>7964.8229620022494</v>
      </c>
      <c r="C505" s="12">
        <f>'C'!B104</f>
        <v>8190</v>
      </c>
      <c r="D505" s="12">
        <f>D!B104</f>
        <v>8222</v>
      </c>
      <c r="E505" s="12">
        <f>E!B104</f>
        <v>8842.8175260246298</v>
      </c>
      <c r="F505" s="12">
        <f>F!B104</f>
        <v>8169</v>
      </c>
      <c r="G505" s="12">
        <f>G!B104</f>
        <v>8133.59</v>
      </c>
      <c r="H505">
        <f>YD!B104</f>
        <v>0</v>
      </c>
      <c r="I505">
        <f>I!B104</f>
        <v>0</v>
      </c>
      <c r="J505">
        <f>J!B104</f>
        <v>0</v>
      </c>
    </row>
    <row r="506" spans="1:10">
      <c r="A506" s="69" t="s">
        <v>201</v>
      </c>
      <c r="B506" s="12">
        <f>B!B105</f>
        <v>5420.7774972433799</v>
      </c>
      <c r="C506" s="12">
        <f>'C'!B105</f>
        <v>5715</v>
      </c>
      <c r="D506" s="12">
        <f>D!B105</f>
        <v>5696</v>
      </c>
      <c r="E506" s="12">
        <f>E!B105</f>
        <v>5791.0238691930899</v>
      </c>
      <c r="F506" s="12">
        <f>F!B105</f>
        <v>5306</v>
      </c>
      <c r="G506" s="12">
        <f>G!B105</f>
        <v>5211.79</v>
      </c>
      <c r="H506">
        <f>YD!B105</f>
        <v>0</v>
      </c>
      <c r="I506">
        <f>I!B105</f>
        <v>0</v>
      </c>
      <c r="J506">
        <f>J!B105</f>
        <v>0</v>
      </c>
    </row>
    <row r="507" spans="1:10">
      <c r="A507" s="69" t="s">
        <v>204</v>
      </c>
      <c r="B507" s="12">
        <f>B!B106</f>
        <v>5409.9868298857464</v>
      </c>
      <c r="C507" s="12">
        <f>'C'!B106</f>
        <v>5536</v>
      </c>
      <c r="D507" s="12">
        <f>D!B106</f>
        <v>5531</v>
      </c>
      <c r="E507" s="12">
        <f>E!B106</f>
        <v>5952.6308606623797</v>
      </c>
      <c r="F507" s="12">
        <f>F!B106</f>
        <v>5381</v>
      </c>
      <c r="G507" s="12">
        <f>G!B106</f>
        <v>5122.29</v>
      </c>
      <c r="H507">
        <f>YD!B106</f>
        <v>0</v>
      </c>
      <c r="I507">
        <f>I!B106</f>
        <v>0</v>
      </c>
      <c r="J507">
        <f>J!B106</f>
        <v>0</v>
      </c>
    </row>
    <row r="508" spans="1:10">
      <c r="A508" s="69" t="s">
        <v>206</v>
      </c>
      <c r="B508" s="12">
        <f>B!B107</f>
        <v>5260.0345031678471</v>
      </c>
      <c r="C508" s="12">
        <f>'C'!B107</f>
        <v>4711</v>
      </c>
      <c r="D508" s="12">
        <f>D!B107</f>
        <v>4689</v>
      </c>
      <c r="E508" s="12">
        <f>E!B107</f>
        <v>5617.7335677797</v>
      </c>
      <c r="F508" s="12">
        <f>F!B107</f>
        <v>4791</v>
      </c>
      <c r="G508" s="12">
        <f>G!B107</f>
        <v>4831.72</v>
      </c>
      <c r="H508">
        <f>YD!B107</f>
        <v>0</v>
      </c>
      <c r="I508">
        <f>I!B107</f>
        <v>0</v>
      </c>
      <c r="J508">
        <f>J!B107</f>
        <v>0</v>
      </c>
    </row>
    <row r="509" spans="1:10">
      <c r="A509" s="69" t="s">
        <v>207</v>
      </c>
      <c r="B509" s="12">
        <f>B!B108</f>
        <v>4880.3428688729146</v>
      </c>
      <c r="C509" s="12">
        <f>'C'!B108</f>
        <v>4859</v>
      </c>
      <c r="D509" s="12">
        <f>D!B108</f>
        <v>4855</v>
      </c>
      <c r="E509" s="12">
        <f>E!B108</f>
        <v>5315.9924434734903</v>
      </c>
      <c r="F509" s="12">
        <f>F!B108</f>
        <v>4809</v>
      </c>
      <c r="G509" s="12">
        <f>G!B108</f>
        <v>4874.8500000000004</v>
      </c>
      <c r="H509">
        <f>YD!B108</f>
        <v>0</v>
      </c>
      <c r="I509">
        <f>I!B108</f>
        <v>0</v>
      </c>
      <c r="J509">
        <f>J!B108</f>
        <v>0</v>
      </c>
    </row>
    <row r="510" spans="1:10">
      <c r="A510" s="69" t="s">
        <v>208</v>
      </c>
      <c r="B510" s="12">
        <f>B!B109</f>
        <v>3938.7143150582915</v>
      </c>
      <c r="C510" s="12">
        <f>'C'!B109</f>
        <v>3913</v>
      </c>
      <c r="D510" s="12">
        <f>D!B109</f>
        <v>3918</v>
      </c>
      <c r="E510" s="12">
        <f>E!B109</f>
        <v>4369.55146874007</v>
      </c>
      <c r="F510" s="12">
        <f>F!B109</f>
        <v>3939</v>
      </c>
      <c r="G510" s="12">
        <f>G!B109</f>
        <v>3935.62</v>
      </c>
      <c r="H510">
        <f>YD!B109</f>
        <v>0</v>
      </c>
      <c r="I510">
        <f>I!B109</f>
        <v>0</v>
      </c>
      <c r="J510">
        <f>J!B109</f>
        <v>0</v>
      </c>
    </row>
    <row r="511" spans="1:10">
      <c r="A511" s="69" t="s">
        <v>209</v>
      </c>
      <c r="B511" s="12">
        <f>B!B110</f>
        <v>3923.956305130047</v>
      </c>
      <c r="C511" s="12">
        <f>'C'!B110</f>
        <v>3825</v>
      </c>
      <c r="D511" s="12">
        <f>D!B110</f>
        <v>3823</v>
      </c>
      <c r="E511" s="12">
        <f>E!B110</f>
        <v>4323.8097400667903</v>
      </c>
      <c r="F511" s="12">
        <f>F!B110</f>
        <v>3852</v>
      </c>
      <c r="G511" s="12">
        <f>G!B110</f>
        <v>3844.33</v>
      </c>
      <c r="H511">
        <f>YD!B110</f>
        <v>0</v>
      </c>
      <c r="I511">
        <f>I!B110</f>
        <v>0</v>
      </c>
      <c r="J511">
        <f>J!B110</f>
        <v>0</v>
      </c>
    </row>
    <row r="512" spans="1:10">
      <c r="A512" s="69" t="s">
        <v>210</v>
      </c>
      <c r="B512" s="12">
        <f>B!B111</f>
        <v>4122.5715830260397</v>
      </c>
      <c r="C512" s="12">
        <f>'C'!B111</f>
        <v>3750</v>
      </c>
      <c r="D512" s="12">
        <f>D!B111</f>
        <v>3748</v>
      </c>
      <c r="E512" s="12">
        <f>E!B111</f>
        <v>4215.9980080012201</v>
      </c>
      <c r="F512" s="12">
        <f>F!B111</f>
        <v>3752</v>
      </c>
      <c r="G512" s="12">
        <f>G!B111</f>
        <v>3807.46</v>
      </c>
      <c r="H512">
        <f>YD!B111</f>
        <v>0</v>
      </c>
      <c r="I512">
        <f>I!B111</f>
        <v>0</v>
      </c>
      <c r="J512">
        <f>J!B111</f>
        <v>0</v>
      </c>
    </row>
    <row r="513" spans="1:10">
      <c r="A513" s="70" t="s">
        <v>211</v>
      </c>
      <c r="B513" s="12">
        <f>B!B112</f>
        <v>3877.3844587743106</v>
      </c>
      <c r="C513" s="12">
        <f>'C'!B112</f>
        <v>3880</v>
      </c>
      <c r="D513" s="12">
        <f>D!B112</f>
        <v>3880</v>
      </c>
      <c r="E513" s="12">
        <f>E!B112</f>
        <v>4194.2432078709999</v>
      </c>
      <c r="F513" s="12">
        <f>F!B112</f>
        <v>3794</v>
      </c>
      <c r="G513" s="12">
        <f>G!B112</f>
        <v>3664.17</v>
      </c>
      <c r="H513">
        <f>YD!B112</f>
        <v>0</v>
      </c>
      <c r="I513">
        <f>I!B112</f>
        <v>0</v>
      </c>
      <c r="J513">
        <f>J!B112</f>
        <v>0</v>
      </c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245</v>
      </c>
      <c r="C519" s="10" t="s">
        <v>257</v>
      </c>
      <c r="D519" s="10" t="s">
        <v>258</v>
      </c>
      <c r="E519" s="10" t="s">
        <v>515</v>
      </c>
      <c r="F519" s="10" t="s">
        <v>373</v>
      </c>
      <c r="G519" s="10" t="s">
        <v>482</v>
      </c>
      <c r="H519" s="10" t="s">
        <v>516</v>
      </c>
      <c r="I519" s="10" t="s">
        <v>517</v>
      </c>
      <c r="J519" s="10" t="s">
        <v>517</v>
      </c>
    </row>
    <row r="520" spans="1:10">
      <c r="A520" s="69" t="s">
        <v>159</v>
      </c>
      <c r="B520" s="12">
        <f>B!C89</f>
        <v>256.53260248870583</v>
      </c>
      <c r="C520" s="12">
        <f>'C'!C89</f>
        <v>237</v>
      </c>
      <c r="D520" s="12">
        <f>D!C89</f>
        <v>237</v>
      </c>
      <c r="E520" s="12" t="str">
        <f>E!C89</f>
        <v>Note 1</v>
      </c>
      <c r="F520" s="12">
        <f>F!C89</f>
        <v>237</v>
      </c>
      <c r="G520" s="12">
        <f>G!C89</f>
        <v>240.93799999999999</v>
      </c>
      <c r="H520">
        <f>YD!C89</f>
        <v>0</v>
      </c>
      <c r="I520">
        <f>I!C89</f>
        <v>0</v>
      </c>
      <c r="J520">
        <f>J!C89</f>
        <v>0</v>
      </c>
    </row>
    <row r="521" spans="1:10">
      <c r="A521" s="69" t="s">
        <v>166</v>
      </c>
      <c r="B521" s="12">
        <f>B!C90</f>
        <v>256.52714424619057</v>
      </c>
      <c r="C521" s="12">
        <f>'C'!C90</f>
        <v>240</v>
      </c>
      <c r="D521" s="12">
        <f>D!C90</f>
        <v>241</v>
      </c>
      <c r="E521" s="12" t="str">
        <f>E!C90</f>
        <v>Note 1</v>
      </c>
      <c r="F521" s="12">
        <f>F!C90</f>
        <v>244</v>
      </c>
      <c r="G521" s="12">
        <f>G!C90</f>
        <v>241.10400000000001</v>
      </c>
      <c r="H521">
        <f>YD!C90</f>
        <v>0</v>
      </c>
      <c r="I521">
        <f>I!C90</f>
        <v>0</v>
      </c>
      <c r="J521">
        <f>J!C90</f>
        <v>0</v>
      </c>
    </row>
    <row r="522" spans="1:10">
      <c r="A522" s="69" t="s">
        <v>169</v>
      </c>
      <c r="B522" s="12">
        <f>B!C91</f>
        <v>256.53561454728344</v>
      </c>
      <c r="C522" s="12">
        <f>'C'!C91</f>
        <v>237</v>
      </c>
      <c r="D522" s="12">
        <f>D!C91</f>
        <v>237</v>
      </c>
      <c r="E522" s="12" t="str">
        <f>E!C91</f>
        <v>Note 1</v>
      </c>
      <c r="F522" s="12">
        <f>F!C91</f>
        <v>236</v>
      </c>
      <c r="G522" s="12">
        <f>G!C91</f>
        <v>236.85</v>
      </c>
      <c r="H522">
        <f>YD!C91</f>
        <v>0</v>
      </c>
      <c r="I522">
        <f>I!C91</f>
        <v>0</v>
      </c>
      <c r="J522">
        <f>J!C91</f>
        <v>0</v>
      </c>
    </row>
    <row r="523" spans="1:10">
      <c r="A523" s="69" t="s">
        <v>171</v>
      </c>
      <c r="B523" s="12">
        <f>B!C92</f>
        <v>229.58574447860309</v>
      </c>
      <c r="C523" s="12">
        <f>'C'!C92</f>
        <v>237</v>
      </c>
      <c r="D523" s="12">
        <f>D!C92</f>
        <v>236</v>
      </c>
      <c r="E523" s="12" t="str">
        <f>E!C92</f>
        <v>Note 1</v>
      </c>
      <c r="F523" s="12">
        <f>F!C92</f>
        <v>236</v>
      </c>
      <c r="G523" s="12">
        <f>G!C92</f>
        <v>231.11799999999999</v>
      </c>
      <c r="H523">
        <f>YD!C92</f>
        <v>0</v>
      </c>
      <c r="I523">
        <f>I!C92</f>
        <v>0</v>
      </c>
      <c r="J523">
        <f>J!C92</f>
        <v>0</v>
      </c>
    </row>
    <row r="524" spans="1:10">
      <c r="A524" s="69" t="s">
        <v>173</v>
      </c>
      <c r="B524" s="12">
        <f>B!C93</f>
        <v>256.39404940704128</v>
      </c>
      <c r="C524" s="12">
        <f>'C'!C93</f>
        <v>215</v>
      </c>
      <c r="D524" s="12">
        <f>D!C93</f>
        <v>215</v>
      </c>
      <c r="E524" s="12" t="str">
        <f>E!C93</f>
        <v>Note 1</v>
      </c>
      <c r="F524" s="12">
        <f>F!C93</f>
        <v>224</v>
      </c>
      <c r="G524" s="12">
        <f>G!C93</f>
        <v>238.68700000000001</v>
      </c>
      <c r="H524">
        <f>YD!C93</f>
        <v>0</v>
      </c>
      <c r="I524">
        <f>I!C93</f>
        <v>0</v>
      </c>
      <c r="J524">
        <f>J!C93</f>
        <v>0</v>
      </c>
    </row>
    <row r="525" spans="1:10">
      <c r="A525" s="69" t="s">
        <v>174</v>
      </c>
      <c r="B525" s="12">
        <f>B!C94</f>
        <v>229.55972704064635</v>
      </c>
      <c r="C525" s="12">
        <f>'C'!C94</f>
        <v>259</v>
      </c>
      <c r="D525" s="12">
        <f>D!C94</f>
        <v>259</v>
      </c>
      <c r="E525" s="12" t="str">
        <f>E!C94</f>
        <v>Note 1</v>
      </c>
      <c r="F525" s="12">
        <f>F!C94</f>
        <v>253</v>
      </c>
      <c r="G525" s="12">
        <f>G!C94</f>
        <v>292.58800000000002</v>
      </c>
      <c r="H525">
        <f>YD!C94</f>
        <v>0</v>
      </c>
      <c r="I525">
        <f>I!C94</f>
        <v>0</v>
      </c>
      <c r="J525">
        <f>J!C94</f>
        <v>0</v>
      </c>
    </row>
    <row r="526" spans="1:10">
      <c r="A526" s="69" t="s">
        <v>176</v>
      </c>
      <c r="B526" s="12">
        <f>B!C95</f>
        <v>308.54463343275864</v>
      </c>
      <c r="C526" s="12">
        <f>'C'!C95</f>
        <v>352</v>
      </c>
      <c r="D526" s="12">
        <f>D!C95</f>
        <v>353</v>
      </c>
      <c r="E526" s="12" t="str">
        <f>E!C95</f>
        <v>Note 1</v>
      </c>
      <c r="F526" s="12">
        <f>F!C95</f>
        <v>334</v>
      </c>
      <c r="G526" s="12">
        <f>G!C95</f>
        <v>342.96899999999999</v>
      </c>
      <c r="H526">
        <f>YD!C95</f>
        <v>0</v>
      </c>
      <c r="I526">
        <f>I!C95</f>
        <v>0</v>
      </c>
      <c r="J526">
        <f>J!C95</f>
        <v>0</v>
      </c>
    </row>
    <row r="527" spans="1:10">
      <c r="A527" s="69" t="s">
        <v>178</v>
      </c>
      <c r="B527" s="12">
        <f>B!C96</f>
        <v>384.04551577745127</v>
      </c>
      <c r="C527" s="12">
        <f>'C'!C96</f>
        <v>332</v>
      </c>
      <c r="D527" s="12">
        <f>D!C96</f>
        <v>335</v>
      </c>
      <c r="E527" s="12" t="str">
        <f>E!C96</f>
        <v>Note 1</v>
      </c>
      <c r="F527" s="12">
        <f>F!C96</f>
        <v>352</v>
      </c>
      <c r="G527" s="12">
        <f>G!C96</f>
        <v>360.59800000000001</v>
      </c>
      <c r="H527">
        <f>YD!C96</f>
        <v>0</v>
      </c>
      <c r="I527">
        <f>I!C96</f>
        <v>0</v>
      </c>
      <c r="J527">
        <f>J!C96</f>
        <v>0</v>
      </c>
    </row>
    <row r="528" spans="1:10">
      <c r="A528" s="69" t="s">
        <v>180</v>
      </c>
      <c r="B528" s="12">
        <f>B!C97</f>
        <v>458.10143604695531</v>
      </c>
      <c r="C528" s="12">
        <f>'C'!C97</f>
        <v>469</v>
      </c>
      <c r="D528" s="12">
        <f>D!C97</f>
        <v>467</v>
      </c>
      <c r="E528" s="12" t="str">
        <f>E!C97</f>
        <v>Note 1</v>
      </c>
      <c r="F528" s="12">
        <f>F!C97</f>
        <v>463</v>
      </c>
      <c r="G528" s="12">
        <f>G!C97</f>
        <v>460.78800000000001</v>
      </c>
      <c r="H528">
        <f>YD!C97</f>
        <v>0</v>
      </c>
      <c r="I528">
        <f>I!C97</f>
        <v>0</v>
      </c>
      <c r="J528">
        <f>J!C97</f>
        <v>0</v>
      </c>
    </row>
    <row r="529" spans="1:10">
      <c r="A529" s="69" t="s">
        <v>183</v>
      </c>
      <c r="B529" s="12">
        <f>B!C98</f>
        <v>457.99324477346147</v>
      </c>
      <c r="C529" s="12">
        <f>'C'!C98</f>
        <v>479</v>
      </c>
      <c r="D529" s="12">
        <f>D!C98</f>
        <v>478</v>
      </c>
      <c r="E529" s="12" t="str">
        <f>E!C98</f>
        <v>Note 1</v>
      </c>
      <c r="F529" s="12">
        <f>F!C98</f>
        <v>472</v>
      </c>
      <c r="G529" s="12">
        <f>G!C98</f>
        <v>489.45499999999998</v>
      </c>
      <c r="H529">
        <f>YD!C98</f>
        <v>0</v>
      </c>
      <c r="I529">
        <f>I!C98</f>
        <v>0</v>
      </c>
      <c r="J529">
        <f>J!C98</f>
        <v>0</v>
      </c>
    </row>
    <row r="530" spans="1:10">
      <c r="A530" s="69" t="s">
        <v>186</v>
      </c>
      <c r="B530" s="12">
        <f>B!C99</f>
        <v>506.30451390226443</v>
      </c>
      <c r="C530" s="12">
        <f>'C'!C99</f>
        <v>537</v>
      </c>
      <c r="D530" s="12">
        <f>D!C99</f>
        <v>536</v>
      </c>
      <c r="E530" s="12" t="str">
        <f>E!C99</f>
        <v>Note 1</v>
      </c>
      <c r="F530" s="12">
        <f>F!C99</f>
        <v>516</v>
      </c>
      <c r="G530" s="12">
        <f>G!C99</f>
        <v>508.21800000000002</v>
      </c>
      <c r="H530">
        <f>YD!C99</f>
        <v>0</v>
      </c>
      <c r="I530">
        <f>I!C99</f>
        <v>0</v>
      </c>
      <c r="J530">
        <f>J!C99</f>
        <v>0</v>
      </c>
    </row>
    <row r="531" spans="1:10">
      <c r="A531" s="69" t="s">
        <v>187</v>
      </c>
      <c r="B531" s="12">
        <f>B!C100</f>
        <v>529.36483921726438</v>
      </c>
      <c r="C531" s="12">
        <f>'C'!C100</f>
        <v>498</v>
      </c>
      <c r="D531" s="12">
        <f>D!C100</f>
        <v>498</v>
      </c>
      <c r="E531" s="12" t="str">
        <f>E!C100</f>
        <v>Note 1</v>
      </c>
      <c r="F531" s="12">
        <f>F!C100</f>
        <v>504</v>
      </c>
      <c r="G531" s="12">
        <f>G!C100</f>
        <v>496.50400000000002</v>
      </c>
      <c r="H531">
        <f>YD!C100</f>
        <v>0</v>
      </c>
      <c r="I531">
        <f>I!C100</f>
        <v>0</v>
      </c>
      <c r="J531">
        <f>J!C100</f>
        <v>0</v>
      </c>
    </row>
    <row r="532" spans="1:10">
      <c r="A532" s="69" t="s">
        <v>191</v>
      </c>
      <c r="B532" s="12">
        <f>B!C101</f>
        <v>616.60944926018874</v>
      </c>
      <c r="C532" s="12">
        <f>'C'!C101</f>
        <v>597</v>
      </c>
      <c r="D532" s="12">
        <f>D!C101</f>
        <v>600</v>
      </c>
      <c r="E532" s="12" t="str">
        <f>E!C101</f>
        <v>Note 1</v>
      </c>
      <c r="F532" s="12">
        <f>F!C101</f>
        <v>642</v>
      </c>
      <c r="G532" s="12">
        <f>G!C101</f>
        <v>639.274</v>
      </c>
      <c r="H532">
        <f>YD!C101</f>
        <v>0</v>
      </c>
      <c r="I532">
        <f>I!C101</f>
        <v>0</v>
      </c>
      <c r="J532">
        <f>J!C101</f>
        <v>0</v>
      </c>
    </row>
    <row r="533" spans="1:10">
      <c r="A533" s="69" t="s">
        <v>194</v>
      </c>
      <c r="B533" s="12">
        <f>B!C102</f>
        <v>616.12420083517168</v>
      </c>
      <c r="C533" s="12">
        <f>'C'!C102</f>
        <v>633</v>
      </c>
      <c r="D533" s="12">
        <f>D!C102</f>
        <v>635</v>
      </c>
      <c r="E533" s="12" t="str">
        <f>E!C102</f>
        <v>Note 1</v>
      </c>
      <c r="F533" s="12">
        <f>F!C102</f>
        <v>645</v>
      </c>
      <c r="G533" s="12">
        <f>G!C102</f>
        <v>639.95299999999997</v>
      </c>
      <c r="H533">
        <f>YD!C102</f>
        <v>0</v>
      </c>
      <c r="I533">
        <f>I!C102</f>
        <v>0</v>
      </c>
      <c r="J533">
        <f>J!C102</f>
        <v>0</v>
      </c>
    </row>
    <row r="534" spans="1:10">
      <c r="A534" s="69" t="s">
        <v>79</v>
      </c>
      <c r="B534" s="12">
        <f>B!C103</f>
        <v>781.00159267240622</v>
      </c>
      <c r="C534" s="12">
        <f>'C'!C103</f>
        <v>751</v>
      </c>
      <c r="D534" s="12">
        <f>D!C103</f>
        <v>754</v>
      </c>
      <c r="E534" s="12" t="str">
        <f>E!C103</f>
        <v>Note 1</v>
      </c>
      <c r="F534" s="12">
        <f>F!C103</f>
        <v>785</v>
      </c>
      <c r="G534" s="12">
        <f>G!C103</f>
        <v>784.90499999999997</v>
      </c>
      <c r="H534">
        <f>YD!C103</f>
        <v>0</v>
      </c>
      <c r="I534">
        <f>I!C103</f>
        <v>0</v>
      </c>
      <c r="J534">
        <f>J!C103</f>
        <v>0</v>
      </c>
    </row>
    <row r="535" spans="1:10">
      <c r="A535" s="69" t="s">
        <v>198</v>
      </c>
      <c r="B535" s="12">
        <f>B!C104</f>
        <v>781.01240717061535</v>
      </c>
      <c r="C535" s="12">
        <f>'C'!C104</f>
        <v>800</v>
      </c>
      <c r="D535" s="12">
        <f>D!C104</f>
        <v>803</v>
      </c>
      <c r="E535" s="12" t="str">
        <f>E!C104</f>
        <v>Note 1</v>
      </c>
      <c r="F535" s="12">
        <f>F!C104</f>
        <v>799</v>
      </c>
      <c r="G535" s="12">
        <f>G!C104</f>
        <v>793.61</v>
      </c>
      <c r="H535">
        <f>YD!C104</f>
        <v>0</v>
      </c>
      <c r="I535">
        <f>I!C104</f>
        <v>0</v>
      </c>
      <c r="J535">
        <f>J!C104</f>
        <v>0</v>
      </c>
    </row>
    <row r="536" spans="1:10">
      <c r="A536" s="69" t="s">
        <v>201</v>
      </c>
      <c r="B536" s="12">
        <f>B!C105</f>
        <v>529.49848074322631</v>
      </c>
      <c r="C536" s="12">
        <f>'C'!C105</f>
        <v>561</v>
      </c>
      <c r="D536" s="12">
        <f>D!C105</f>
        <v>556</v>
      </c>
      <c r="E536" s="12" t="str">
        <f>E!C105</f>
        <v>Note 1</v>
      </c>
      <c r="F536" s="12">
        <f>F!C105</f>
        <v>519</v>
      </c>
      <c r="G536" s="12">
        <f>G!C105</f>
        <v>509.58100000000002</v>
      </c>
      <c r="H536">
        <f>YD!C105</f>
        <v>0</v>
      </c>
      <c r="I536">
        <f>I!C105</f>
        <v>0</v>
      </c>
      <c r="J536">
        <f>J!C105</f>
        <v>0</v>
      </c>
    </row>
    <row r="537" spans="1:10">
      <c r="A537" s="69" t="s">
        <v>204</v>
      </c>
      <c r="B537" s="12">
        <f>B!C106</f>
        <v>529.37843289356158</v>
      </c>
      <c r="C537" s="12">
        <f>'C'!C106</f>
        <v>544</v>
      </c>
      <c r="D537" s="12">
        <f>D!C106</f>
        <v>541</v>
      </c>
      <c r="E537" s="12" t="str">
        <f>E!C106</f>
        <v>Note 1</v>
      </c>
      <c r="F537" s="12">
        <f>F!C106</f>
        <v>528</v>
      </c>
      <c r="G537" s="12">
        <f>G!C106</f>
        <v>506.95600000000002</v>
      </c>
      <c r="H537">
        <f>YD!C106</f>
        <v>0</v>
      </c>
      <c r="I537">
        <f>I!C106</f>
        <v>0</v>
      </c>
      <c r="J537">
        <f>J!C106</f>
        <v>0</v>
      </c>
    </row>
    <row r="538" spans="1:10">
      <c r="A538" s="69" t="s">
        <v>206</v>
      </c>
      <c r="B538" s="12">
        <f>B!C107</f>
        <v>529.2289456163835</v>
      </c>
      <c r="C538" s="12">
        <f>'C'!C107</f>
        <v>481</v>
      </c>
      <c r="D538" s="12">
        <f>D!C107</f>
        <v>479</v>
      </c>
      <c r="E538" s="12" t="str">
        <f>E!C107</f>
        <v>Note 1</v>
      </c>
      <c r="F538" s="12">
        <f>F!C107</f>
        <v>492</v>
      </c>
      <c r="G538" s="12">
        <f>G!C107</f>
        <v>492.97</v>
      </c>
      <c r="H538">
        <f>YD!C107</f>
        <v>0</v>
      </c>
      <c r="I538">
        <f>I!C107</f>
        <v>0</v>
      </c>
      <c r="J538">
        <f>J!C107</f>
        <v>0</v>
      </c>
    </row>
    <row r="539" spans="1:10">
      <c r="A539" s="69" t="s">
        <v>207</v>
      </c>
      <c r="B539" s="12">
        <f>B!C108</f>
        <v>506.22066015735538</v>
      </c>
      <c r="C539" s="12">
        <f>'C'!C108</f>
        <v>504</v>
      </c>
      <c r="D539" s="12">
        <f>D!C108</f>
        <v>503</v>
      </c>
      <c r="E539" s="12" t="str">
        <f>E!C108</f>
        <v>Note 1</v>
      </c>
      <c r="F539" s="12">
        <f>F!C108</f>
        <v>498</v>
      </c>
      <c r="G539" s="12">
        <f>G!C108</f>
        <v>501.23899999999998</v>
      </c>
      <c r="H539">
        <f>YD!C108</f>
        <v>0</v>
      </c>
      <c r="I539">
        <f>I!C108</f>
        <v>0</v>
      </c>
      <c r="J539">
        <f>J!C108</f>
        <v>0</v>
      </c>
    </row>
    <row r="540" spans="1:10">
      <c r="A540" s="69" t="s">
        <v>208</v>
      </c>
      <c r="B540" s="12">
        <f>B!C109</f>
        <v>409.08432189189836</v>
      </c>
      <c r="C540" s="12">
        <f>'C'!C109</f>
        <v>405</v>
      </c>
      <c r="D540" s="12">
        <f>D!C109</f>
        <v>406</v>
      </c>
      <c r="E540" s="12" t="str">
        <f>E!C109</f>
        <v>Note 1</v>
      </c>
      <c r="F540" s="12">
        <f>F!C109</f>
        <v>408</v>
      </c>
      <c r="G540" s="12">
        <f>G!C109</f>
        <v>405.54300000000001</v>
      </c>
      <c r="H540">
        <f>YD!C109</f>
        <v>0</v>
      </c>
      <c r="I540">
        <f>I!C109</f>
        <v>0</v>
      </c>
      <c r="J540">
        <f>J!C109</f>
        <v>0</v>
      </c>
    </row>
    <row r="541" spans="1:10">
      <c r="A541" s="69" t="s">
        <v>209</v>
      </c>
      <c r="B541" s="12">
        <f>B!C110</f>
        <v>409.53257448465308</v>
      </c>
      <c r="C541" s="12">
        <f>'C'!C110</f>
        <v>399</v>
      </c>
      <c r="D541" s="12">
        <f>D!C110</f>
        <v>399</v>
      </c>
      <c r="E541" s="12" t="str">
        <f>E!C110</f>
        <v>Note 1</v>
      </c>
      <c r="F541" s="12">
        <f>F!C110</f>
        <v>402</v>
      </c>
      <c r="G541" s="12">
        <f>G!C110</f>
        <v>398.93900000000002</v>
      </c>
      <c r="H541">
        <f>YD!C110</f>
        <v>0</v>
      </c>
      <c r="I541">
        <f>I!C110</f>
        <v>0</v>
      </c>
      <c r="J541">
        <f>J!C110</f>
        <v>0</v>
      </c>
    </row>
    <row r="542" spans="1:10">
      <c r="A542" s="69" t="s">
        <v>210</v>
      </c>
      <c r="B542" s="12">
        <f>B!C111</f>
        <v>433.8551145022941</v>
      </c>
      <c r="C542" s="12">
        <f>'C'!C111</f>
        <v>395</v>
      </c>
      <c r="D542" s="12">
        <f>D!C111</f>
        <v>394</v>
      </c>
      <c r="E542" s="12" t="str">
        <f>E!C111</f>
        <v>Note 1</v>
      </c>
      <c r="F542" s="12">
        <f>F!C111</f>
        <v>395</v>
      </c>
      <c r="G542" s="12">
        <f>G!C111</f>
        <v>397.27499999999998</v>
      </c>
      <c r="H542">
        <f>YD!C111</f>
        <v>0</v>
      </c>
      <c r="I542">
        <f>I!C111</f>
        <v>0</v>
      </c>
      <c r="J542">
        <f>J!C111</f>
        <v>0</v>
      </c>
    </row>
    <row r="543" spans="1:10">
      <c r="A543" s="70" t="s">
        <v>211</v>
      </c>
      <c r="B543" s="12">
        <f>B!C112</f>
        <v>409.58079417600788</v>
      </c>
      <c r="C543" s="12">
        <f>'C'!C112</f>
        <v>407</v>
      </c>
      <c r="D543" s="12">
        <f>D!C112</f>
        <v>407</v>
      </c>
      <c r="E543" s="12" t="str">
        <f>E!C112</f>
        <v>Note 1</v>
      </c>
      <c r="F543" s="12">
        <f>F!C112</f>
        <v>399</v>
      </c>
      <c r="G543" s="12">
        <f>G!C112</f>
        <v>385.64</v>
      </c>
      <c r="H543">
        <f>YD!C112</f>
        <v>0</v>
      </c>
      <c r="I543">
        <f>I!C112</f>
        <v>0</v>
      </c>
      <c r="J543">
        <f>J!C112</f>
        <v>0</v>
      </c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416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245</v>
      </c>
      <c r="C549" s="10" t="s">
        <v>257</v>
      </c>
      <c r="D549" s="10" t="s">
        <v>258</v>
      </c>
      <c r="E549" s="10" t="s">
        <v>515</v>
      </c>
      <c r="F549" s="10" t="s">
        <v>373</v>
      </c>
      <c r="G549" s="10" t="s">
        <v>482</v>
      </c>
      <c r="H549" s="10" t="s">
        <v>516</v>
      </c>
      <c r="I549" s="10" t="s">
        <v>517</v>
      </c>
      <c r="J549" s="10" t="s">
        <v>517</v>
      </c>
    </row>
    <row r="550" spans="1:10">
      <c r="A550" s="69" t="s">
        <v>159</v>
      </c>
      <c r="B550" s="12">
        <f>B!D89</f>
        <v>8131.7300000000005</v>
      </c>
      <c r="C550" s="12">
        <f>'C'!D89</f>
        <v>7552.3077000000003</v>
      </c>
      <c r="D550" s="12">
        <f>D!D89</f>
        <v>7544.9802000000009</v>
      </c>
      <c r="E550" s="12">
        <f>E!D89</f>
        <v>7602.8745045605829</v>
      </c>
      <c r="F550" s="12">
        <f>F!D89</f>
        <v>7472</v>
      </c>
      <c r="G550" s="12">
        <f>G!D89</f>
        <v>7667.56</v>
      </c>
      <c r="H550">
        <f>YD!D89</f>
        <v>0</v>
      </c>
      <c r="I550">
        <f>I!D89</f>
        <v>0</v>
      </c>
      <c r="J550">
        <f>J!D89</f>
        <v>0</v>
      </c>
    </row>
    <row r="551" spans="1:10">
      <c r="A551" s="69" t="s">
        <v>166</v>
      </c>
      <c r="B551" s="12">
        <f>B!D90</f>
        <v>8115.8</v>
      </c>
      <c r="C551" s="12">
        <f>'C'!D90</f>
        <v>7630.2723000000005</v>
      </c>
      <c r="D551" s="12">
        <f>D!D90</f>
        <v>7627.0482000000011</v>
      </c>
      <c r="E551" s="12">
        <f>E!D90</f>
        <v>7628.0998544260829</v>
      </c>
      <c r="F551" s="12">
        <f>F!D90</f>
        <v>7707</v>
      </c>
      <c r="G551" s="12">
        <f>G!D90</f>
        <v>7674.46</v>
      </c>
      <c r="H551">
        <f>YD!D90</f>
        <v>0</v>
      </c>
      <c r="I551">
        <f>I!D90</f>
        <v>0</v>
      </c>
      <c r="J551">
        <f>J!D90</f>
        <v>0</v>
      </c>
    </row>
    <row r="552" spans="1:10">
      <c r="A552" s="69" t="s">
        <v>169</v>
      </c>
      <c r="B552" s="12">
        <f>B!D91</f>
        <v>8127.89</v>
      </c>
      <c r="C552" s="12">
        <f>'C'!D91</f>
        <v>7550.2560000000003</v>
      </c>
      <c r="D552" s="12">
        <f>D!D91</f>
        <v>7546.1526000000003</v>
      </c>
      <c r="E552" s="12">
        <f>E!D91</f>
        <v>7579.462365873861</v>
      </c>
      <c r="F552" s="12">
        <f>F!D91</f>
        <v>7445</v>
      </c>
      <c r="G552" s="12">
        <f>G!D91</f>
        <v>7527.94</v>
      </c>
      <c r="H552">
        <f>YD!D91</f>
        <v>0</v>
      </c>
      <c r="I552">
        <f>I!D91</f>
        <v>0</v>
      </c>
      <c r="J552">
        <f>J!D91</f>
        <v>0</v>
      </c>
    </row>
    <row r="553" spans="1:10">
      <c r="A553" s="69" t="s">
        <v>171</v>
      </c>
      <c r="B553" s="12">
        <f>B!D92</f>
        <v>7224.15</v>
      </c>
      <c r="C553" s="12">
        <f>'C'!D92</f>
        <v>7533.8424000000005</v>
      </c>
      <c r="D553" s="12">
        <f>D!D92</f>
        <v>7528.2735000000011</v>
      </c>
      <c r="E553" s="12">
        <f>E!D92</f>
        <v>7463.8070679280836</v>
      </c>
      <c r="F553" s="12">
        <f>F!D92</f>
        <v>7432</v>
      </c>
      <c r="G553" s="12">
        <f>G!D92</f>
        <v>7317.22</v>
      </c>
      <c r="H553">
        <f>YD!D92</f>
        <v>0</v>
      </c>
      <c r="I553">
        <f>I!D92</f>
        <v>0</v>
      </c>
      <c r="J553">
        <f>J!D92</f>
        <v>0</v>
      </c>
    </row>
    <row r="554" spans="1:10">
      <c r="A554" s="69" t="s">
        <v>173</v>
      </c>
      <c r="B554" s="12">
        <f>B!D93</f>
        <v>8104.8499999999995</v>
      </c>
      <c r="C554" s="12">
        <f>'C'!D93</f>
        <v>6797.868300000001</v>
      </c>
      <c r="D554" s="12">
        <f>D!D93</f>
        <v>6753.0240000000003</v>
      </c>
      <c r="E554" s="12">
        <f>E!D93</f>
        <v>7218.8770168482779</v>
      </c>
      <c r="F554" s="12">
        <f>F!D93</f>
        <v>7000</v>
      </c>
      <c r="G554" s="12">
        <f>G!D93</f>
        <v>7514.35</v>
      </c>
      <c r="H554">
        <f>YD!D93</f>
        <v>0</v>
      </c>
      <c r="I554">
        <f>I!D93</f>
        <v>0</v>
      </c>
      <c r="J554">
        <f>J!D93</f>
        <v>0</v>
      </c>
    </row>
    <row r="555" spans="1:10">
      <c r="A555" s="69" t="s">
        <v>174</v>
      </c>
      <c r="B555" s="12">
        <f>B!D94</f>
        <v>7130.87</v>
      </c>
      <c r="C555" s="12">
        <f>'C'!D94</f>
        <v>8136.1629000000012</v>
      </c>
      <c r="D555" s="12">
        <f>D!D94</f>
        <v>8185.1106000000009</v>
      </c>
      <c r="E555" s="12">
        <f>E!D94</f>
        <v>7563.2200937246662</v>
      </c>
      <c r="F555" s="12">
        <f>F!D94</f>
        <v>7915</v>
      </c>
      <c r="G555" s="12">
        <f>G!D94</f>
        <v>9222.93</v>
      </c>
      <c r="H555">
        <f>YD!D94</f>
        <v>0</v>
      </c>
      <c r="I555">
        <f>I!D94</f>
        <v>0</v>
      </c>
      <c r="J555">
        <f>J!D94</f>
        <v>0</v>
      </c>
    </row>
    <row r="556" spans="1:10">
      <c r="A556" s="69" t="s">
        <v>176</v>
      </c>
      <c r="B556" s="12">
        <f>B!D95</f>
        <v>9711.380000000001</v>
      </c>
      <c r="C556" s="12">
        <f>'C'!D95</f>
        <v>11075.955900000001</v>
      </c>
      <c r="D556" s="12">
        <f>D!D95</f>
        <v>11232.764400000002</v>
      </c>
      <c r="E556" s="12">
        <f>E!D95</f>
        <v>9393.0409789234436</v>
      </c>
      <c r="F556" s="12">
        <f>F!D95</f>
        <v>10450</v>
      </c>
      <c r="G556" s="12">
        <f>G!D95</f>
        <v>10769.5</v>
      </c>
      <c r="H556">
        <f>YD!D95</f>
        <v>0</v>
      </c>
      <c r="I556">
        <f>I!D95</f>
        <v>0</v>
      </c>
      <c r="J556">
        <f>J!D95</f>
        <v>0</v>
      </c>
    </row>
    <row r="557" spans="1:10">
      <c r="A557" s="69" t="s">
        <v>178</v>
      </c>
      <c r="B557" s="12">
        <f>B!D96</f>
        <v>12121.31</v>
      </c>
      <c r="C557" s="12">
        <f>'C'!D96</f>
        <v>10290.741000000002</v>
      </c>
      <c r="D557" s="12">
        <f>D!D96</f>
        <v>10271.6895</v>
      </c>
      <c r="E557" s="12">
        <f>E!D96</f>
        <v>10820.496240816723</v>
      </c>
      <c r="F557" s="12">
        <f>F!D96</f>
        <v>10813</v>
      </c>
      <c r="G557" s="12">
        <f>G!D96</f>
        <v>11186.4</v>
      </c>
      <c r="H557">
        <f>YD!D96</f>
        <v>0</v>
      </c>
      <c r="I557">
        <f>I!D96</f>
        <v>0</v>
      </c>
      <c r="J557">
        <f>J!D96</f>
        <v>0</v>
      </c>
    </row>
    <row r="558" spans="1:10">
      <c r="A558" s="69" t="s">
        <v>180</v>
      </c>
      <c r="B558" s="12">
        <f>B!D97</f>
        <v>14555.619999999999</v>
      </c>
      <c r="C558" s="12">
        <f>'C'!D97</f>
        <v>14785.722600000001</v>
      </c>
      <c r="D558" s="12">
        <f>D!D97</f>
        <v>14844.049500000001</v>
      </c>
      <c r="E558" s="12">
        <f>E!D97</f>
        <v>14280.692328968584</v>
      </c>
      <c r="F558" s="12">
        <f>F!D97</f>
        <v>14631</v>
      </c>
      <c r="G558" s="12">
        <f>G!D97</f>
        <v>14744.4</v>
      </c>
      <c r="H558">
        <f>YD!D97</f>
        <v>0</v>
      </c>
      <c r="I558">
        <f>I!D97</f>
        <v>0</v>
      </c>
      <c r="J558">
        <f>J!D97</f>
        <v>0</v>
      </c>
    </row>
    <row r="559" spans="1:10">
      <c r="A559" s="69" t="s">
        <v>183</v>
      </c>
      <c r="B559" s="12">
        <f>B!D98</f>
        <v>14639.38</v>
      </c>
      <c r="C559" s="12">
        <f>'C'!D98</f>
        <v>15339.974700000001</v>
      </c>
      <c r="D559" s="12">
        <f>D!D98</f>
        <v>15392.732700000002</v>
      </c>
      <c r="E559" s="12">
        <f>E!D98</f>
        <v>15005.199916219666</v>
      </c>
      <c r="F559" s="12">
        <f>F!D98</f>
        <v>15099</v>
      </c>
      <c r="G559" s="12">
        <f>G!D98</f>
        <v>15882.1</v>
      </c>
      <c r="H559">
        <f>YD!D98</f>
        <v>0</v>
      </c>
      <c r="I559">
        <f>I!D98</f>
        <v>0</v>
      </c>
      <c r="J559">
        <f>J!D98</f>
        <v>0</v>
      </c>
    </row>
    <row r="560" spans="1:10">
      <c r="A560" s="69" t="s">
        <v>186</v>
      </c>
      <c r="B560" s="12">
        <f>B!D99</f>
        <v>16374.09</v>
      </c>
      <c r="C560" s="12">
        <f>'C'!D99</f>
        <v>17455.277400000003</v>
      </c>
      <c r="D560" s="12">
        <f>D!D99</f>
        <v>17605.051500000001</v>
      </c>
      <c r="E560" s="12">
        <f>E!D99</f>
        <v>16127.909397562278</v>
      </c>
      <c r="F560" s="12">
        <f>F!D99</f>
        <v>16722</v>
      </c>
      <c r="G560" s="12">
        <f>G!D99</f>
        <v>16614.5</v>
      </c>
      <c r="H560">
        <f>YD!D99</f>
        <v>0</v>
      </c>
      <c r="I560">
        <f>I!D99</f>
        <v>0</v>
      </c>
      <c r="J560">
        <f>J!D99</f>
        <v>0</v>
      </c>
    </row>
    <row r="561" spans="1:10">
      <c r="A561" s="69" t="s">
        <v>187</v>
      </c>
      <c r="B561" s="12">
        <f>B!D100</f>
        <v>17248.400000000001</v>
      </c>
      <c r="C561" s="12">
        <f>'C'!D100</f>
        <v>16215.171300000002</v>
      </c>
      <c r="D561" s="12">
        <f>D!D100</f>
        <v>16187.619900000002</v>
      </c>
      <c r="E561" s="12">
        <f>E!D100</f>
        <v>16742.459135557474</v>
      </c>
      <c r="F561" s="12">
        <f>F!D100</f>
        <v>16258</v>
      </c>
      <c r="G561" s="12">
        <f>G!D100</f>
        <v>16029.6</v>
      </c>
      <c r="H561">
        <f>YD!D100</f>
        <v>0</v>
      </c>
      <c r="I561">
        <f>I!D100</f>
        <v>0</v>
      </c>
      <c r="J561">
        <f>J!D100</f>
        <v>0</v>
      </c>
    </row>
    <row r="562" spans="1:10">
      <c r="A562" s="69" t="s">
        <v>191</v>
      </c>
      <c r="B562" s="12">
        <f>B!D101</f>
        <v>20498.21</v>
      </c>
      <c r="C562" s="12">
        <f>'C'!D101</f>
        <v>19722.992100000003</v>
      </c>
      <c r="D562" s="12">
        <f>D!D101</f>
        <v>19620.993300000002</v>
      </c>
      <c r="E562" s="12">
        <f>E!D101</f>
        <v>21873.959207030308</v>
      </c>
      <c r="F562" s="12">
        <f>F!D101</f>
        <v>21090</v>
      </c>
      <c r="G562" s="12">
        <f>G!D101</f>
        <v>21179.7</v>
      </c>
      <c r="H562">
        <f>YD!D101</f>
        <v>0</v>
      </c>
      <c r="I562">
        <f>I!D101</f>
        <v>0</v>
      </c>
      <c r="J562">
        <f>J!D101</f>
        <v>0</v>
      </c>
    </row>
    <row r="563" spans="1:10">
      <c r="A563" s="69" t="s">
        <v>194</v>
      </c>
      <c r="B563" s="12">
        <f>B!D102</f>
        <v>20234.060000000001</v>
      </c>
      <c r="C563" s="12">
        <f>'C'!D102</f>
        <v>20808.341400000001</v>
      </c>
      <c r="D563" s="12">
        <f>D!D102</f>
        <v>20819.186100000003</v>
      </c>
      <c r="E563" s="12">
        <f>E!D102</f>
        <v>20933.438479466553</v>
      </c>
      <c r="F563" s="12">
        <f>F!D102</f>
        <v>21067</v>
      </c>
      <c r="G563" s="12">
        <f>G!D102</f>
        <v>21055.4</v>
      </c>
      <c r="H563">
        <f>YD!D102</f>
        <v>0</v>
      </c>
      <c r="I563">
        <f>I!D102</f>
        <v>0</v>
      </c>
      <c r="J563">
        <f>J!D102</f>
        <v>0</v>
      </c>
    </row>
    <row r="564" spans="1:10">
      <c r="A564" s="69" t="s">
        <v>79</v>
      </c>
      <c r="B564" s="12">
        <f>B!D103</f>
        <v>26687.280000000002</v>
      </c>
      <c r="C564" s="12">
        <f>'C'!D103</f>
        <v>25387.149600000001</v>
      </c>
      <c r="D564" s="12">
        <f>D!D103</f>
        <v>25392.718500000003</v>
      </c>
      <c r="E564" s="12">
        <f>E!D103</f>
        <v>26432.910889167943</v>
      </c>
      <c r="F564" s="12">
        <f>F!D103</f>
        <v>26636</v>
      </c>
      <c r="G564" s="12">
        <f>G!D103</f>
        <v>27069.8</v>
      </c>
      <c r="H564">
        <f>YD!D103</f>
        <v>0</v>
      </c>
      <c r="I564">
        <f>I!D103</f>
        <v>0</v>
      </c>
      <c r="J564">
        <f>J!D103</f>
        <v>0</v>
      </c>
    </row>
    <row r="565" spans="1:10">
      <c r="A565" s="69" t="s">
        <v>198</v>
      </c>
      <c r="B565" s="12">
        <f>B!D104</f>
        <v>26722.68</v>
      </c>
      <c r="C565" s="12">
        <f>'C'!D104</f>
        <v>27581.003100000002</v>
      </c>
      <c r="D565" s="12">
        <f>D!D104</f>
        <v>27721.104900000002</v>
      </c>
      <c r="E565" s="12">
        <f>E!D104</f>
        <v>26943.356813287304</v>
      </c>
      <c r="F565" s="12">
        <f>F!D104</f>
        <v>27416</v>
      </c>
      <c r="G565" s="12">
        <f>G!D104</f>
        <v>27623.3</v>
      </c>
      <c r="H565">
        <f>YD!D104</f>
        <v>0</v>
      </c>
      <c r="I565">
        <f>I!D104</f>
        <v>0</v>
      </c>
      <c r="J565">
        <f>J!D104</f>
        <v>0</v>
      </c>
    </row>
    <row r="566" spans="1:10">
      <c r="A566" s="69" t="s">
        <v>201</v>
      </c>
      <c r="B566" s="12">
        <f>B!D105</f>
        <v>17231.329999999998</v>
      </c>
      <c r="C566" s="12">
        <f>'C'!D105</f>
        <v>18204.734100000001</v>
      </c>
      <c r="D566" s="12">
        <f>D!D105</f>
        <v>18244.595700000002</v>
      </c>
      <c r="E566" s="12">
        <f>E!D105</f>
        <v>16525.760272665808</v>
      </c>
      <c r="F566" s="12">
        <f>F!D105</f>
        <v>16702</v>
      </c>
      <c r="G566" s="12">
        <f>G!D105</f>
        <v>16551</v>
      </c>
      <c r="H566">
        <f>YD!D105</f>
        <v>0</v>
      </c>
      <c r="I566">
        <f>I!D105</f>
        <v>0</v>
      </c>
      <c r="J566">
        <f>J!D105</f>
        <v>0</v>
      </c>
    </row>
    <row r="567" spans="1:10">
      <c r="A567" s="69" t="s">
        <v>204</v>
      </c>
      <c r="B567" s="12">
        <f>B!D106</f>
        <v>17505.88</v>
      </c>
      <c r="C567" s="12">
        <f>'C'!D106</f>
        <v>17933.323500000002</v>
      </c>
      <c r="D567" s="12">
        <f>D!D106</f>
        <v>17977.8747</v>
      </c>
      <c r="E567" s="12">
        <f>E!D106</f>
        <v>17405.561751073612</v>
      </c>
      <c r="F567" s="12">
        <f>F!D106</f>
        <v>17312</v>
      </c>
      <c r="G567" s="12">
        <f>G!D106</f>
        <v>16829.599999999999</v>
      </c>
      <c r="H567">
        <f>YD!D106</f>
        <v>0</v>
      </c>
      <c r="I567">
        <f>I!D106</f>
        <v>0</v>
      </c>
      <c r="J567">
        <f>J!D106</f>
        <v>0</v>
      </c>
    </row>
    <row r="568" spans="1:10">
      <c r="A568" s="69" t="s">
        <v>206</v>
      </c>
      <c r="B568" s="12">
        <f>B!D107</f>
        <v>17661.689999999999</v>
      </c>
      <c r="C568" s="12">
        <f>'C'!D107</f>
        <v>16012.053000000002</v>
      </c>
      <c r="D568" s="12">
        <f>D!D107</f>
        <v>15914.450700000001</v>
      </c>
      <c r="E568" s="12">
        <f>E!D107</f>
        <v>17082.232335008779</v>
      </c>
      <c r="F568" s="12">
        <f>F!D107</f>
        <v>16232</v>
      </c>
      <c r="G568" s="12">
        <f>G!D107</f>
        <v>16635.3</v>
      </c>
      <c r="H568">
        <f>YD!D107</f>
        <v>0</v>
      </c>
      <c r="I568">
        <f>I!D107</f>
        <v>0</v>
      </c>
      <c r="J568">
        <f>J!D107</f>
        <v>0</v>
      </c>
    </row>
    <row r="569" spans="1:10">
      <c r="A569" s="69" t="s">
        <v>207</v>
      </c>
      <c r="B569" s="12">
        <f>B!D108</f>
        <v>16989.809999999998</v>
      </c>
      <c r="C569" s="12">
        <f>'C'!D108</f>
        <v>17082.161100000001</v>
      </c>
      <c r="D569" s="12">
        <f>D!D108</f>
        <v>17120.2641</v>
      </c>
      <c r="E569" s="12">
        <f>E!D108</f>
        <v>16742.994076383307</v>
      </c>
      <c r="F569" s="12">
        <f>F!D108</f>
        <v>16867</v>
      </c>
      <c r="G569" s="12">
        <f>G!D108</f>
        <v>17131.099999999999</v>
      </c>
      <c r="H569">
        <f>YD!D108</f>
        <v>0</v>
      </c>
      <c r="I569">
        <f>I!D108</f>
        <v>0</v>
      </c>
      <c r="J569">
        <f>J!D108</f>
        <v>0</v>
      </c>
    </row>
    <row r="570" spans="1:10">
      <c r="A570" s="69" t="s">
        <v>208</v>
      </c>
      <c r="B570" s="12">
        <f>B!D109</f>
        <v>13539.94</v>
      </c>
      <c r="C570" s="12">
        <f>'C'!D109</f>
        <v>13435.410900000001</v>
      </c>
      <c r="D570" s="12">
        <f>D!D109</f>
        <v>13445.083200000001</v>
      </c>
      <c r="E570" s="12">
        <f>E!D109</f>
        <v>13611.423923589224</v>
      </c>
      <c r="F570" s="12">
        <f>F!D109</f>
        <v>13484</v>
      </c>
      <c r="G570" s="12">
        <f>G!D109</f>
        <v>13524.8</v>
      </c>
      <c r="H570">
        <f>YD!D109</f>
        <v>0</v>
      </c>
      <c r="I570">
        <f>I!D109</f>
        <v>0</v>
      </c>
      <c r="J570">
        <f>J!D109</f>
        <v>0</v>
      </c>
    </row>
    <row r="571" spans="1:10">
      <c r="A571" s="69" t="s">
        <v>209</v>
      </c>
      <c r="B571" s="12">
        <f>B!D110</f>
        <v>13564.54</v>
      </c>
      <c r="C571" s="12">
        <f>'C'!D110</f>
        <v>13280.361000000001</v>
      </c>
      <c r="D571" s="12">
        <f>D!D110</f>
        <v>13285.0506</v>
      </c>
      <c r="E571" s="12">
        <f>E!D110</f>
        <v>13561.302379942472</v>
      </c>
      <c r="F571" s="12">
        <f>F!D110</f>
        <v>13322</v>
      </c>
      <c r="G571" s="12">
        <f>G!D110</f>
        <v>13355.8</v>
      </c>
      <c r="H571">
        <f>YD!D110</f>
        <v>0</v>
      </c>
      <c r="I571">
        <f>I!D110</f>
        <v>0</v>
      </c>
      <c r="J571">
        <f>J!D110</f>
        <v>0</v>
      </c>
    </row>
    <row r="572" spans="1:10">
      <c r="A572" s="69" t="s">
        <v>210</v>
      </c>
      <c r="B572" s="12">
        <f>B!D111</f>
        <v>14531.34</v>
      </c>
      <c r="C572" s="12">
        <f>'C'!D111</f>
        <v>13191.844800000001</v>
      </c>
      <c r="D572" s="12">
        <f>D!D111</f>
        <v>13192.137900000002</v>
      </c>
      <c r="E572" s="12">
        <f>E!D111</f>
        <v>13364.985006381361</v>
      </c>
      <c r="F572" s="12">
        <f>F!D111</f>
        <v>13139</v>
      </c>
      <c r="G572" s="12">
        <f>G!D111</f>
        <v>13343.3</v>
      </c>
      <c r="H572">
        <f>YD!D111</f>
        <v>0</v>
      </c>
      <c r="I572">
        <f>I!D111</f>
        <v>0</v>
      </c>
      <c r="J572">
        <f>J!D111</f>
        <v>0</v>
      </c>
    </row>
    <row r="573" spans="1:10">
      <c r="A573" s="70" t="s">
        <v>211</v>
      </c>
      <c r="B573" s="12">
        <f>B!D112</f>
        <v>13691.760000000002</v>
      </c>
      <c r="C573" s="12">
        <f>'C'!D112</f>
        <v>13724.407500000001</v>
      </c>
      <c r="D573" s="12">
        <f>D!D112</f>
        <v>13754.3037</v>
      </c>
      <c r="E573" s="12">
        <f>E!D112</f>
        <v>13370.466508481557</v>
      </c>
      <c r="F573" s="12">
        <f>F!D112</f>
        <v>13323</v>
      </c>
      <c r="G573" s="12">
        <f>G!D112</f>
        <v>12972.7</v>
      </c>
      <c r="H573">
        <f>YD!D112</f>
        <v>0</v>
      </c>
      <c r="I573">
        <f>I!D112</f>
        <v>0</v>
      </c>
      <c r="J573">
        <f>J!D112</f>
        <v>0</v>
      </c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245</v>
      </c>
      <c r="C579" s="10" t="s">
        <v>257</v>
      </c>
      <c r="D579" s="10" t="s">
        <v>258</v>
      </c>
      <c r="E579" s="10" t="s">
        <v>515</v>
      </c>
      <c r="F579" s="10" t="s">
        <v>373</v>
      </c>
      <c r="G579" s="10" t="s">
        <v>482</v>
      </c>
      <c r="H579" s="10" t="s">
        <v>516</v>
      </c>
      <c r="I579" s="10" t="s">
        <v>517</v>
      </c>
      <c r="J579" s="10" t="s">
        <v>517</v>
      </c>
    </row>
    <row r="580" spans="1:10">
      <c r="A580" s="69" t="s">
        <v>159</v>
      </c>
      <c r="B580" s="12">
        <f>B!E89</f>
        <v>6189.34</v>
      </c>
      <c r="C580" s="12">
        <f>'C'!E89</f>
        <v>5889.2583000000004</v>
      </c>
      <c r="D580" s="12">
        <f>D!E89</f>
        <v>5886.9135000000006</v>
      </c>
      <c r="E580" s="12">
        <f>E!E89</f>
        <v>5807.8572775113616</v>
      </c>
      <c r="F580" s="12">
        <f>F!E89</f>
        <v>5788</v>
      </c>
      <c r="G580" s="12">
        <f>G!E89</f>
        <v>5870.06</v>
      </c>
      <c r="H580">
        <f>YD!E89</f>
        <v>0</v>
      </c>
      <c r="I580">
        <f>I!E89</f>
        <v>0</v>
      </c>
      <c r="J580">
        <f>J!E89</f>
        <v>0</v>
      </c>
    </row>
    <row r="581" spans="1:10">
      <c r="A581" s="69" t="s">
        <v>166</v>
      </c>
      <c r="B581" s="12">
        <f>B!E90</f>
        <v>6201.56</v>
      </c>
      <c r="C581" s="12">
        <f>'C'!E90</f>
        <v>6069.8079000000007</v>
      </c>
      <c r="D581" s="12">
        <f>D!E90</f>
        <v>6067.170000000001</v>
      </c>
      <c r="E581" s="12">
        <f>E!E90</f>
        <v>5850.1562392488058</v>
      </c>
      <c r="F581" s="12">
        <f>F!E90</f>
        <v>5961</v>
      </c>
      <c r="G581" s="12">
        <f>G!E90</f>
        <v>5871.7</v>
      </c>
      <c r="H581">
        <f>YD!E90</f>
        <v>0</v>
      </c>
      <c r="I581">
        <f>I!E90</f>
        <v>0</v>
      </c>
      <c r="J581">
        <f>J!E90</f>
        <v>0</v>
      </c>
    </row>
    <row r="582" spans="1:10">
      <c r="A582" s="69" t="s">
        <v>169</v>
      </c>
      <c r="B582" s="12">
        <f>B!E91</f>
        <v>6194.38</v>
      </c>
      <c r="C582" s="12">
        <f>'C'!E91</f>
        <v>5881.3446000000004</v>
      </c>
      <c r="D582" s="12">
        <f>D!E91</f>
        <v>5878.1205</v>
      </c>
      <c r="E582" s="12">
        <f>E!E91</f>
        <v>5806.3856762322775</v>
      </c>
      <c r="F582" s="12">
        <f>F!E91</f>
        <v>5788</v>
      </c>
      <c r="G582" s="12">
        <f>G!E91</f>
        <v>5782.88</v>
      </c>
      <c r="H582">
        <f>YD!E91</f>
        <v>0</v>
      </c>
      <c r="I582">
        <f>I!E91</f>
        <v>0</v>
      </c>
      <c r="J582">
        <f>J!E91</f>
        <v>0</v>
      </c>
    </row>
    <row r="583" spans="1:10">
      <c r="A583" s="69" t="s">
        <v>171</v>
      </c>
      <c r="B583" s="12">
        <f>B!E92</f>
        <v>5548.55</v>
      </c>
      <c r="C583" s="12">
        <f>'C'!E92</f>
        <v>5878.1205</v>
      </c>
      <c r="D583" s="12">
        <f>D!E92</f>
        <v>5873.4309000000012</v>
      </c>
      <c r="E583" s="12">
        <f>E!E92</f>
        <v>5740.6566413451947</v>
      </c>
      <c r="F583" s="12">
        <f>F!E92</f>
        <v>5788</v>
      </c>
      <c r="G583" s="12">
        <f>G!E92</f>
        <v>5683.06</v>
      </c>
      <c r="H583">
        <f>YD!E92</f>
        <v>0</v>
      </c>
      <c r="I583">
        <f>I!E92</f>
        <v>0</v>
      </c>
      <c r="J583">
        <f>J!E92</f>
        <v>0</v>
      </c>
    </row>
    <row r="584" spans="1:10">
      <c r="A584" s="69" t="s">
        <v>173</v>
      </c>
      <c r="B584" s="12">
        <f>B!E93</f>
        <v>6318.9</v>
      </c>
      <c r="C584" s="12">
        <f>'C'!E93</f>
        <v>5675.2953000000007</v>
      </c>
      <c r="D584" s="12">
        <f>D!E93</f>
        <v>5671.7781000000004</v>
      </c>
      <c r="E584" s="12">
        <f>E!E93</f>
        <v>5611.5023954924445</v>
      </c>
      <c r="F584" s="12">
        <f>F!E93</f>
        <v>5580</v>
      </c>
      <c r="G584" s="12">
        <f>G!E93</f>
        <v>5955.01</v>
      </c>
      <c r="H584">
        <f>YD!E93</f>
        <v>0</v>
      </c>
      <c r="I584">
        <f>I!E93</f>
        <v>0</v>
      </c>
      <c r="J584">
        <f>J!E93</f>
        <v>0</v>
      </c>
    </row>
    <row r="585" spans="1:10">
      <c r="A585" s="69" t="s">
        <v>174</v>
      </c>
      <c r="B585" s="12">
        <f>B!E94</f>
        <v>5686.24</v>
      </c>
      <c r="C585" s="12">
        <f>'C'!E94</f>
        <v>6438.5277000000006</v>
      </c>
      <c r="D585" s="12">
        <f>D!E94</f>
        <v>6438.5277000000006</v>
      </c>
      <c r="E585" s="12">
        <f>E!E94</f>
        <v>6012.3324781198617</v>
      </c>
      <c r="F585" s="12">
        <f>F!E94</f>
        <v>6341</v>
      </c>
      <c r="G585" s="12">
        <f>G!E94</f>
        <v>7311.79</v>
      </c>
      <c r="H585">
        <f>YD!E94</f>
        <v>0</v>
      </c>
      <c r="I585">
        <f>I!E94</f>
        <v>0</v>
      </c>
      <c r="J585">
        <f>J!E94</f>
        <v>0</v>
      </c>
    </row>
    <row r="586" spans="1:10">
      <c r="A586" s="69" t="s">
        <v>176</v>
      </c>
      <c r="B586" s="12">
        <f>B!E95</f>
        <v>7596.88</v>
      </c>
      <c r="C586" s="12">
        <f>'C'!E95</f>
        <v>8342.2121999999999</v>
      </c>
      <c r="D586" s="12">
        <f>D!E95</f>
        <v>8347.781100000002</v>
      </c>
      <c r="E586" s="12">
        <f>E!E95</f>
        <v>7528.0124975351391</v>
      </c>
      <c r="F586" s="12">
        <f>F!E95</f>
        <v>8277</v>
      </c>
      <c r="G586" s="12">
        <f>G!E95</f>
        <v>8646.8700000000008</v>
      </c>
      <c r="H586">
        <f>YD!E95</f>
        <v>0</v>
      </c>
      <c r="I586">
        <f>I!E95</f>
        <v>0</v>
      </c>
      <c r="J586">
        <f>J!E95</f>
        <v>0</v>
      </c>
    </row>
    <row r="587" spans="1:10">
      <c r="A587" s="69" t="s">
        <v>178</v>
      </c>
      <c r="B587" s="12">
        <f>B!E96</f>
        <v>9558.23</v>
      </c>
      <c r="C587" s="12">
        <f>'C'!E96</f>
        <v>9069.9795000000013</v>
      </c>
      <c r="D587" s="12">
        <f>D!E96</f>
        <v>9069.1002000000008</v>
      </c>
      <c r="E587" s="12">
        <f>E!E96</f>
        <v>8751.3077372596945</v>
      </c>
      <c r="F587" s="12">
        <f>F!E96</f>
        <v>9038</v>
      </c>
      <c r="G587" s="12">
        <f>G!E96</f>
        <v>9298.6299999999992</v>
      </c>
      <c r="H587">
        <f>YD!E96</f>
        <v>0</v>
      </c>
      <c r="I587">
        <f>I!E96</f>
        <v>0</v>
      </c>
      <c r="J587">
        <f>J!E96</f>
        <v>0</v>
      </c>
    </row>
    <row r="588" spans="1:10">
      <c r="A588" s="69" t="s">
        <v>180</v>
      </c>
      <c r="B588" s="12">
        <f>B!E97</f>
        <v>11757.9</v>
      </c>
      <c r="C588" s="12">
        <f>'C'!E97</f>
        <v>11872.601700000001</v>
      </c>
      <c r="D588" s="12">
        <f>D!E97</f>
        <v>11875.239600000001</v>
      </c>
      <c r="E588" s="12">
        <f>E!E97</f>
        <v>11758.267257308833</v>
      </c>
      <c r="F588" s="12">
        <f>F!E97</f>
        <v>11971</v>
      </c>
      <c r="G588" s="12">
        <f>G!E97</f>
        <v>11923.2</v>
      </c>
      <c r="H588">
        <f>YD!E97</f>
        <v>0</v>
      </c>
      <c r="I588">
        <f>I!E97</f>
        <v>0</v>
      </c>
      <c r="J588">
        <f>J!E97</f>
        <v>0</v>
      </c>
    </row>
    <row r="589" spans="1:10">
      <c r="A589" s="69" t="s">
        <v>183</v>
      </c>
      <c r="B589" s="12">
        <f>B!E98</f>
        <v>11506.4</v>
      </c>
      <c r="C589" s="12">
        <f>'C'!E98</f>
        <v>12039.0825</v>
      </c>
      <c r="D589" s="12">
        <f>D!E98</f>
        <v>12041.134200000002</v>
      </c>
      <c r="E589" s="12">
        <f>E!E98</f>
        <v>11985.639804307306</v>
      </c>
      <c r="F589" s="12">
        <f>F!E98</f>
        <v>11971</v>
      </c>
      <c r="G589" s="12">
        <f>G!E98</f>
        <v>12287.1</v>
      </c>
      <c r="H589">
        <f>YD!E98</f>
        <v>0</v>
      </c>
      <c r="I589">
        <f>I!E98</f>
        <v>0</v>
      </c>
      <c r="J589">
        <f>J!E98</f>
        <v>0</v>
      </c>
    </row>
    <row r="590" spans="1:10">
      <c r="A590" s="69" t="s">
        <v>186</v>
      </c>
      <c r="B590" s="12">
        <f>B!E99</f>
        <v>12342.2</v>
      </c>
      <c r="C590" s="12">
        <f>'C'!E99</f>
        <v>12811.987200000003</v>
      </c>
      <c r="D590" s="12">
        <f>D!E99</f>
        <v>12817.556100000002</v>
      </c>
      <c r="E590" s="12">
        <f>E!E99</f>
        <v>12473.86093382575</v>
      </c>
      <c r="F590" s="12">
        <f>F!E99</f>
        <v>12731</v>
      </c>
      <c r="G590" s="12">
        <f>G!E99</f>
        <v>12561.8</v>
      </c>
      <c r="H590">
        <f>YD!E99</f>
        <v>0</v>
      </c>
      <c r="I590">
        <f>I!E99</f>
        <v>0</v>
      </c>
      <c r="J590">
        <f>J!E99</f>
        <v>0</v>
      </c>
    </row>
    <row r="591" spans="1:10">
      <c r="A591" s="69" t="s">
        <v>187</v>
      </c>
      <c r="B591" s="12">
        <f>B!E100</f>
        <v>12810</v>
      </c>
      <c r="C591" s="12">
        <f>'C'!E100</f>
        <v>12612.093000000001</v>
      </c>
      <c r="D591" s="12">
        <f>D!E100</f>
        <v>12610.920600000001</v>
      </c>
      <c r="E591" s="12">
        <f>E!E100</f>
        <v>12655.494386371805</v>
      </c>
      <c r="F591" s="12">
        <f>F!E100</f>
        <v>12559</v>
      </c>
      <c r="G591" s="12">
        <f>G!E100</f>
        <v>12561.3</v>
      </c>
      <c r="H591">
        <f>YD!E100</f>
        <v>0</v>
      </c>
      <c r="I591">
        <f>I!E100</f>
        <v>0</v>
      </c>
      <c r="J591">
        <f>J!E100</f>
        <v>0</v>
      </c>
    </row>
    <row r="592" spans="1:10">
      <c r="A592" s="69" t="s">
        <v>191</v>
      </c>
      <c r="B592" s="12">
        <f>B!E101</f>
        <v>16816.099999999999</v>
      </c>
      <c r="C592" s="12">
        <f>'C'!E101</f>
        <v>17139.022500000003</v>
      </c>
      <c r="D592" s="12">
        <f>D!E101</f>
        <v>17135.212200000002</v>
      </c>
      <c r="E592" s="12">
        <f>E!E101</f>
        <v>17378.503168130694</v>
      </c>
      <c r="F592" s="12">
        <f>F!E101</f>
        <v>17422</v>
      </c>
      <c r="G592" s="12">
        <f>G!E101</f>
        <v>17430.7</v>
      </c>
      <c r="H592">
        <f>YD!E101</f>
        <v>0</v>
      </c>
      <c r="I592">
        <f>I!E101</f>
        <v>0</v>
      </c>
      <c r="J592">
        <f>J!E101</f>
        <v>0</v>
      </c>
    </row>
    <row r="593" spans="1:10">
      <c r="A593" s="69" t="s">
        <v>194</v>
      </c>
      <c r="B593" s="12">
        <f>B!E102</f>
        <v>17283.5</v>
      </c>
      <c r="C593" s="12">
        <f>'C'!E102</f>
        <v>17638.1718</v>
      </c>
      <c r="D593" s="12">
        <f>D!E102</f>
        <v>17639.051100000004</v>
      </c>
      <c r="E593" s="12">
        <f>E!E102</f>
        <v>17574.609673320916</v>
      </c>
      <c r="F593" s="12">
        <f>F!E102</f>
        <v>17629</v>
      </c>
      <c r="G593" s="12">
        <f>G!E102</f>
        <v>17608.599999999999</v>
      </c>
      <c r="H593">
        <f>YD!E102</f>
        <v>0</v>
      </c>
      <c r="I593">
        <f>I!E102</f>
        <v>0</v>
      </c>
      <c r="J593">
        <f>J!E102</f>
        <v>0</v>
      </c>
    </row>
    <row r="594" spans="1:10">
      <c r="A594" s="69" t="s">
        <v>79</v>
      </c>
      <c r="B594" s="12">
        <f>B!E103</f>
        <v>22882.400000000001</v>
      </c>
      <c r="C594" s="12">
        <f>'C'!E103</f>
        <v>22196.463</v>
      </c>
      <c r="D594" s="12">
        <f>D!E103</f>
        <v>22196.756100000002</v>
      </c>
      <c r="E594" s="12">
        <f>E!E103</f>
        <v>22454.456081304808</v>
      </c>
      <c r="F594" s="12">
        <f>F!E103</f>
        <v>22491</v>
      </c>
      <c r="G594" s="12">
        <f>G!E103</f>
        <v>22350.400000000001</v>
      </c>
      <c r="H594">
        <f>YD!E103</f>
        <v>0</v>
      </c>
      <c r="I594">
        <f>I!E103</f>
        <v>0</v>
      </c>
      <c r="J594">
        <f>J!E103</f>
        <v>0</v>
      </c>
    </row>
    <row r="595" spans="1:10">
      <c r="A595" s="69" t="s">
        <v>198</v>
      </c>
      <c r="B595" s="12">
        <f>B!E104</f>
        <v>22284.7</v>
      </c>
      <c r="C595" s="12">
        <f>'C'!E104</f>
        <v>22527.9591</v>
      </c>
      <c r="D595" s="12">
        <f>D!E104</f>
        <v>22533.234900000003</v>
      </c>
      <c r="E595" s="12">
        <f>E!E104</f>
        <v>22527.669160985581</v>
      </c>
      <c r="F595" s="12">
        <f>F!E104</f>
        <v>22491</v>
      </c>
      <c r="G595" s="12">
        <f>G!E104</f>
        <v>22292</v>
      </c>
      <c r="H595">
        <f>YD!E104</f>
        <v>0</v>
      </c>
      <c r="I595">
        <f>I!E104</f>
        <v>0</v>
      </c>
      <c r="J595">
        <f>J!E104</f>
        <v>0</v>
      </c>
    </row>
    <row r="596" spans="1:10">
      <c r="A596" s="69" t="s">
        <v>201</v>
      </c>
      <c r="B596" s="12">
        <f>B!E105</f>
        <v>13048.3</v>
      </c>
      <c r="C596" s="12">
        <f>'C'!E105</f>
        <v>13599.253800000002</v>
      </c>
      <c r="D596" s="12">
        <f>D!E105</f>
        <v>13600.133100000001</v>
      </c>
      <c r="E596" s="12">
        <f>E!E105</f>
        <v>13046.967162474944</v>
      </c>
      <c r="F596" s="12">
        <f>F!E105</f>
        <v>12939</v>
      </c>
      <c r="G596" s="12">
        <f>G!E105</f>
        <v>12739.1</v>
      </c>
      <c r="H596">
        <f>YD!E105</f>
        <v>0</v>
      </c>
      <c r="I596">
        <f>I!E105</f>
        <v>0</v>
      </c>
      <c r="J596">
        <f>J!E105</f>
        <v>0</v>
      </c>
    </row>
    <row r="597" spans="1:10">
      <c r="A597" s="69" t="s">
        <v>204</v>
      </c>
      <c r="B597" s="12">
        <f>B!E106</f>
        <v>12720.6</v>
      </c>
      <c r="C597" s="12">
        <f>'C'!E106</f>
        <v>12829.866300000002</v>
      </c>
      <c r="D597" s="12">
        <f>D!E106</f>
        <v>12831.624899999999</v>
      </c>
      <c r="E597" s="12">
        <f>E!E106</f>
        <v>12851.449546450694</v>
      </c>
      <c r="F597" s="12">
        <f>F!E106</f>
        <v>12729</v>
      </c>
      <c r="G597" s="12">
        <f>G!E106</f>
        <v>12180.9</v>
      </c>
      <c r="H597">
        <f>YD!E106</f>
        <v>0</v>
      </c>
      <c r="I597">
        <f>I!E106</f>
        <v>0</v>
      </c>
      <c r="J597">
        <f>J!E106</f>
        <v>0</v>
      </c>
    </row>
    <row r="598" spans="1:10">
      <c r="A598" s="69" t="s">
        <v>206</v>
      </c>
      <c r="B598" s="12">
        <f>B!E107</f>
        <v>12490.8</v>
      </c>
      <c r="C598" s="12">
        <f>'C'!E107</f>
        <v>11875.532700000002</v>
      </c>
      <c r="D598" s="12">
        <f>D!E107</f>
        <v>11871.136200000001</v>
      </c>
      <c r="E598" s="12">
        <f>E!E107</f>
        <v>12151.736356827056</v>
      </c>
      <c r="F598" s="12">
        <f>F!E107</f>
        <v>11761</v>
      </c>
      <c r="G598" s="12">
        <f>G!E107</f>
        <v>11540.7</v>
      </c>
      <c r="H598">
        <f>YD!E107</f>
        <v>0</v>
      </c>
      <c r="I598">
        <f>I!E107</f>
        <v>0</v>
      </c>
      <c r="J598">
        <f>J!E107</f>
        <v>0</v>
      </c>
    </row>
    <row r="599" spans="1:10">
      <c r="A599" s="69" t="s">
        <v>207</v>
      </c>
      <c r="B599" s="12">
        <f>B!E108</f>
        <v>11655.3</v>
      </c>
      <c r="C599" s="12">
        <f>'C'!E108</f>
        <v>11532.312600000001</v>
      </c>
      <c r="D599" s="12">
        <f>D!E108</f>
        <v>11534.071199999998</v>
      </c>
      <c r="E599" s="12">
        <f>E!E108</f>
        <v>11537.499229337138</v>
      </c>
      <c r="F599" s="12">
        <f>F!E108</f>
        <v>11381</v>
      </c>
      <c r="G599" s="12">
        <f>G!E108</f>
        <v>11359.2</v>
      </c>
      <c r="H599">
        <f>YD!E108</f>
        <v>0</v>
      </c>
      <c r="I599">
        <f>I!E108</f>
        <v>0</v>
      </c>
      <c r="J599">
        <f>J!E108</f>
        <v>0</v>
      </c>
    </row>
    <row r="600" spans="1:10">
      <c r="A600" s="69" t="s">
        <v>208</v>
      </c>
      <c r="B600" s="12">
        <f>B!E109</f>
        <v>8882.19</v>
      </c>
      <c r="C600" s="12">
        <f>'C'!E109</f>
        <v>9302.4078000000009</v>
      </c>
      <c r="D600" s="12">
        <f>D!E109</f>
        <v>9302.7008999999998</v>
      </c>
      <c r="E600" s="12">
        <f>E!E109</f>
        <v>9049.8698998548061</v>
      </c>
      <c r="F600" s="12">
        <f>F!E109</f>
        <v>9036</v>
      </c>
      <c r="G600" s="12">
        <f>G!E109</f>
        <v>8931.39</v>
      </c>
      <c r="H600">
        <f>YD!E109</f>
        <v>0</v>
      </c>
      <c r="I600">
        <f>I!E109</f>
        <v>0</v>
      </c>
      <c r="J600">
        <f>J!E109</f>
        <v>0</v>
      </c>
    </row>
    <row r="601" spans="1:10">
      <c r="A601" s="69" t="s">
        <v>209</v>
      </c>
      <c r="B601" s="12">
        <f>B!E110</f>
        <v>8880.2800000000007</v>
      </c>
      <c r="C601" s="12">
        <f>'C'!E110</f>
        <v>8973.5496000000003</v>
      </c>
      <c r="D601" s="12">
        <f>D!E110</f>
        <v>8973.8427000000011</v>
      </c>
      <c r="E601" s="12">
        <f>E!E110</f>
        <v>8939.7425389421678</v>
      </c>
      <c r="F601" s="12">
        <f>F!E110</f>
        <v>8864</v>
      </c>
      <c r="G601" s="12">
        <f>G!E110</f>
        <v>8747.2199999999993</v>
      </c>
      <c r="H601">
        <f>YD!E110</f>
        <v>0</v>
      </c>
      <c r="I601">
        <f>I!E110</f>
        <v>0</v>
      </c>
      <c r="J601">
        <f>J!E110</f>
        <v>0</v>
      </c>
    </row>
    <row r="602" spans="1:10">
      <c r="A602" s="69" t="s">
        <v>210</v>
      </c>
      <c r="B602" s="12">
        <f>B!E111</f>
        <v>9449.35</v>
      </c>
      <c r="C602" s="12">
        <f>'C'!E111</f>
        <v>8787.4311000000016</v>
      </c>
      <c r="D602" s="12">
        <f>D!E111</f>
        <v>8787.4311000000016</v>
      </c>
      <c r="E602" s="12">
        <f>E!E111</f>
        <v>8740.967918290029</v>
      </c>
      <c r="F602" s="12">
        <f>F!E111</f>
        <v>8656</v>
      </c>
      <c r="G602" s="12">
        <f>G!E111</f>
        <v>8646.75</v>
      </c>
      <c r="H602">
        <f>YD!E111</f>
        <v>0</v>
      </c>
      <c r="I602">
        <f>I!E111</f>
        <v>0</v>
      </c>
      <c r="J602">
        <f>J!E111</f>
        <v>0</v>
      </c>
    </row>
    <row r="603" spans="1:10">
      <c r="A603" s="70" t="s">
        <v>211</v>
      </c>
      <c r="B603" s="12">
        <f>B!E112</f>
        <v>8806.5400000000009</v>
      </c>
      <c r="C603" s="12">
        <f>'C'!E112</f>
        <v>8799.1550999999999</v>
      </c>
      <c r="D603" s="12">
        <f>D!E112</f>
        <v>8799.7412999999997</v>
      </c>
      <c r="E603" s="12">
        <f>E!E112</f>
        <v>8661.2370787404452</v>
      </c>
      <c r="F603" s="12">
        <f>F!E112</f>
        <v>8656</v>
      </c>
      <c r="G603" s="12">
        <f>G!E112</f>
        <v>8359.6</v>
      </c>
      <c r="H603">
        <f>YD!E112</f>
        <v>0</v>
      </c>
      <c r="I603">
        <f>I!E112</f>
        <v>0</v>
      </c>
      <c r="J603">
        <f>J!E112</f>
        <v>0</v>
      </c>
    </row>
    <row r="604" spans="1:10" ht="15.75">
      <c r="A604" s="11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245</v>
      </c>
      <c r="C609" s="10" t="s">
        <v>257</v>
      </c>
      <c r="D609" s="10" t="s">
        <v>258</v>
      </c>
      <c r="E609" s="10" t="s">
        <v>515</v>
      </c>
      <c r="F609" s="10" t="s">
        <v>373</v>
      </c>
      <c r="G609" s="10" t="s">
        <v>482</v>
      </c>
      <c r="H609" s="10" t="s">
        <v>516</v>
      </c>
      <c r="I609" s="10" t="s">
        <v>517</v>
      </c>
      <c r="J609" s="10" t="s">
        <v>517</v>
      </c>
    </row>
    <row r="610" spans="1:10">
      <c r="A610" s="69" t="s">
        <v>159</v>
      </c>
      <c r="B610" s="115">
        <f>B!F89</f>
        <v>1942.39</v>
      </c>
      <c r="C610" s="115">
        <f>'C'!F89</f>
        <v>1663.0494000000001</v>
      </c>
      <c r="D610" s="115">
        <f>D!F89</f>
        <v>1658.0667000000001</v>
      </c>
      <c r="E610" s="115">
        <f>E!F89</f>
        <v>1795.0172270492249</v>
      </c>
      <c r="F610" s="115">
        <f>F!F89</f>
        <v>1684</v>
      </c>
      <c r="G610" s="115">
        <f>G!F89</f>
        <v>1797.5</v>
      </c>
      <c r="H610">
        <f>YD!F89</f>
        <v>0</v>
      </c>
      <c r="I610">
        <f>I!F89</f>
        <v>0</v>
      </c>
      <c r="J610">
        <f>J!F89</f>
        <v>0</v>
      </c>
    </row>
    <row r="611" spans="1:10">
      <c r="A611" s="69" t="s">
        <v>166</v>
      </c>
      <c r="B611" s="115">
        <f>B!F90</f>
        <v>1914.24</v>
      </c>
      <c r="C611" s="115">
        <f>'C'!F90</f>
        <v>1560.4644000000001</v>
      </c>
      <c r="D611" s="115">
        <f>D!F90</f>
        <v>1559.8782000000001</v>
      </c>
      <c r="E611" s="115">
        <f>E!F90</f>
        <v>1777.9436151772693</v>
      </c>
      <c r="F611" s="115">
        <f>F!F90</f>
        <v>1747</v>
      </c>
      <c r="G611" s="115">
        <f>G!F90</f>
        <v>1802.77</v>
      </c>
      <c r="H611">
        <f>YD!F90</f>
        <v>0</v>
      </c>
      <c r="I611">
        <f>I!F90</f>
        <v>0</v>
      </c>
      <c r="J611">
        <f>J!F90</f>
        <v>0</v>
      </c>
    </row>
    <row r="612" spans="1:10">
      <c r="A612" s="69" t="s">
        <v>169</v>
      </c>
      <c r="B612" s="115">
        <f>B!F91</f>
        <v>1933.51</v>
      </c>
      <c r="C612" s="115">
        <f>'C'!F91</f>
        <v>1668.9114000000002</v>
      </c>
      <c r="D612" s="115">
        <f>D!F91</f>
        <v>1668.0321000000001</v>
      </c>
      <c r="E612" s="115">
        <f>E!F91</f>
        <v>1773.0766896415832</v>
      </c>
      <c r="F612" s="115">
        <f>F!F91</f>
        <v>1657</v>
      </c>
      <c r="G612" s="115">
        <f>G!F91</f>
        <v>1745.07</v>
      </c>
      <c r="H612">
        <f>YD!F91</f>
        <v>0</v>
      </c>
      <c r="I612">
        <f>I!F91</f>
        <v>0</v>
      </c>
      <c r="J612">
        <f>J!F91</f>
        <v>0</v>
      </c>
    </row>
    <row r="613" spans="1:10">
      <c r="A613" s="69" t="s">
        <v>171</v>
      </c>
      <c r="B613" s="115">
        <f>B!F92</f>
        <v>1675.6</v>
      </c>
      <c r="C613" s="115">
        <f>'C'!F92</f>
        <v>1655.7219000000002</v>
      </c>
      <c r="D613" s="115">
        <f>D!F92</f>
        <v>1654.8426000000002</v>
      </c>
      <c r="E613" s="115">
        <f>E!F92</f>
        <v>1723.1504265828889</v>
      </c>
      <c r="F613" s="115">
        <f>F!F92</f>
        <v>1644</v>
      </c>
      <c r="G613" s="115">
        <f>G!F92</f>
        <v>1634.17</v>
      </c>
      <c r="H613">
        <f>YD!F92</f>
        <v>0</v>
      </c>
      <c r="I613">
        <f>I!F92</f>
        <v>0</v>
      </c>
      <c r="J613">
        <f>J!F92</f>
        <v>0</v>
      </c>
    </row>
    <row r="614" spans="1:10">
      <c r="A614" s="69" t="s">
        <v>173</v>
      </c>
      <c r="B614" s="115">
        <f>B!F93</f>
        <v>1785.95</v>
      </c>
      <c r="C614" s="115">
        <f>'C'!F93</f>
        <v>1122.5730000000001</v>
      </c>
      <c r="D614" s="115">
        <f>D!F93</f>
        <v>1081.2459000000001</v>
      </c>
      <c r="E614" s="115">
        <f>E!F93</f>
        <v>1607.3746213558306</v>
      </c>
      <c r="F614" s="115">
        <f>F!F93</f>
        <v>1420</v>
      </c>
      <c r="G614" s="115">
        <f>G!F93</f>
        <v>1559.34</v>
      </c>
      <c r="H614">
        <f>YD!F93</f>
        <v>0</v>
      </c>
      <c r="I614">
        <f>I!F93</f>
        <v>0</v>
      </c>
      <c r="J614">
        <f>J!F93</f>
        <v>0</v>
      </c>
    </row>
    <row r="615" spans="1:10">
      <c r="A615" s="69" t="s">
        <v>174</v>
      </c>
      <c r="B615" s="115">
        <f>B!F94</f>
        <v>1444.63</v>
      </c>
      <c r="C615" s="115">
        <f>'C'!F94</f>
        <v>1697.6352000000002</v>
      </c>
      <c r="D615" s="115">
        <f>D!F94</f>
        <v>1746.5829000000001</v>
      </c>
      <c r="E615" s="115">
        <f>E!F94</f>
        <v>1550.8876156048027</v>
      </c>
      <c r="F615" s="115">
        <f>F!F94</f>
        <v>1574</v>
      </c>
      <c r="G615" s="115">
        <f>G!F94</f>
        <v>1911.15</v>
      </c>
      <c r="H615">
        <f>YD!F94</f>
        <v>0</v>
      </c>
      <c r="I615">
        <f>I!F94</f>
        <v>0</v>
      </c>
      <c r="J615">
        <f>J!F94</f>
        <v>0</v>
      </c>
    </row>
    <row r="616" spans="1:10">
      <c r="A616" s="69" t="s">
        <v>176</v>
      </c>
      <c r="B616" s="115">
        <f>B!F95</f>
        <v>2114.5</v>
      </c>
      <c r="C616" s="115">
        <f>'C'!F95</f>
        <v>2733.7437000000004</v>
      </c>
      <c r="D616" s="115">
        <f>D!F95</f>
        <v>2884.9833000000003</v>
      </c>
      <c r="E616" s="115">
        <f>E!F95</f>
        <v>1865.0284813883054</v>
      </c>
      <c r="F616" s="115">
        <f>F!F95</f>
        <v>2173</v>
      </c>
      <c r="G616" s="115">
        <f>G!F95</f>
        <v>2122.59</v>
      </c>
      <c r="H616">
        <f>YD!F95</f>
        <v>0</v>
      </c>
      <c r="I616">
        <f>I!F95</f>
        <v>0</v>
      </c>
      <c r="J616">
        <f>J!F95</f>
        <v>0</v>
      </c>
    </row>
    <row r="617" spans="1:10">
      <c r="A617" s="69" t="s">
        <v>178</v>
      </c>
      <c r="B617" s="115">
        <f>B!F96</f>
        <v>2563.08</v>
      </c>
      <c r="C617" s="115">
        <f>'C'!F96</f>
        <v>1220.7615000000001</v>
      </c>
      <c r="D617" s="115">
        <f>D!F96</f>
        <v>1202.5893000000001</v>
      </c>
      <c r="E617" s="115">
        <f>E!F96</f>
        <v>2069.1885035570167</v>
      </c>
      <c r="F617" s="115">
        <f>F!F96</f>
        <v>1775</v>
      </c>
      <c r="G617" s="115">
        <f>G!F96</f>
        <v>1887.81</v>
      </c>
      <c r="H617">
        <f>YD!F96</f>
        <v>0</v>
      </c>
      <c r="I617">
        <f>I!F96</f>
        <v>0</v>
      </c>
      <c r="J617">
        <f>J!F96</f>
        <v>0</v>
      </c>
    </row>
    <row r="618" spans="1:10">
      <c r="A618" s="69" t="s">
        <v>180</v>
      </c>
      <c r="B618" s="115">
        <f>B!F97</f>
        <v>2797.72</v>
      </c>
      <c r="C618" s="115">
        <f>'C'!F97</f>
        <v>2913.1209000000003</v>
      </c>
      <c r="D618" s="115">
        <f>D!F97</f>
        <v>2968.8099000000002</v>
      </c>
      <c r="E618" s="115">
        <f>E!F97</f>
        <v>2522.4250716597498</v>
      </c>
      <c r="F618" s="115">
        <f>F!F97</f>
        <v>2660</v>
      </c>
      <c r="G618" s="115">
        <f>G!F97</f>
        <v>2821.19</v>
      </c>
      <c r="H618">
        <f>YD!F97</f>
        <v>0</v>
      </c>
      <c r="I618">
        <f>I!F97</f>
        <v>0</v>
      </c>
      <c r="J618">
        <f>J!F97</f>
        <v>0</v>
      </c>
    </row>
    <row r="619" spans="1:10">
      <c r="A619" s="69" t="s">
        <v>183</v>
      </c>
      <c r="B619" s="115">
        <f>B!F98</f>
        <v>3132.98</v>
      </c>
      <c r="C619" s="115">
        <f>'C'!F98</f>
        <v>3300.8922000000002</v>
      </c>
      <c r="D619" s="115">
        <f>D!F98</f>
        <v>3351.5985000000005</v>
      </c>
      <c r="E619" s="115">
        <f>E!F98</f>
        <v>3019.5601119123889</v>
      </c>
      <c r="F619" s="115">
        <f>F!F98</f>
        <v>3128</v>
      </c>
      <c r="G619" s="115">
        <f>G!F98</f>
        <v>3595.03</v>
      </c>
      <c r="H619">
        <f>YD!F98</f>
        <v>0</v>
      </c>
      <c r="I619">
        <f>I!F98</f>
        <v>0</v>
      </c>
      <c r="J619">
        <f>J!F98</f>
        <v>0</v>
      </c>
    </row>
    <row r="620" spans="1:10">
      <c r="A620" s="69" t="s">
        <v>186</v>
      </c>
      <c r="B620" s="115">
        <f>B!F99</f>
        <v>4031.89</v>
      </c>
      <c r="C620" s="115">
        <f>'C'!F99</f>
        <v>4643.2902000000004</v>
      </c>
      <c r="D620" s="115">
        <f>D!F99</f>
        <v>4787.4954000000007</v>
      </c>
      <c r="E620" s="115">
        <f>E!F99</f>
        <v>3654.048463736528</v>
      </c>
      <c r="F620" s="115">
        <f>F!F99</f>
        <v>3991</v>
      </c>
      <c r="G620" s="115">
        <f>G!F99</f>
        <v>4052.76</v>
      </c>
      <c r="H620">
        <f>YD!F99</f>
        <v>0</v>
      </c>
      <c r="I620">
        <f>I!F99</f>
        <v>0</v>
      </c>
      <c r="J620">
        <f>J!F99</f>
        <v>0</v>
      </c>
    </row>
    <row r="621" spans="1:10">
      <c r="A621" s="69" t="s">
        <v>187</v>
      </c>
      <c r="B621" s="115">
        <f>B!F100</f>
        <v>4438.3999999999996</v>
      </c>
      <c r="C621" s="115">
        <f>'C'!F100</f>
        <v>3603.0783000000001</v>
      </c>
      <c r="D621" s="115">
        <f>D!F100</f>
        <v>3576.6993000000002</v>
      </c>
      <c r="E621" s="115">
        <f>E!F100</f>
        <v>4086.9647491856945</v>
      </c>
      <c r="F621" s="115">
        <f>F!F100</f>
        <v>3699</v>
      </c>
      <c r="G621" s="115">
        <f>G!F100</f>
        <v>3468.23</v>
      </c>
      <c r="H621">
        <f>YD!F100</f>
        <v>0</v>
      </c>
      <c r="I621">
        <f>I!F100</f>
        <v>0</v>
      </c>
      <c r="J621">
        <f>J!F100</f>
        <v>0</v>
      </c>
    </row>
    <row r="622" spans="1:10">
      <c r="A622" s="69" t="s">
        <v>191</v>
      </c>
      <c r="B622" s="115">
        <f>B!F101</f>
        <v>3682.11</v>
      </c>
      <c r="C622" s="115">
        <f>'C'!F101</f>
        <v>2583.9696000000004</v>
      </c>
      <c r="D622" s="115">
        <f>D!F101</f>
        <v>2485.7811000000002</v>
      </c>
      <c r="E622" s="115">
        <f>E!F101</f>
        <v>4495.4560388996115</v>
      </c>
      <c r="F622" s="115">
        <f>F!F101</f>
        <v>3669</v>
      </c>
      <c r="G622" s="115">
        <f>G!F101</f>
        <v>3749.01</v>
      </c>
      <c r="H622">
        <f>YD!F101</f>
        <v>0</v>
      </c>
      <c r="I622">
        <f>I!F101</f>
        <v>0</v>
      </c>
      <c r="J622">
        <f>J!F101</f>
        <v>0</v>
      </c>
    </row>
    <row r="623" spans="1:10">
      <c r="A623" s="69" t="s">
        <v>194</v>
      </c>
      <c r="B623" s="115">
        <f>B!F102</f>
        <v>2950.56</v>
      </c>
      <c r="C623" s="115">
        <f>'C'!F102</f>
        <v>3170.1696000000002</v>
      </c>
      <c r="D623" s="115">
        <f>D!F102</f>
        <v>3180.1350000000002</v>
      </c>
      <c r="E623" s="115">
        <f>E!F102</f>
        <v>3358.8288061456387</v>
      </c>
      <c r="F623" s="115">
        <f>F!F102</f>
        <v>3438</v>
      </c>
      <c r="G623" s="115">
        <f>G!F102</f>
        <v>3446.79</v>
      </c>
      <c r="H623">
        <f>YD!F102</f>
        <v>0</v>
      </c>
      <c r="I623">
        <f>I!F102</f>
        <v>0</v>
      </c>
      <c r="J623">
        <f>J!F102</f>
        <v>0</v>
      </c>
    </row>
    <row r="624" spans="1:10">
      <c r="A624" s="69" t="s">
        <v>79</v>
      </c>
      <c r="B624" s="115">
        <f>B!F103</f>
        <v>3804.88</v>
      </c>
      <c r="C624" s="115">
        <f>'C'!F103</f>
        <v>3190.6866000000005</v>
      </c>
      <c r="D624" s="115">
        <f>D!F103</f>
        <v>3195.9624000000003</v>
      </c>
      <c r="E624" s="115">
        <f>E!F103</f>
        <v>3978.4548078631387</v>
      </c>
      <c r="F624" s="115">
        <f>F!F103</f>
        <v>4145</v>
      </c>
      <c r="G624" s="115">
        <f>G!F103</f>
        <v>4719.45</v>
      </c>
      <c r="H624">
        <f>YD!F103</f>
        <v>0</v>
      </c>
      <c r="I624">
        <f>I!F103</f>
        <v>0</v>
      </c>
      <c r="J624">
        <f>J!F103</f>
        <v>0</v>
      </c>
    </row>
    <row r="625" spans="1:10">
      <c r="A625" s="69" t="s">
        <v>198</v>
      </c>
      <c r="B625" s="115">
        <f>B!F104</f>
        <v>4437.9799999999996</v>
      </c>
      <c r="C625" s="115">
        <f>'C'!F104</f>
        <v>5053.0440000000008</v>
      </c>
      <c r="D625" s="115">
        <f>D!F104</f>
        <v>5187.8700000000008</v>
      </c>
      <c r="E625" s="115">
        <f>E!F104</f>
        <v>4415.6876523017218</v>
      </c>
      <c r="F625" s="115">
        <f>F!F104</f>
        <v>4925</v>
      </c>
      <c r="G625" s="115">
        <f>G!F104</f>
        <v>5331.25</v>
      </c>
      <c r="H625">
        <f>YD!F104</f>
        <v>0</v>
      </c>
      <c r="I625">
        <f>I!F104</f>
        <v>0</v>
      </c>
      <c r="J625">
        <f>J!F104</f>
        <v>0</v>
      </c>
    </row>
    <row r="626" spans="1:10">
      <c r="A626" s="69" t="s">
        <v>201</v>
      </c>
      <c r="B626" s="115">
        <f>B!F105</f>
        <v>4183.03</v>
      </c>
      <c r="C626" s="115">
        <f>'C'!F105</f>
        <v>4605.4803000000002</v>
      </c>
      <c r="D626" s="115">
        <f>D!F105</f>
        <v>4644.4626000000007</v>
      </c>
      <c r="E626" s="115">
        <f>E!F105</f>
        <v>3478.7931101908612</v>
      </c>
      <c r="F626" s="115">
        <f>F!F105</f>
        <v>3763</v>
      </c>
      <c r="G626" s="115">
        <f>G!F105</f>
        <v>3811.95</v>
      </c>
      <c r="H626">
        <f>YD!F105</f>
        <v>0</v>
      </c>
      <c r="I626">
        <f>I!F105</f>
        <v>0</v>
      </c>
      <c r="J626">
        <f>J!F105</f>
        <v>0</v>
      </c>
    </row>
    <row r="627" spans="1:10">
      <c r="A627" s="69" t="s">
        <v>204</v>
      </c>
      <c r="B627" s="115">
        <f>B!F106</f>
        <v>4785.28</v>
      </c>
      <c r="C627" s="115">
        <f>'C'!F106</f>
        <v>5103.4572000000007</v>
      </c>
      <c r="D627" s="115">
        <f>D!F106</f>
        <v>5146.2498000000005</v>
      </c>
      <c r="E627" s="115">
        <f>E!F106</f>
        <v>4554.1122046229166</v>
      </c>
      <c r="F627" s="115">
        <f>F!F106</f>
        <v>4582</v>
      </c>
      <c r="G627" s="115">
        <f>G!F106</f>
        <v>4648.7700000000004</v>
      </c>
      <c r="H627">
        <f>YD!F106</f>
        <v>0</v>
      </c>
      <c r="I627">
        <f>I!F106</f>
        <v>0</v>
      </c>
      <c r="J627">
        <f>J!F106</f>
        <v>0</v>
      </c>
    </row>
    <row r="628" spans="1:10">
      <c r="A628" s="69" t="s">
        <v>206</v>
      </c>
      <c r="B628" s="115">
        <f>B!F107</f>
        <v>5170.8900000000003</v>
      </c>
      <c r="C628" s="115">
        <f>'C'!F107</f>
        <v>4136.5203000000001</v>
      </c>
      <c r="D628" s="115">
        <f>D!F107</f>
        <v>4043.3145000000004</v>
      </c>
      <c r="E628" s="115">
        <f>E!F107</f>
        <v>4930.4959781817224</v>
      </c>
      <c r="F628" s="115">
        <f>F!F107</f>
        <v>4470</v>
      </c>
      <c r="G628" s="115">
        <f>G!F107</f>
        <v>5094.59</v>
      </c>
      <c r="H628">
        <f>YD!F107</f>
        <v>0</v>
      </c>
      <c r="I628">
        <f>I!F107</f>
        <v>0</v>
      </c>
      <c r="J628">
        <f>J!F107</f>
        <v>0</v>
      </c>
    </row>
    <row r="629" spans="1:10">
      <c r="A629" s="69" t="s">
        <v>207</v>
      </c>
      <c r="B629" s="115">
        <f>B!F108</f>
        <v>5334.51</v>
      </c>
      <c r="C629" s="115">
        <f>'C'!F108</f>
        <v>5549.848500000001</v>
      </c>
      <c r="D629" s="115">
        <f>D!F108</f>
        <v>5586.1929000000009</v>
      </c>
      <c r="E629" s="115">
        <f>E!F108</f>
        <v>5205.494847046195</v>
      </c>
      <c r="F629" s="115">
        <f>F!F108</f>
        <v>5486</v>
      </c>
      <c r="G629" s="115">
        <f>G!F108</f>
        <v>5771.92</v>
      </c>
      <c r="H629">
        <f>YD!F108</f>
        <v>0</v>
      </c>
      <c r="I629">
        <f>I!F108</f>
        <v>0</v>
      </c>
      <c r="J629">
        <f>J!F108</f>
        <v>0</v>
      </c>
    </row>
    <row r="630" spans="1:10">
      <c r="A630" s="69" t="s">
        <v>208</v>
      </c>
      <c r="B630" s="115">
        <f>B!F109</f>
        <v>4657.75</v>
      </c>
      <c r="C630" s="115">
        <f>'C'!F109</f>
        <v>4133.0031000000008</v>
      </c>
      <c r="D630" s="115">
        <f>D!F109</f>
        <v>4142.3823000000002</v>
      </c>
      <c r="E630" s="115">
        <f>E!F109</f>
        <v>4561.5540237343894</v>
      </c>
      <c r="F630" s="115">
        <f>F!F109</f>
        <v>4447</v>
      </c>
      <c r="G630" s="115">
        <f>G!F109</f>
        <v>4593.42</v>
      </c>
      <c r="H630">
        <f>YD!F109</f>
        <v>0</v>
      </c>
      <c r="I630">
        <f>I!F109</f>
        <v>0</v>
      </c>
      <c r="J630">
        <f>J!F109</f>
        <v>0</v>
      </c>
    </row>
    <row r="631" spans="1:10">
      <c r="A631" s="69" t="s">
        <v>209</v>
      </c>
      <c r="B631" s="115">
        <f>B!F110</f>
        <v>4684.26</v>
      </c>
      <c r="C631" s="115">
        <f>'C'!F110</f>
        <v>4306.8114000000005</v>
      </c>
      <c r="D631" s="115">
        <f>D!F110</f>
        <v>4311.2079000000003</v>
      </c>
      <c r="E631" s="115">
        <f>E!F110</f>
        <v>4621.5598410003331</v>
      </c>
      <c r="F631" s="115">
        <f>F!F110</f>
        <v>4459</v>
      </c>
      <c r="G631" s="115">
        <f>G!F110</f>
        <v>4608.6000000000004</v>
      </c>
      <c r="H631">
        <f>YD!F110</f>
        <v>0</v>
      </c>
      <c r="I631">
        <f>I!F110</f>
        <v>0</v>
      </c>
      <c r="J631">
        <f>J!F110</f>
        <v>0</v>
      </c>
    </row>
    <row r="632" spans="1:10">
      <c r="A632" s="69" t="s">
        <v>210</v>
      </c>
      <c r="B632" s="115">
        <f>B!F111</f>
        <v>5081.99</v>
      </c>
      <c r="C632" s="115">
        <f>'C'!F111</f>
        <v>4404.4137000000001</v>
      </c>
      <c r="D632" s="115">
        <f>D!F111</f>
        <v>4404.7068000000008</v>
      </c>
      <c r="E632" s="115">
        <f>E!F111</f>
        <v>4624.0170880913329</v>
      </c>
      <c r="F632" s="115">
        <f>F!F111</f>
        <v>4482</v>
      </c>
      <c r="G632" s="115">
        <f>G!F111</f>
        <v>4696.5600000000004</v>
      </c>
      <c r="H632">
        <f>YD!F111</f>
        <v>0</v>
      </c>
      <c r="I632">
        <f>I!F111</f>
        <v>0</v>
      </c>
      <c r="J632">
        <f>J!F111</f>
        <v>0</v>
      </c>
    </row>
    <row r="633" spans="1:10">
      <c r="A633" s="70" t="s">
        <v>211</v>
      </c>
      <c r="B633" s="115">
        <f>B!F112</f>
        <v>4885.22</v>
      </c>
      <c r="C633" s="115">
        <f>'C'!F112</f>
        <v>4925.2524000000003</v>
      </c>
      <c r="D633" s="115">
        <f>D!F112</f>
        <v>4954.5624000000007</v>
      </c>
      <c r="E633" s="115">
        <f>E!F112</f>
        <v>4709.2294297411108</v>
      </c>
      <c r="F633" s="115">
        <f>F!F112</f>
        <v>4666</v>
      </c>
      <c r="G633" s="115">
        <f>G!F112</f>
        <v>4613.0600000000004</v>
      </c>
      <c r="H633">
        <f>YD!F112</f>
        <v>0</v>
      </c>
      <c r="I633">
        <f>I!F112</f>
        <v>0</v>
      </c>
      <c r="J633">
        <f>J!F112</f>
        <v>0</v>
      </c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415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245</v>
      </c>
      <c r="C639" s="10" t="s">
        <v>257</v>
      </c>
      <c r="D639" s="10" t="s">
        <v>258</v>
      </c>
      <c r="E639" s="10" t="s">
        <v>515</v>
      </c>
      <c r="F639" s="10" t="s">
        <v>373</v>
      </c>
      <c r="G639" s="10" t="s">
        <v>482</v>
      </c>
      <c r="H639" s="10" t="s">
        <v>516</v>
      </c>
      <c r="I639" s="10" t="s">
        <v>517</v>
      </c>
      <c r="J639" s="10" t="s">
        <v>517</v>
      </c>
    </row>
    <row r="640" spans="1:10">
      <c r="A640" s="69" t="s">
        <v>159</v>
      </c>
      <c r="B640" s="114">
        <f>B!G89</f>
        <v>9.0777900000000005E-3</v>
      </c>
      <c r="C640" s="114">
        <f>'C'!G89</f>
        <v>9.4000000000000004E-3</v>
      </c>
      <c r="D640" s="114">
        <f>D!G89</f>
        <v>9.4000000000000004E-3</v>
      </c>
      <c r="E640" s="114">
        <f>E!G89</f>
        <v>9.25680878373163E-3</v>
      </c>
      <c r="F640" s="114">
        <f>F!G89</f>
        <v>9.2759999999999995E-3</v>
      </c>
      <c r="G640" s="114">
        <f>G!G89</f>
        <v>9.2501500000000004E-3</v>
      </c>
      <c r="H640" s="118">
        <f>YD!G89</f>
        <v>0</v>
      </c>
      <c r="I640" s="118">
        <f>I!G89</f>
        <v>0</v>
      </c>
      <c r="J640" s="118">
        <f>J!G89</f>
        <v>0</v>
      </c>
    </row>
    <row r="641" spans="1:10">
      <c r="A641" s="69" t="s">
        <v>166</v>
      </c>
      <c r="B641" s="114">
        <f>B!G90</f>
        <v>9.0138200000000005E-3</v>
      </c>
      <c r="C641" s="114">
        <f>'C'!G90</f>
        <v>9.2999999999999992E-3</v>
      </c>
      <c r="D641" s="114">
        <f>D!G90</f>
        <v>9.2999999999999992E-3</v>
      </c>
      <c r="E641" s="114">
        <f>E!G90</f>
        <v>9.2200831041787494E-3</v>
      </c>
      <c r="F641" s="114">
        <f>F!G90</f>
        <v>9.3019999999999995E-3</v>
      </c>
      <c r="G641" s="114">
        <f>G!G90</f>
        <v>9.2582099999999994E-3</v>
      </c>
      <c r="H641" s="118">
        <f>YD!G90</f>
        <v>0</v>
      </c>
      <c r="I641" s="118">
        <f>I!G90</f>
        <v>0</v>
      </c>
      <c r="J641" s="118">
        <f>J!G90</f>
        <v>0</v>
      </c>
    </row>
    <row r="642" spans="1:10">
      <c r="A642" s="69" t="s">
        <v>169</v>
      </c>
      <c r="B642" s="114">
        <f>B!G91</f>
        <v>9.0643900000000003E-3</v>
      </c>
      <c r="C642" s="114">
        <f>'C'!G91</f>
        <v>9.4000000000000004E-3</v>
      </c>
      <c r="D642" s="114">
        <f>D!G91</f>
        <v>9.4000000000000004E-3</v>
      </c>
      <c r="E642" s="114">
        <f>E!G91</f>
        <v>9.2266597894061601E-3</v>
      </c>
      <c r="F642" s="114">
        <f>F!G91</f>
        <v>9.2390000000000007E-3</v>
      </c>
      <c r="G642" s="114">
        <f>G!G91</f>
        <v>9.2067699999999995E-3</v>
      </c>
      <c r="H642" s="118">
        <f>YD!G91</f>
        <v>0</v>
      </c>
      <c r="I642" s="118">
        <f>I!G91</f>
        <v>0</v>
      </c>
      <c r="J642" s="118">
        <f>J!G91</f>
        <v>0</v>
      </c>
    </row>
    <row r="643" spans="1:10">
      <c r="A643" s="69" t="s">
        <v>171</v>
      </c>
      <c r="B643" s="114">
        <f>B!G92</f>
        <v>8.9863900000000003E-3</v>
      </c>
      <c r="C643" s="114">
        <f>'C'!G92</f>
        <v>9.4000000000000004E-3</v>
      </c>
      <c r="D643" s="114">
        <f>D!G92</f>
        <v>9.4000000000000004E-3</v>
      </c>
      <c r="E643" s="114">
        <f>E!G92</f>
        <v>9.16990585233542E-3</v>
      </c>
      <c r="F643" s="114">
        <f>F!G92</f>
        <v>9.2010000000000008E-3</v>
      </c>
      <c r="G643" s="114">
        <f>G!G92</f>
        <v>9.1047200000000002E-3</v>
      </c>
      <c r="H643" s="118">
        <f>YD!G92</f>
        <v>0</v>
      </c>
      <c r="I643" s="118">
        <f>I!G92</f>
        <v>0</v>
      </c>
      <c r="J643" s="118">
        <f>J!G92</f>
        <v>0</v>
      </c>
    </row>
    <row r="644" spans="1:10">
      <c r="A644" s="69" t="s">
        <v>173</v>
      </c>
      <c r="B644" s="114">
        <f>B!G93</f>
        <v>8.8405299999999992E-3</v>
      </c>
      <c r="C644" s="114">
        <f>'C'!G93</f>
        <v>8.8999999999999999E-3</v>
      </c>
      <c r="D644" s="114">
        <f>D!G93</f>
        <v>8.9999999999999993E-3</v>
      </c>
      <c r="E644" s="114">
        <f>E!G93</f>
        <v>9.0480182019803106E-3</v>
      </c>
      <c r="F644" s="114">
        <f>F!G93</f>
        <v>8.9689999999999995E-3</v>
      </c>
      <c r="G644" s="114">
        <f>G!G93</f>
        <v>8.9519200000000004E-3</v>
      </c>
      <c r="H644" s="118">
        <f>YD!G93</f>
        <v>0</v>
      </c>
      <c r="I644" s="118">
        <f>I!G93</f>
        <v>0</v>
      </c>
      <c r="J644" s="118">
        <f>J!G93</f>
        <v>0</v>
      </c>
    </row>
    <row r="645" spans="1:10">
      <c r="A645" s="69" t="s">
        <v>174</v>
      </c>
      <c r="B645" s="114">
        <f>B!G94</f>
        <v>8.6577600000000005E-3</v>
      </c>
      <c r="C645" s="114">
        <f>'C'!G94</f>
        <v>9.1999999999999998E-3</v>
      </c>
      <c r="D645" s="114">
        <f>D!G94</f>
        <v>9.1999999999999998E-3</v>
      </c>
      <c r="E645" s="114">
        <f>E!G94</f>
        <v>8.9017555358971694E-3</v>
      </c>
      <c r="F645" s="114">
        <f>F!G94</f>
        <v>9.0119999999999992E-3</v>
      </c>
      <c r="G645" s="114">
        <f>G!G94</f>
        <v>9.1582799999999995E-3</v>
      </c>
      <c r="H645" s="118">
        <f>YD!G94</f>
        <v>0</v>
      </c>
      <c r="I645" s="118">
        <f>I!G94</f>
        <v>0</v>
      </c>
      <c r="J645" s="118">
        <f>J!G94</f>
        <v>0</v>
      </c>
    </row>
    <row r="646" spans="1:10">
      <c r="A646" s="69" t="s">
        <v>176</v>
      </c>
      <c r="B646" s="114">
        <f>B!G95</f>
        <v>9.1530599999999993E-3</v>
      </c>
      <c r="C646" s="114">
        <f>'C'!G95</f>
        <v>0.01</v>
      </c>
      <c r="D646" s="114">
        <f>D!G95</f>
        <v>9.7999999999999997E-3</v>
      </c>
      <c r="E646" s="114">
        <f>E!G95</f>
        <v>9.1705903668304004E-3</v>
      </c>
      <c r="F646" s="114">
        <f>F!G95</f>
        <v>9.4900000000000002E-3</v>
      </c>
      <c r="G646" s="114">
        <f>G!G95</f>
        <v>9.4778299999999996E-3</v>
      </c>
      <c r="H646" s="118">
        <f>YD!G95</f>
        <v>0</v>
      </c>
      <c r="I646" s="118">
        <f>I!G95</f>
        <v>0</v>
      </c>
      <c r="J646" s="118">
        <f>J!G95</f>
        <v>0</v>
      </c>
    </row>
    <row r="647" spans="1:10">
      <c r="A647" s="69" t="s">
        <v>178</v>
      </c>
      <c r="B647" s="114">
        <f>B!G96</f>
        <v>9.5302800000000003E-3</v>
      </c>
      <c r="C647" s="114">
        <f>'C'!G96</f>
        <v>9.4000000000000004E-3</v>
      </c>
      <c r="D647" s="114">
        <f>D!G96</f>
        <v>9.4000000000000004E-3</v>
      </c>
      <c r="E647" s="114">
        <f>E!G96</f>
        <v>9.4817813913382603E-3</v>
      </c>
      <c r="F647" s="114">
        <f>F!G96</f>
        <v>9.3139999999999994E-3</v>
      </c>
      <c r="G647" s="114">
        <f>G!G96</f>
        <v>9.3737100000000004E-3</v>
      </c>
      <c r="H647" s="118">
        <f>YD!G96</f>
        <v>0</v>
      </c>
      <c r="I647" s="118">
        <f>I!G96</f>
        <v>0</v>
      </c>
      <c r="J647" s="118">
        <f>J!G96</f>
        <v>0</v>
      </c>
    </row>
    <row r="648" spans="1:10">
      <c r="A648" s="69" t="s">
        <v>180</v>
      </c>
      <c r="B648" s="114">
        <f>B!G97</f>
        <v>9.6727400000000009E-3</v>
      </c>
      <c r="C648" s="114">
        <f>'C'!G97</f>
        <v>9.9000000000000008E-3</v>
      </c>
      <c r="D648" s="114">
        <f>D!G97</f>
        <v>9.9000000000000008E-3</v>
      </c>
      <c r="E648" s="114">
        <f>E!G97</f>
        <v>9.6209138874267207E-3</v>
      </c>
      <c r="F648" s="114">
        <f>F!G97</f>
        <v>9.7079999999999996E-3</v>
      </c>
      <c r="G648" s="114">
        <f>G!G97</f>
        <v>9.7160500000000004E-3</v>
      </c>
      <c r="H648" s="118">
        <f>YD!G97</f>
        <v>0</v>
      </c>
      <c r="I648" s="118">
        <f>I!G97</f>
        <v>0</v>
      </c>
      <c r="J648" s="118">
        <f>J!G97</f>
        <v>0</v>
      </c>
    </row>
    <row r="649" spans="1:10">
      <c r="A649" s="69" t="s">
        <v>183</v>
      </c>
      <c r="B649" s="114">
        <f>B!G98</f>
        <v>1.00578E-2</v>
      </c>
      <c r="C649" s="114">
        <f>'C'!G98</f>
        <v>1.03E-2</v>
      </c>
      <c r="D649" s="114">
        <f>D!G98</f>
        <v>1.0200000000000001E-2</v>
      </c>
      <c r="E649" s="114">
        <f>E!G98</f>
        <v>9.9775130722175292E-3</v>
      </c>
      <c r="F649" s="114">
        <f>F!G98</f>
        <v>1.0041E-2</v>
      </c>
      <c r="G649" s="114">
        <f>G!G98</f>
        <v>1.02366E-2</v>
      </c>
      <c r="H649" s="118">
        <f>YD!G98</f>
        <v>0</v>
      </c>
      <c r="I649" s="118">
        <f>I!G98</f>
        <v>0</v>
      </c>
      <c r="J649" s="118">
        <f>J!G98</f>
        <v>0</v>
      </c>
    </row>
    <row r="650" spans="1:10">
      <c r="A650" s="69" t="s">
        <v>186</v>
      </c>
      <c r="B650" s="114">
        <f>B!G99</f>
        <v>1.0407899999999999E-2</v>
      </c>
      <c r="C650" s="114">
        <f>'C'!G99</f>
        <v>1.09E-2</v>
      </c>
      <c r="D650" s="114">
        <f>D!G99</f>
        <v>1.0699999999999999E-2</v>
      </c>
      <c r="E650" s="114">
        <f>E!G99</f>
        <v>1.03919173834131E-2</v>
      </c>
      <c r="F650" s="114">
        <f>F!G99</f>
        <v>1.0588E-2</v>
      </c>
      <c r="G650" s="114">
        <f>G!G99</f>
        <v>1.0622400000000001E-2</v>
      </c>
      <c r="H650" s="118">
        <f>YD!G99</f>
        <v>0</v>
      </c>
      <c r="I650" s="118">
        <f>I!G99</f>
        <v>0</v>
      </c>
      <c r="J650" s="118">
        <f>J!G99</f>
        <v>0</v>
      </c>
    </row>
    <row r="651" spans="1:10">
      <c r="A651" s="69" t="s">
        <v>187</v>
      </c>
      <c r="B651" s="114">
        <f>B!G100</f>
        <v>1.06838E-2</v>
      </c>
      <c r="C651" s="114">
        <f>'C'!G100</f>
        <v>1.0800000000000001E-2</v>
      </c>
      <c r="D651" s="114">
        <f>D!G100</f>
        <v>1.0800000000000001E-2</v>
      </c>
      <c r="E651" s="114">
        <f>E!G100</f>
        <v>1.0700700073940399E-2</v>
      </c>
      <c r="F651" s="114">
        <f>F!G100</f>
        <v>1.0580000000000001E-2</v>
      </c>
      <c r="G651" s="114">
        <f>G!G100</f>
        <v>1.04329E-2</v>
      </c>
      <c r="H651" s="118">
        <f>YD!G100</f>
        <v>0</v>
      </c>
      <c r="I651" s="118">
        <f>I!G100</f>
        <v>0</v>
      </c>
      <c r="J651" s="118">
        <f>J!G100</f>
        <v>0</v>
      </c>
    </row>
    <row r="652" spans="1:10">
      <c r="A652" s="69" t="s">
        <v>191</v>
      </c>
      <c r="B652" s="114">
        <f>B!G101</f>
        <v>1.00874E-2</v>
      </c>
      <c r="C652" s="114">
        <f>'C'!G101</f>
        <v>1.01E-2</v>
      </c>
      <c r="D652" s="114">
        <f>D!G101</f>
        <v>1.0200000000000001E-2</v>
      </c>
      <c r="E652" s="114">
        <f>E!G101</f>
        <v>1.0128593692398101E-2</v>
      </c>
      <c r="F652" s="114">
        <f>F!G101</f>
        <v>9.9749999999999995E-3</v>
      </c>
      <c r="G652" s="114">
        <f>G!G101</f>
        <v>9.9714899999999995E-3</v>
      </c>
      <c r="H652" s="118">
        <f>YD!G101</f>
        <v>0</v>
      </c>
      <c r="I652" s="118">
        <f>I!G101</f>
        <v>0</v>
      </c>
      <c r="J652" s="118">
        <f>J!G101</f>
        <v>0</v>
      </c>
    </row>
    <row r="653" spans="1:10">
      <c r="A653" s="69" t="s">
        <v>194</v>
      </c>
      <c r="B653" s="114">
        <f>B!G102</f>
        <v>9.7986700000000006E-3</v>
      </c>
      <c r="C653" s="114">
        <f>'C'!G102</f>
        <v>0.01</v>
      </c>
      <c r="D653" s="114">
        <f>D!G102</f>
        <v>0.01</v>
      </c>
      <c r="E653" s="114">
        <f>E!G102</f>
        <v>9.6940294873933998E-3</v>
      </c>
      <c r="F653" s="114">
        <f>F!G102</f>
        <v>9.7780000000000002E-3</v>
      </c>
      <c r="G653" s="114">
        <f>G!G102</f>
        <v>9.7435999999999998E-3</v>
      </c>
      <c r="H653" s="118">
        <f>YD!G102</f>
        <v>0</v>
      </c>
      <c r="I653" s="118">
        <f>I!G102</f>
        <v>0</v>
      </c>
      <c r="J653" s="118">
        <f>J!G102</f>
        <v>0</v>
      </c>
    </row>
    <row r="654" spans="1:10">
      <c r="A654" s="69" t="s">
        <v>79</v>
      </c>
      <c r="B654" s="114">
        <f>B!G103</f>
        <v>9.5791799999999996E-3</v>
      </c>
      <c r="C654" s="114">
        <f>'C'!G103</f>
        <v>9.7999999999999997E-3</v>
      </c>
      <c r="D654" s="114">
        <f>D!G103</f>
        <v>9.7999999999999997E-3</v>
      </c>
      <c r="E654" s="114">
        <f>E!G103</f>
        <v>9.5210421083314102E-3</v>
      </c>
      <c r="F654" s="114">
        <f>F!G103</f>
        <v>9.5790000000000007E-3</v>
      </c>
      <c r="G654" s="114">
        <f>G!G103</f>
        <v>9.7833899999999994E-3</v>
      </c>
      <c r="H654" s="118">
        <f>YD!G103</f>
        <v>0</v>
      </c>
      <c r="I654" s="118">
        <f>I!G103</f>
        <v>0</v>
      </c>
      <c r="J654" s="118">
        <f>J!G103</f>
        <v>0</v>
      </c>
    </row>
    <row r="655" spans="1:10">
      <c r="A655" s="69" t="s">
        <v>198</v>
      </c>
      <c r="B655" s="114">
        <f>B!G104</f>
        <v>9.6662999999999992E-3</v>
      </c>
      <c r="C655" s="114">
        <f>'C'!G104</f>
        <v>0.01</v>
      </c>
      <c r="D655" s="114">
        <f>D!G104</f>
        <v>9.7999999999999997E-3</v>
      </c>
      <c r="E655" s="114">
        <f>E!G104</f>
        <v>9.6238289683823492E-3</v>
      </c>
      <c r="F655" s="114">
        <f>F!G104</f>
        <v>9.7330000000000003E-3</v>
      </c>
      <c r="G655" s="114">
        <f>G!G104</f>
        <v>9.8255200000000008E-3</v>
      </c>
      <c r="H655" s="118">
        <f>YD!G104</f>
        <v>0</v>
      </c>
      <c r="I655" s="118">
        <f>I!G104</f>
        <v>0</v>
      </c>
      <c r="J655" s="118">
        <f>J!G104</f>
        <v>0</v>
      </c>
    </row>
    <row r="656" spans="1:10">
      <c r="A656" s="69" t="s">
        <v>201</v>
      </c>
      <c r="B656" s="114">
        <f>B!G105</f>
        <v>1.0770399999999999E-2</v>
      </c>
      <c r="C656" s="114">
        <f>'C'!G105</f>
        <v>1.0699999999999999E-2</v>
      </c>
      <c r="D656" s="114">
        <f>D!G105</f>
        <v>1.0699999999999999E-2</v>
      </c>
      <c r="E656" s="114">
        <f>E!G105</f>
        <v>1.03613798071139E-2</v>
      </c>
      <c r="F656" s="114">
        <f>F!G105</f>
        <v>1.044E-2</v>
      </c>
      <c r="G656" s="114">
        <f>G!G105</f>
        <v>1.0257199999999999E-2</v>
      </c>
      <c r="H656" s="118">
        <f>YD!G105</f>
        <v>0</v>
      </c>
      <c r="I656" s="118">
        <f>I!G105</f>
        <v>0</v>
      </c>
      <c r="J656" s="118">
        <f>J!G105</f>
        <v>0</v>
      </c>
    </row>
    <row r="657" spans="1:10">
      <c r="A657" s="69" t="s">
        <v>204</v>
      </c>
      <c r="B657" s="114">
        <f>B!G106</f>
        <v>1.11836E-2</v>
      </c>
      <c r="C657" s="114">
        <f>'C'!G106</f>
        <v>1.12E-2</v>
      </c>
      <c r="D657" s="114">
        <f>D!G106</f>
        <v>1.12E-2</v>
      </c>
      <c r="E657" s="114">
        <f>E!G106</f>
        <v>1.09244326891799E-2</v>
      </c>
      <c r="F657" s="114">
        <f>F!G106</f>
        <v>1.0912E-2</v>
      </c>
      <c r="G657" s="114">
        <f>G!G106</f>
        <v>1.0859199999999999E-2</v>
      </c>
      <c r="H657" s="118">
        <f>YD!G106</f>
        <v>0</v>
      </c>
      <c r="I657" s="118">
        <f>I!G106</f>
        <v>0</v>
      </c>
      <c r="J657" s="118">
        <f>J!G106</f>
        <v>0</v>
      </c>
    </row>
    <row r="658" spans="1:10">
      <c r="A658" s="69" t="s">
        <v>206</v>
      </c>
      <c r="B658" s="114">
        <f>B!G107</f>
        <v>1.11308E-2</v>
      </c>
      <c r="C658" s="114">
        <f>'C'!G107</f>
        <v>1.0999999999999999E-2</v>
      </c>
      <c r="D658" s="114">
        <f>D!G107</f>
        <v>1.11E-2</v>
      </c>
      <c r="E658" s="114">
        <f>E!G107</f>
        <v>1.1074776166459801E-2</v>
      </c>
      <c r="F658" s="114">
        <f>F!G107</f>
        <v>1.0914E-2</v>
      </c>
      <c r="G658" s="114">
        <f>G!G107</f>
        <v>1.10239E-2</v>
      </c>
      <c r="H658" s="118">
        <f>YD!G107</f>
        <v>0</v>
      </c>
      <c r="I658" s="118">
        <f>I!G107</f>
        <v>0</v>
      </c>
      <c r="J658" s="118">
        <f>J!G107</f>
        <v>0</v>
      </c>
    </row>
    <row r="659" spans="1:10">
      <c r="A659" s="69" t="s">
        <v>207</v>
      </c>
      <c r="B659" s="114">
        <f>B!G108</f>
        <v>1.09912E-2</v>
      </c>
      <c r="C659" s="114">
        <f>'C'!G108</f>
        <v>1.14E-2</v>
      </c>
      <c r="D659" s="114">
        <f>D!G108</f>
        <v>1.1299999999999999E-2</v>
      </c>
      <c r="E659" s="114">
        <f>E!G108</f>
        <v>1.1126333301216E-2</v>
      </c>
      <c r="F659" s="114">
        <f>F!G108</f>
        <v>1.1269E-2</v>
      </c>
      <c r="G659" s="114">
        <f>G!G108</f>
        <v>1.13569E-2</v>
      </c>
      <c r="H659" s="118">
        <f>YD!G108</f>
        <v>0</v>
      </c>
      <c r="I659" s="118">
        <f>I!G108</f>
        <v>0</v>
      </c>
      <c r="J659" s="118">
        <f>J!G108</f>
        <v>0</v>
      </c>
    </row>
    <row r="660" spans="1:10">
      <c r="A660" s="69" t="s">
        <v>208</v>
      </c>
      <c r="B660" s="114">
        <f>B!G109</f>
        <v>1.1140300000000001E-2</v>
      </c>
      <c r="C660" s="114">
        <f>'C'!G109</f>
        <v>1.1299999999999999E-2</v>
      </c>
      <c r="D660" s="114">
        <f>D!G109</f>
        <v>1.1299999999999999E-2</v>
      </c>
      <c r="E660" s="114">
        <f>E!G109</f>
        <v>1.1354563437724299E-2</v>
      </c>
      <c r="F660" s="114">
        <f>F!G109</f>
        <v>1.1348E-2</v>
      </c>
      <c r="G660" s="114">
        <f>G!G109</f>
        <v>1.1378299999999999E-2</v>
      </c>
      <c r="H660" s="118">
        <f>YD!G109</f>
        <v>0</v>
      </c>
      <c r="I660" s="118">
        <f>I!G109</f>
        <v>0</v>
      </c>
      <c r="J660" s="118">
        <f>J!G109</f>
        <v>0</v>
      </c>
    </row>
    <row r="661" spans="1:10">
      <c r="A661" s="69" t="s">
        <v>209</v>
      </c>
      <c r="B661" s="114">
        <f>B!G110</f>
        <v>1.11766E-2</v>
      </c>
      <c r="C661" s="114">
        <f>'C'!G110</f>
        <v>1.14E-2</v>
      </c>
      <c r="D661" s="114">
        <f>D!G110</f>
        <v>1.14E-2</v>
      </c>
      <c r="E661" s="114">
        <f>E!G110</f>
        <v>1.1403373047196901E-2</v>
      </c>
      <c r="F661" s="114">
        <f>F!G110</f>
        <v>1.1383000000000001E-2</v>
      </c>
      <c r="G661" s="114">
        <f>G!G110</f>
        <v>1.1398E-2</v>
      </c>
      <c r="H661" s="118">
        <f>YD!G110</f>
        <v>0</v>
      </c>
      <c r="I661" s="118">
        <f>I!G110</f>
        <v>0</v>
      </c>
      <c r="J661" s="118">
        <f>J!G110</f>
        <v>0</v>
      </c>
    </row>
    <row r="662" spans="1:10">
      <c r="A662" s="69" t="s">
        <v>210</v>
      </c>
      <c r="B662" s="114">
        <f>B!G111</f>
        <v>1.11764E-2</v>
      </c>
      <c r="C662" s="114">
        <f>'C'!G111</f>
        <v>1.15E-2</v>
      </c>
      <c r="D662" s="114">
        <f>D!G111</f>
        <v>1.15E-2</v>
      </c>
      <c r="E662" s="114">
        <f>E!G111</f>
        <v>1.14201747031373E-2</v>
      </c>
      <c r="F662" s="114">
        <f>F!G111</f>
        <v>1.1416000000000001E-2</v>
      </c>
      <c r="G662" s="114">
        <f>G!G111</f>
        <v>1.1449900000000001E-2</v>
      </c>
      <c r="H662" s="118">
        <f>YD!G111</f>
        <v>0</v>
      </c>
      <c r="I662" s="118">
        <f>I!G111</f>
        <v>0</v>
      </c>
      <c r="J662" s="118">
        <f>J!G111</f>
        <v>0</v>
      </c>
    </row>
    <row r="663" spans="1:10">
      <c r="A663" s="70" t="s">
        <v>211</v>
      </c>
      <c r="B663" s="114">
        <f>B!G112</f>
        <v>1.1274899999999999E-2</v>
      </c>
      <c r="C663" s="114">
        <f>'C'!G112</f>
        <v>1.17E-2</v>
      </c>
      <c r="D663" s="114">
        <f>D!G112</f>
        <v>1.17E-2</v>
      </c>
      <c r="E663" s="114">
        <f>E!G112</f>
        <v>1.14762851267476E-2</v>
      </c>
      <c r="F663" s="114">
        <f>F!G112</f>
        <v>1.1507E-2</v>
      </c>
      <c r="G663" s="114">
        <f>G!G112</f>
        <v>1.1461900000000001E-2</v>
      </c>
      <c r="H663" s="118">
        <f>YD!G112</f>
        <v>0</v>
      </c>
      <c r="I663" s="118">
        <f>I!G112</f>
        <v>0</v>
      </c>
      <c r="J663" s="118">
        <f>J!G112</f>
        <v>0</v>
      </c>
    </row>
    <row r="667" spans="1:10">
      <c r="A667" t="s">
        <v>86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245</v>
      </c>
      <c r="C669" s="10" t="s">
        <v>257</v>
      </c>
      <c r="D669" s="10" t="s">
        <v>258</v>
      </c>
      <c r="E669" s="10" t="s">
        <v>515</v>
      </c>
      <c r="F669" s="10" t="s">
        <v>373</v>
      </c>
      <c r="G669" s="10" t="s">
        <v>482</v>
      </c>
      <c r="H669" s="10" t="s">
        <v>516</v>
      </c>
      <c r="I669" s="10" t="s">
        <v>517</v>
      </c>
      <c r="J669" s="10" t="s">
        <v>517</v>
      </c>
    </row>
    <row r="670" spans="1:10">
      <c r="A670" s="69" t="s">
        <v>159</v>
      </c>
      <c r="B670" s="112">
        <f>B!H89</f>
        <v>3.5167244005337355</v>
      </c>
      <c r="C670" s="112">
        <f>'C'!H89</f>
        <v>3.5390382849109656</v>
      </c>
      <c r="D670" s="112">
        <f>D!H89</f>
        <v>3.5405819802909435</v>
      </c>
      <c r="E670" s="112">
        <f>E!H89</f>
        <v>3.5307233736168606</v>
      </c>
      <c r="F670" s="112">
        <f>F!H89</f>
        <v>3.5195478097032509</v>
      </c>
      <c r="G670" s="112">
        <f>G!H89</f>
        <v>3.5112000000000001</v>
      </c>
      <c r="H670" s="119">
        <f>YD!H89</f>
        <v>0</v>
      </c>
      <c r="I670" s="119">
        <f>I!H89</f>
        <v>0</v>
      </c>
      <c r="J670" s="119">
        <f>J!H89</f>
        <v>0</v>
      </c>
    </row>
    <row r="671" spans="1:10">
      <c r="A671" s="69" t="s">
        <v>166</v>
      </c>
      <c r="B671" s="112">
        <f>B!H90</f>
        <v>3.5130326575275128</v>
      </c>
      <c r="C671" s="112">
        <f>'C'!H90</f>
        <v>3.4985200825309493</v>
      </c>
      <c r="D671" s="112">
        <f>D!H90</f>
        <v>3.4954391384051333</v>
      </c>
      <c r="E671" s="112">
        <f>E!H90</f>
        <v>3.5201308208199871</v>
      </c>
      <c r="F671" s="112">
        <f>F!H90</f>
        <v>3.4904891304347823</v>
      </c>
      <c r="G671" s="112">
        <f>G!H90</f>
        <v>3.5017</v>
      </c>
      <c r="H671" s="119">
        <f>YD!H90</f>
        <v>0</v>
      </c>
      <c r="I671" s="119">
        <f>I!H90</f>
        <v>0</v>
      </c>
      <c r="J671" s="119">
        <f>J!H90</f>
        <v>0</v>
      </c>
    </row>
    <row r="672" spans="1:10">
      <c r="A672" s="69" t="s">
        <v>169</v>
      </c>
      <c r="B672" s="112">
        <f>B!H91</f>
        <v>3.5170021604409261</v>
      </c>
      <c r="C672" s="112">
        <f>'C'!H91</f>
        <v>3.5380768509840674</v>
      </c>
      <c r="D672" s="112">
        <f>D!H91</f>
        <v>3.541132144533083</v>
      </c>
      <c r="E672" s="112">
        <f>E!H91</f>
        <v>3.5288213922175089</v>
      </c>
      <c r="F672" s="112">
        <f>F!H91</f>
        <v>3.5167690127538971</v>
      </c>
      <c r="G672" s="112">
        <f>G!H91</f>
        <v>3.5190899999999998</v>
      </c>
      <c r="H672" s="119">
        <f>YD!H91</f>
        <v>0</v>
      </c>
      <c r="I672" s="119">
        <f>I!H91</f>
        <v>0</v>
      </c>
      <c r="J672" s="119">
        <f>J!H91</f>
        <v>0</v>
      </c>
    </row>
    <row r="673" spans="1:10">
      <c r="A673" s="69" t="s">
        <v>171</v>
      </c>
      <c r="B673" s="112">
        <f>B!H92</f>
        <v>3.5074339651245694</v>
      </c>
      <c r="C673" s="112">
        <f>'C'!H92</f>
        <v>3.5403394736842109</v>
      </c>
      <c r="D673" s="112">
        <f>D!H92</f>
        <v>3.5410505644402641</v>
      </c>
      <c r="E673" s="112">
        <f>E!H92</f>
        <v>3.5377558606517776</v>
      </c>
      <c r="F673" s="112">
        <f>F!H92</f>
        <v>3.515610217596973</v>
      </c>
      <c r="G673" s="112">
        <f>G!H92</f>
        <v>3.5237500000000002</v>
      </c>
      <c r="H673" s="119">
        <f>YD!H92</f>
        <v>0</v>
      </c>
      <c r="I673" s="119">
        <f>I!H92</f>
        <v>0</v>
      </c>
      <c r="J673" s="119">
        <f>J!H92</f>
        <v>0</v>
      </c>
    </row>
    <row r="674" spans="1:10">
      <c r="A674" s="69" t="s">
        <v>173</v>
      </c>
      <c r="B674" s="112">
        <f>B!H93</f>
        <v>3.5458372332792165</v>
      </c>
      <c r="C674" s="112">
        <f>'C'!H93</f>
        <v>3.5553704497907956</v>
      </c>
      <c r="D674" s="112">
        <f>D!H93</f>
        <v>3.5374667365112624</v>
      </c>
      <c r="E674" s="112">
        <f>E!H93</f>
        <v>3.5533251266588084</v>
      </c>
      <c r="F674" s="112">
        <f>F!H93</f>
        <v>3.5353535353535355</v>
      </c>
      <c r="G674" s="112">
        <f>G!H93</f>
        <v>3.4899399999999998</v>
      </c>
      <c r="H674" s="119">
        <f>YD!H93</f>
        <v>0</v>
      </c>
      <c r="I674" s="119">
        <f>I!H93</f>
        <v>0</v>
      </c>
      <c r="J674" s="119">
        <f>J!H93</f>
        <v>0</v>
      </c>
    </row>
    <row r="675" spans="1:10">
      <c r="A675" s="69" t="s">
        <v>174</v>
      </c>
      <c r="B675" s="112">
        <f>B!H94</f>
        <v>3.4465440573543198</v>
      </c>
      <c r="C675" s="112">
        <f>'C'!H94</f>
        <v>3.4113890566037739</v>
      </c>
      <c r="D675" s="112">
        <f>D!H94</f>
        <v>3.4218689799331106</v>
      </c>
      <c r="E675" s="112">
        <f>E!H94</f>
        <v>3.4667517208546688</v>
      </c>
      <c r="F675" s="112">
        <f>F!H94</f>
        <v>3.3999140893470785</v>
      </c>
      <c r="G675" s="112">
        <f>G!H94</f>
        <v>3.2949000000000002</v>
      </c>
      <c r="H675" s="119">
        <f>YD!H94</f>
        <v>0</v>
      </c>
      <c r="I675" s="119">
        <f>I!H94</f>
        <v>0</v>
      </c>
      <c r="J675" s="119">
        <f>J!H94</f>
        <v>0</v>
      </c>
    </row>
    <row r="676" spans="1:10">
      <c r="A676" s="69" t="s">
        <v>176</v>
      </c>
      <c r="B676" s="112">
        <f>B!H95</f>
        <v>3.2634638785124657</v>
      </c>
      <c r="C676" s="112">
        <f>'C'!H95</f>
        <v>3.1199875774647889</v>
      </c>
      <c r="D676" s="112">
        <f>D!H95</f>
        <v>3.1411533557046987</v>
      </c>
      <c r="E676" s="112">
        <f>E!H95</f>
        <v>3.2092693788359301</v>
      </c>
      <c r="F676" s="112">
        <f>F!H95</f>
        <v>3.1018106262986045</v>
      </c>
      <c r="G676" s="112">
        <f>G!H95</f>
        <v>3.0648</v>
      </c>
      <c r="H676" s="119">
        <f>YD!H95</f>
        <v>0</v>
      </c>
      <c r="I676" s="119">
        <f>I!H95</f>
        <v>0</v>
      </c>
      <c r="J676" s="119">
        <f>J!H95</f>
        <v>0</v>
      </c>
    </row>
    <row r="677" spans="1:10">
      <c r="A677" s="69" t="s">
        <v>178</v>
      </c>
      <c r="B677" s="112">
        <f>B!H96</f>
        <v>3.0790034574313938</v>
      </c>
      <c r="C677" s="112">
        <f>'C'!H96</f>
        <v>2.9681975771560434</v>
      </c>
      <c r="D677" s="112">
        <f>D!H96</f>
        <v>2.9516349137931037</v>
      </c>
      <c r="E677" s="112">
        <f>E!H96</f>
        <v>3.0295414104100504</v>
      </c>
      <c r="F677" s="112">
        <f>F!H96</f>
        <v>2.9584131326949388</v>
      </c>
      <c r="G677" s="112">
        <f>G!H96</f>
        <v>2.9480200000000001</v>
      </c>
      <c r="H677" s="119">
        <f>YD!H96</f>
        <v>0</v>
      </c>
      <c r="I677" s="119">
        <f>I!H96</f>
        <v>0</v>
      </c>
      <c r="J677" s="119">
        <f>J!H96</f>
        <v>0</v>
      </c>
    </row>
    <row r="678" spans="1:10">
      <c r="A678" s="69" t="s">
        <v>180</v>
      </c>
      <c r="B678" s="112">
        <f>B!H97</f>
        <v>3.018036565759262</v>
      </c>
      <c r="C678" s="112">
        <f>'C'!H97</f>
        <v>2.958919871923154</v>
      </c>
      <c r="D678" s="112">
        <f>D!H97</f>
        <v>2.9729720608852395</v>
      </c>
      <c r="E678" s="112">
        <f>E!H97</f>
        <v>2.9928535107466985</v>
      </c>
      <c r="F678" s="112">
        <f>F!H97</f>
        <v>2.9581479983825316</v>
      </c>
      <c r="G678" s="112">
        <f>G!H97</f>
        <v>2.9786999999999999</v>
      </c>
      <c r="H678" s="119">
        <f>YD!H97</f>
        <v>0</v>
      </c>
      <c r="I678" s="119">
        <f>I!H97</f>
        <v>0</v>
      </c>
      <c r="J678" s="119">
        <f>J!H97</f>
        <v>0</v>
      </c>
    </row>
    <row r="679" spans="1:10">
      <c r="A679" s="69" t="s">
        <v>183</v>
      </c>
      <c r="B679" s="112">
        <f>B!H98</f>
        <v>2.9882039272532817</v>
      </c>
      <c r="C679" s="112">
        <f>'C'!H98</f>
        <v>2.990248479532164</v>
      </c>
      <c r="D679" s="112">
        <f>D!H98</f>
        <v>2.9987790181180602</v>
      </c>
      <c r="E679" s="112">
        <f>E!H98</f>
        <v>2.9835740296410584</v>
      </c>
      <c r="F679" s="112">
        <f>F!H98</f>
        <v>2.980457954994078</v>
      </c>
      <c r="G679" s="112">
        <f>G!H98</f>
        <v>2.9726499999999998</v>
      </c>
      <c r="H679" s="119">
        <f>YD!H98</f>
        <v>0</v>
      </c>
      <c r="I679" s="119">
        <f>I!H98</f>
        <v>0</v>
      </c>
      <c r="J679" s="119">
        <f>J!H98</f>
        <v>0</v>
      </c>
    </row>
    <row r="680" spans="1:10">
      <c r="A680" s="69" t="s">
        <v>186</v>
      </c>
      <c r="B680" s="112">
        <f>B!H99</f>
        <v>2.9739173505656709</v>
      </c>
      <c r="C680" s="112">
        <f>'C'!H99</f>
        <v>2.9233423882096807</v>
      </c>
      <c r="D680" s="112">
        <f>D!H99</f>
        <v>2.9380927069425904</v>
      </c>
      <c r="E680" s="112">
        <f>E!H99</f>
        <v>2.9401917342601949</v>
      </c>
      <c r="F680" s="112">
        <f>F!H99</f>
        <v>2.9061522419186652</v>
      </c>
      <c r="G680" s="112">
        <f>G!H99</f>
        <v>2.9289900000000002</v>
      </c>
      <c r="H680" s="119">
        <f>YD!H99</f>
        <v>0</v>
      </c>
      <c r="I680" s="119">
        <f>I!H99</f>
        <v>0</v>
      </c>
      <c r="J680" s="119">
        <f>J!H99</f>
        <v>0</v>
      </c>
    </row>
    <row r="681" spans="1:10">
      <c r="A681" s="69" t="s">
        <v>187</v>
      </c>
      <c r="B681" s="112">
        <f>B!H100</f>
        <v>2.9503932289186721</v>
      </c>
      <c r="C681" s="112">
        <f>'C'!H100</f>
        <v>2.9391283849918439</v>
      </c>
      <c r="D681" s="112">
        <f>D!H100</f>
        <v>2.9362633593324872</v>
      </c>
      <c r="E681" s="112">
        <f>E!H100</f>
        <v>2.9328734659380311</v>
      </c>
      <c r="F681" s="112">
        <f>F!H100</f>
        <v>2.9188509874326747</v>
      </c>
      <c r="G681" s="112">
        <f>G!H100</f>
        <v>2.9136899999999999</v>
      </c>
      <c r="H681" s="119">
        <f>YD!H100</f>
        <v>0</v>
      </c>
      <c r="I681" s="119">
        <f>I!H100</f>
        <v>0</v>
      </c>
      <c r="J681" s="119">
        <f>J!H100</f>
        <v>0</v>
      </c>
    </row>
    <row r="682" spans="1:10">
      <c r="A682" s="69" t="s">
        <v>191</v>
      </c>
      <c r="B682" s="112">
        <f>B!H101</f>
        <v>3.0121582169761933</v>
      </c>
      <c r="C682" s="112">
        <f>'C'!H101</f>
        <v>2.9716727587765561</v>
      </c>
      <c r="D682" s="112">
        <f>D!H101</f>
        <v>2.9567500452079569</v>
      </c>
      <c r="E682" s="112">
        <f>E!H101</f>
        <v>3.0241733996128262</v>
      </c>
      <c r="F682" s="112">
        <f>F!H101</f>
        <v>2.9771315640880855</v>
      </c>
      <c r="G682" s="112">
        <f>G!H101</f>
        <v>2.98563</v>
      </c>
      <c r="H682" s="119">
        <f>YD!H101</f>
        <v>0</v>
      </c>
      <c r="I682" s="119">
        <f>I!H101</f>
        <v>0</v>
      </c>
      <c r="J682" s="119">
        <f>J!H101</f>
        <v>0</v>
      </c>
    </row>
    <row r="683" spans="1:10">
      <c r="A683" s="69" t="s">
        <v>194</v>
      </c>
      <c r="B683" s="112">
        <f>B!H102</f>
        <v>2.9638057038096233</v>
      </c>
      <c r="C683" s="112">
        <f>'C'!H102</f>
        <v>2.9502823479370481</v>
      </c>
      <c r="D683" s="112">
        <f>D!H102</f>
        <v>2.9472234003397513</v>
      </c>
      <c r="E683" s="112">
        <f>E!H102</f>
        <v>2.9542147098345306</v>
      </c>
      <c r="F683" s="112">
        <f>F!H102</f>
        <v>2.939034598214286</v>
      </c>
      <c r="G683" s="112">
        <f>G!H102</f>
        <v>2.9475600000000002</v>
      </c>
      <c r="H683" s="119">
        <f>YD!H102</f>
        <v>0</v>
      </c>
      <c r="I683" s="119">
        <f>I!H102</f>
        <v>0</v>
      </c>
      <c r="J683" s="119">
        <f>J!H102</f>
        <v>0</v>
      </c>
    </row>
    <row r="684" spans="1:10">
      <c r="A684" s="69" t="s">
        <v>79</v>
      </c>
      <c r="B684" s="112">
        <f>B!H103</f>
        <v>3.0662857428419326</v>
      </c>
      <c r="C684" s="112">
        <f>'C'!H103</f>
        <v>3.0143848966991214</v>
      </c>
      <c r="D684" s="112">
        <f>D!H103</f>
        <v>3.0096857295247128</v>
      </c>
      <c r="E684" s="112">
        <f>E!H103</f>
        <v>3.0417772732754171</v>
      </c>
      <c r="F684" s="112">
        <f>F!H103</f>
        <v>3.0319863403528742</v>
      </c>
      <c r="G684" s="112">
        <f>G!H103</f>
        <v>3.06724</v>
      </c>
      <c r="H684" s="119">
        <f>YD!H103</f>
        <v>0</v>
      </c>
      <c r="I684" s="119">
        <f>I!H103</f>
        <v>0</v>
      </c>
      <c r="J684" s="119">
        <f>J!H103</f>
        <v>0</v>
      </c>
    </row>
    <row r="685" spans="1:10">
      <c r="A685" s="69" t="s">
        <v>198</v>
      </c>
      <c r="B685" s="112">
        <f>B!H104</f>
        <v>3.0554748485423744</v>
      </c>
      <c r="C685" s="112">
        <f>'C'!H104</f>
        <v>3.0679647497219134</v>
      </c>
      <c r="D685" s="112">
        <f>D!H104</f>
        <v>3.0715905706371194</v>
      </c>
      <c r="E685" s="112">
        <f>E!H104</f>
        <v>3.0469199137031091</v>
      </c>
      <c r="F685" s="112">
        <f>F!H104</f>
        <v>3.0570918822479931</v>
      </c>
      <c r="G685" s="112">
        <f>G!H104</f>
        <v>3.0942799999999999</v>
      </c>
      <c r="H685" s="119">
        <f>YD!H104</f>
        <v>0</v>
      </c>
      <c r="I685" s="119">
        <f>I!H104</f>
        <v>0</v>
      </c>
      <c r="J685" s="119">
        <f>J!H104</f>
        <v>0</v>
      </c>
    </row>
    <row r="686" spans="1:10">
      <c r="A686" s="69" t="s">
        <v>201</v>
      </c>
      <c r="B686" s="112">
        <f>B!H105</f>
        <v>2.8958875292084452</v>
      </c>
      <c r="C686" s="112">
        <f>'C'!H105</f>
        <v>2.9006905831739962</v>
      </c>
      <c r="D686" s="112">
        <f>D!H105</f>
        <v>2.9182014875239926</v>
      </c>
      <c r="E686" s="112">
        <f>E!H105</f>
        <v>2.8536854010530051</v>
      </c>
      <c r="F686" s="112">
        <f>F!H105</f>
        <v>2.8672961373390562</v>
      </c>
      <c r="G686" s="112">
        <f>G!H105</f>
        <v>2.8928400000000001</v>
      </c>
      <c r="H686" s="119">
        <f>YD!H105</f>
        <v>0</v>
      </c>
      <c r="I686" s="119">
        <f>I!H105</f>
        <v>0</v>
      </c>
      <c r="J686" s="119">
        <f>J!H105</f>
        <v>0</v>
      </c>
    </row>
    <row r="687" spans="1:10">
      <c r="A687" s="69" t="s">
        <v>204</v>
      </c>
      <c r="B687" s="112">
        <f>B!H106</f>
        <v>2.947432802239911</v>
      </c>
      <c r="C687" s="112">
        <f>'C'!H106</f>
        <v>2.9495597861842109</v>
      </c>
      <c r="D687" s="112">
        <f>D!H106</f>
        <v>2.9607830533596839</v>
      </c>
      <c r="E687" s="112">
        <f>E!H106</f>
        <v>2.9240116107479923</v>
      </c>
      <c r="F687" s="112">
        <f>F!H106</f>
        <v>2.929768150279235</v>
      </c>
      <c r="G687" s="112">
        <f>G!H106</f>
        <v>2.9896799999999999</v>
      </c>
      <c r="H687" s="119">
        <f>YD!H106</f>
        <v>0</v>
      </c>
      <c r="I687" s="119">
        <f>I!H106</f>
        <v>0</v>
      </c>
      <c r="J687" s="119">
        <f>J!H106</f>
        <v>0</v>
      </c>
    </row>
    <row r="688" spans="1:10">
      <c r="A688" s="69" t="s">
        <v>206</v>
      </c>
      <c r="B688" s="112">
        <f>B!H107</f>
        <v>3.0507663291275899</v>
      </c>
      <c r="C688" s="112">
        <f>'C'!H107</f>
        <v>3.0839855546995381</v>
      </c>
      <c r="D688" s="112">
        <f>D!H107</f>
        <v>3.0794215750773994</v>
      </c>
      <c r="E688" s="112">
        <f>E!H107</f>
        <v>3.0407694008457931</v>
      </c>
      <c r="F688" s="112">
        <f>F!H107</f>
        <v>3.0724966874881692</v>
      </c>
      <c r="G688" s="112">
        <f>G!H107</f>
        <v>3.12418</v>
      </c>
      <c r="H688" s="119">
        <f>YD!H107</f>
        <v>0</v>
      </c>
      <c r="I688" s="119">
        <f>I!H107</f>
        <v>0</v>
      </c>
      <c r="J688" s="119">
        <f>J!H107</f>
        <v>0</v>
      </c>
    </row>
    <row r="689" spans="1:10">
      <c r="A689" s="69" t="s">
        <v>207</v>
      </c>
      <c r="B689" s="112">
        <f>B!H108</f>
        <v>3.1541092773593693</v>
      </c>
      <c r="C689" s="112">
        <f>'C'!H108</f>
        <v>3.1851876002237556</v>
      </c>
      <c r="D689" s="112">
        <f>D!H108</f>
        <v>3.1952713885778277</v>
      </c>
      <c r="E689" s="112">
        <f>E!H108</f>
        <v>3.1495518954205601</v>
      </c>
      <c r="F689" s="112">
        <f>F!H108</f>
        <v>3.1782551347277179</v>
      </c>
      <c r="G689" s="112">
        <f>G!H108</f>
        <v>3.1865399999999999</v>
      </c>
      <c r="H689" s="119">
        <f>YD!H108</f>
        <v>0</v>
      </c>
      <c r="I689" s="119">
        <f>I!H108</f>
        <v>0</v>
      </c>
      <c r="J689" s="119">
        <f>J!H108</f>
        <v>0</v>
      </c>
    </row>
    <row r="690" spans="1:10">
      <c r="A690" s="69" t="s">
        <v>208</v>
      </c>
      <c r="B690" s="112">
        <f>B!H109</f>
        <v>3.1142058615432426</v>
      </c>
      <c r="C690" s="112">
        <f>'C'!H109</f>
        <v>3.1114893237610008</v>
      </c>
      <c r="D690" s="112">
        <f>D!H109</f>
        <v>3.1094086956521743</v>
      </c>
      <c r="E690" s="112">
        <f>E!H109</f>
        <v>3.1150620426297402</v>
      </c>
      <c r="F690" s="112">
        <f>F!H109</f>
        <v>3.1019093627789278</v>
      </c>
      <c r="G690" s="112">
        <f>G!H109</f>
        <v>3.1154799999999998</v>
      </c>
      <c r="H690" s="119">
        <f>YD!H109</f>
        <v>0</v>
      </c>
      <c r="I690" s="119">
        <f>I!H109</f>
        <v>0</v>
      </c>
      <c r="J690" s="119">
        <f>J!H109</f>
        <v>0</v>
      </c>
    </row>
    <row r="691" spans="1:10">
      <c r="A691" s="69" t="s">
        <v>209</v>
      </c>
      <c r="B691" s="112">
        <f>B!H110</f>
        <v>3.1301661033005939</v>
      </c>
      <c r="C691" s="112">
        <f>'C'!H110</f>
        <v>3.1440248579545456</v>
      </c>
      <c r="D691" s="112">
        <f>D!H110</f>
        <v>3.1466249644718145</v>
      </c>
      <c r="E691" s="112">
        <f>E!H110</f>
        <v>3.1364244023681276</v>
      </c>
      <c r="F691" s="112">
        <f>F!H110</f>
        <v>3.131640808650682</v>
      </c>
      <c r="G691" s="112">
        <f>G!H110</f>
        <v>3.1475300000000002</v>
      </c>
      <c r="H691" s="119">
        <f>YD!H110</f>
        <v>0</v>
      </c>
      <c r="I691" s="119">
        <f>I!H110</f>
        <v>0</v>
      </c>
      <c r="J691" s="119">
        <f>J!H110</f>
        <v>0</v>
      </c>
    </row>
    <row r="692" spans="1:10">
      <c r="A692" s="69" t="s">
        <v>210</v>
      </c>
      <c r="B692" s="112">
        <f>B!H111</f>
        <v>3.1891964832623403</v>
      </c>
      <c r="C692" s="112">
        <f>'C'!H111</f>
        <v>3.1825922316043429</v>
      </c>
      <c r="D692" s="112">
        <f>D!H111</f>
        <v>3.1849681071945923</v>
      </c>
      <c r="E692" s="112">
        <f>E!H111</f>
        <v>3.1700643551104575</v>
      </c>
      <c r="F692" s="112">
        <f>F!H111</f>
        <v>3.168314444176513</v>
      </c>
      <c r="G692" s="112">
        <f>G!H111</f>
        <v>3.1734</v>
      </c>
      <c r="H692" s="119">
        <f>YD!H111</f>
        <v>0</v>
      </c>
      <c r="I692" s="119">
        <f>I!H111</f>
        <v>0</v>
      </c>
      <c r="J692" s="119">
        <f>J!H111</f>
        <v>0</v>
      </c>
    </row>
    <row r="693" spans="1:10">
      <c r="A693" s="70" t="s">
        <v>211</v>
      </c>
      <c r="B693" s="112">
        <f>B!H112</f>
        <v>3.1938117507664052</v>
      </c>
      <c r="C693" s="112">
        <f>'C'!H112</f>
        <v>3.2014013296011199</v>
      </c>
      <c r="D693" s="112">
        <f>D!H112</f>
        <v>3.2083750174947516</v>
      </c>
      <c r="E693" s="112">
        <f>E!H112</f>
        <v>3.1878138309648509</v>
      </c>
      <c r="F693" s="112">
        <f>F!H112</f>
        <v>3.1774385881230627</v>
      </c>
      <c r="G693" s="112">
        <f>G!H112</f>
        <v>3.2032699999999998</v>
      </c>
      <c r="H693" s="119">
        <f>YD!H112</f>
        <v>0</v>
      </c>
      <c r="I693" s="119">
        <f>I!H112</f>
        <v>0</v>
      </c>
      <c r="J693" s="119">
        <f>J!H112</f>
        <v>0</v>
      </c>
    </row>
    <row r="697" spans="1:10">
      <c r="A697" t="s">
        <v>230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245</v>
      </c>
      <c r="C699" s="10" t="s">
        <v>257</v>
      </c>
      <c r="D699" s="10" t="s">
        <v>258</v>
      </c>
      <c r="E699" s="10" t="s">
        <v>515</v>
      </c>
      <c r="F699" s="10" t="s">
        <v>373</v>
      </c>
      <c r="G699" s="10" t="s">
        <v>482</v>
      </c>
      <c r="H699" s="10" t="s">
        <v>516</v>
      </c>
      <c r="I699" s="10" t="s">
        <v>517</v>
      </c>
      <c r="J699" s="10" t="s">
        <v>517</v>
      </c>
    </row>
    <row r="700" spans="1:10">
      <c r="A700" s="69" t="s">
        <v>159</v>
      </c>
      <c r="B700" s="113">
        <f>B!I89</f>
        <v>18.05</v>
      </c>
      <c r="C700" s="113">
        <f>'C'!I89</f>
        <v>17.777777777777779</v>
      </c>
      <c r="D700" s="113">
        <f>D!I89</f>
        <v>17.777777777777779</v>
      </c>
      <c r="E700" s="113">
        <f>E!I89</f>
        <v>17.987500000000001</v>
      </c>
      <c r="F700" s="113">
        <f>F!I89</f>
        <v>17.8</v>
      </c>
      <c r="G700" s="113">
        <f>G!I89</f>
        <v>17.8</v>
      </c>
      <c r="H700" s="95">
        <f>YD!I89</f>
        <v>0</v>
      </c>
      <c r="I700" s="95">
        <f>I!I89</f>
        <v>0</v>
      </c>
      <c r="J700" s="95">
        <f>J!I89</f>
        <v>0</v>
      </c>
    </row>
    <row r="701" spans="1:10">
      <c r="A701" s="69" t="s">
        <v>166</v>
      </c>
      <c r="B701" s="113">
        <f>B!I90</f>
        <v>18.05</v>
      </c>
      <c r="C701" s="113">
        <f>'C'!I90</f>
        <v>18.333333333333332</v>
      </c>
      <c r="D701" s="113">
        <f>D!I90</f>
        <v>18.333333333333332</v>
      </c>
      <c r="E701" s="113">
        <f>E!I90</f>
        <v>18.112500000000001</v>
      </c>
      <c r="F701" s="113">
        <f>F!I90</f>
        <v>18.3</v>
      </c>
      <c r="G701" s="113">
        <f>G!I90</f>
        <v>18.3</v>
      </c>
      <c r="H701" s="95">
        <f>YD!I90</f>
        <v>0</v>
      </c>
      <c r="I701" s="95">
        <f>I!I90</f>
        <v>0</v>
      </c>
      <c r="J701" s="95">
        <f>J!I90</f>
        <v>0</v>
      </c>
    </row>
    <row r="702" spans="1:10">
      <c r="A702" s="69" t="s">
        <v>169</v>
      </c>
      <c r="B702" s="113">
        <f>B!I91</f>
        <v>18.05</v>
      </c>
      <c r="C702" s="113">
        <f>'C'!I91</f>
        <v>17.777777777777779</v>
      </c>
      <c r="D702" s="113">
        <f>D!I91</f>
        <v>17.777777777777779</v>
      </c>
      <c r="E702" s="113">
        <f>E!I91</f>
        <v>17.987500000000001</v>
      </c>
      <c r="F702" s="113">
        <f>F!I91</f>
        <v>17.8</v>
      </c>
      <c r="G702" s="113">
        <f>G!I91</f>
        <v>17.8</v>
      </c>
      <c r="H702" s="95">
        <f>YD!I91</f>
        <v>0</v>
      </c>
      <c r="I702" s="95">
        <f>I!I91</f>
        <v>0</v>
      </c>
      <c r="J702" s="95">
        <f>J!I91</f>
        <v>0</v>
      </c>
    </row>
    <row r="703" spans="1:10">
      <c r="A703" s="69" t="s">
        <v>171</v>
      </c>
      <c r="B703" s="113">
        <f>B!I92</f>
        <v>17.8</v>
      </c>
      <c r="C703" s="113">
        <f>'C'!I92</f>
        <v>17.777777777777779</v>
      </c>
      <c r="D703" s="113">
        <f>D!I92</f>
        <v>17.777777777777779</v>
      </c>
      <c r="E703" s="113">
        <f>E!I92</f>
        <v>17.8</v>
      </c>
      <c r="F703" s="113">
        <f>F!I92</f>
        <v>17.8</v>
      </c>
      <c r="G703" s="113">
        <f>G!I92</f>
        <v>17.8</v>
      </c>
      <c r="H703" s="95">
        <f>YD!I92</f>
        <v>0</v>
      </c>
      <c r="I703" s="95">
        <f>I!I92</f>
        <v>0</v>
      </c>
      <c r="J703" s="95">
        <f>J!I92</f>
        <v>0</v>
      </c>
    </row>
    <row r="704" spans="1:10">
      <c r="A704" s="69" t="s">
        <v>173</v>
      </c>
      <c r="B704" s="113">
        <f>B!I93</f>
        <v>17.5</v>
      </c>
      <c r="C704" s="113">
        <f>'C'!I93</f>
        <v>17.222222222222221</v>
      </c>
      <c r="D704" s="113">
        <f>D!I93</f>
        <v>17.222222222222221</v>
      </c>
      <c r="E704" s="113">
        <f>E!I93</f>
        <v>17.425000000000001</v>
      </c>
      <c r="F704" s="113">
        <f>F!I93</f>
        <v>17.2</v>
      </c>
      <c r="G704" s="113">
        <f>G!I93</f>
        <v>17.2</v>
      </c>
      <c r="H704" s="95">
        <f>YD!I93</f>
        <v>0</v>
      </c>
      <c r="I704" s="95">
        <f>I!I93</f>
        <v>0</v>
      </c>
      <c r="J704" s="95">
        <f>J!I93</f>
        <v>0</v>
      </c>
    </row>
    <row r="705" spans="1:10">
      <c r="A705" s="69" t="s">
        <v>174</v>
      </c>
      <c r="B705" s="113">
        <f>B!I94</f>
        <v>18.3</v>
      </c>
      <c r="C705" s="113">
        <f>'C'!I94</f>
        <v>19.444444444444446</v>
      </c>
      <c r="D705" s="113">
        <f>D!I94</f>
        <v>19.444444444444446</v>
      </c>
      <c r="E705" s="113">
        <f>E!I94</f>
        <v>18.574999999999999</v>
      </c>
      <c r="F705" s="113">
        <f>F!I94</f>
        <v>19.399999999999999</v>
      </c>
      <c r="G705" s="113">
        <f>G!I94</f>
        <v>19.399999999999999</v>
      </c>
      <c r="H705" s="95">
        <f>YD!I94</f>
        <v>0</v>
      </c>
      <c r="I705" s="95">
        <f>I!I94</f>
        <v>0</v>
      </c>
      <c r="J705" s="95">
        <f>J!I94</f>
        <v>0</v>
      </c>
    </row>
    <row r="706" spans="1:10">
      <c r="A706" s="69" t="s">
        <v>176</v>
      </c>
      <c r="B706" s="113">
        <f>B!I95</f>
        <v>22.2</v>
      </c>
      <c r="C706" s="113">
        <f>'C'!I95</f>
        <v>25</v>
      </c>
      <c r="D706" s="113">
        <f>D!I95</f>
        <v>25</v>
      </c>
      <c r="E706" s="113">
        <f>E!I95</f>
        <v>22.9</v>
      </c>
      <c r="F706" s="113">
        <f>F!I95</f>
        <v>25</v>
      </c>
      <c r="G706" s="113">
        <f>G!I95</f>
        <v>25</v>
      </c>
      <c r="H706" s="95">
        <f>YD!I95</f>
        <v>0</v>
      </c>
      <c r="I706" s="95">
        <f>I!I95</f>
        <v>0</v>
      </c>
      <c r="J706" s="95">
        <f>J!I95</f>
        <v>0</v>
      </c>
    </row>
    <row r="707" spans="1:10">
      <c r="A707" s="69" t="s">
        <v>178</v>
      </c>
      <c r="B707" s="113">
        <f>B!I96</f>
        <v>26.1</v>
      </c>
      <c r="C707" s="113">
        <f>'C'!I96</f>
        <v>27.222222222222221</v>
      </c>
      <c r="D707" s="113">
        <f>D!I96</f>
        <v>27.222222222222221</v>
      </c>
      <c r="E707" s="113">
        <f>E!I96</f>
        <v>26.375</v>
      </c>
      <c r="F707" s="113">
        <f>F!I96</f>
        <v>27.2</v>
      </c>
      <c r="G707" s="113">
        <f>G!I96</f>
        <v>27.2</v>
      </c>
      <c r="H707" s="95">
        <f>YD!I96</f>
        <v>0</v>
      </c>
      <c r="I707" s="95">
        <f>I!I96</f>
        <v>0</v>
      </c>
      <c r="J707" s="95">
        <f>J!I96</f>
        <v>0</v>
      </c>
    </row>
    <row r="708" spans="1:10">
      <c r="A708" s="69" t="s">
        <v>180</v>
      </c>
      <c r="B708" s="113">
        <f>B!I97</f>
        <v>28.05</v>
      </c>
      <c r="C708" s="113">
        <f>'C'!I97</f>
        <v>28.888888888888886</v>
      </c>
      <c r="D708" s="113">
        <f>D!I97</f>
        <v>28.888888888888886</v>
      </c>
      <c r="E708" s="113">
        <f>E!I97</f>
        <v>28.262499999999999</v>
      </c>
      <c r="F708" s="113">
        <f>F!I97</f>
        <v>28.9</v>
      </c>
      <c r="G708" s="113">
        <f>G!I97</f>
        <v>28.9</v>
      </c>
      <c r="H708" s="95">
        <f>YD!I97</f>
        <v>0</v>
      </c>
      <c r="I708" s="95">
        <f>I!I97</f>
        <v>0</v>
      </c>
      <c r="J708" s="95">
        <f>J!I97</f>
        <v>0</v>
      </c>
    </row>
    <row r="709" spans="1:10">
      <c r="A709" s="69" t="s">
        <v>183</v>
      </c>
      <c r="B709" s="113">
        <f>B!I98</f>
        <v>28.9</v>
      </c>
      <c r="C709" s="113">
        <f>'C'!I98</f>
        <v>28.888888888888886</v>
      </c>
      <c r="D709" s="113">
        <f>D!I98</f>
        <v>28.888888888888886</v>
      </c>
      <c r="E709" s="113">
        <f>E!I98</f>
        <v>28.9</v>
      </c>
      <c r="F709" s="113">
        <f>F!I98</f>
        <v>28.9</v>
      </c>
      <c r="G709" s="113">
        <f>G!I98</f>
        <v>28.9</v>
      </c>
      <c r="H709" s="95">
        <f>YD!I98</f>
        <v>0</v>
      </c>
      <c r="I709" s="95">
        <f>I!I98</f>
        <v>0</v>
      </c>
      <c r="J709" s="95">
        <f>J!I98</f>
        <v>0</v>
      </c>
    </row>
    <row r="710" spans="1:10">
      <c r="A710" s="69" t="s">
        <v>186</v>
      </c>
      <c r="B710" s="113">
        <f>B!I99</f>
        <v>30</v>
      </c>
      <c r="C710" s="113">
        <f>'C'!I99</f>
        <v>31.111111111111111</v>
      </c>
      <c r="D710" s="113">
        <f>D!I99</f>
        <v>31.111111111111111</v>
      </c>
      <c r="E710" s="113">
        <f>E!I99</f>
        <v>30.274999999999999</v>
      </c>
      <c r="F710" s="113">
        <f>F!I99</f>
        <v>31.1</v>
      </c>
      <c r="G710" s="113">
        <f>G!I99</f>
        <v>31.1</v>
      </c>
      <c r="H710" s="95">
        <f>YD!I99</f>
        <v>0</v>
      </c>
      <c r="I710" s="95">
        <f>I!I99</f>
        <v>0</v>
      </c>
      <c r="J710" s="95">
        <f>J!I99</f>
        <v>0</v>
      </c>
    </row>
    <row r="711" spans="1:10">
      <c r="A711" s="69" t="s">
        <v>187</v>
      </c>
      <c r="B711" s="113">
        <f>B!I100</f>
        <v>30.85</v>
      </c>
      <c r="C711" s="113">
        <f>'C'!I100</f>
        <v>30.555555555555557</v>
      </c>
      <c r="D711" s="113">
        <f>D!I100</f>
        <v>30.555555555555557</v>
      </c>
      <c r="E711" s="113">
        <f>E!I100</f>
        <v>30.787500000000001</v>
      </c>
      <c r="F711" s="113">
        <f>F!I100</f>
        <v>30.6</v>
      </c>
      <c r="G711" s="113">
        <f>G!I100</f>
        <v>30.6</v>
      </c>
      <c r="H711" s="95">
        <f>YD!I100</f>
        <v>0</v>
      </c>
      <c r="I711" s="95">
        <f>I!I100</f>
        <v>0</v>
      </c>
      <c r="J711" s="95">
        <f>J!I100</f>
        <v>0</v>
      </c>
    </row>
    <row r="712" spans="1:10">
      <c r="A712" s="69" t="s">
        <v>191</v>
      </c>
      <c r="B712" s="113">
        <f>B!I101</f>
        <v>30.85</v>
      </c>
      <c r="C712" s="113">
        <f>'C'!I101</f>
        <v>31.111111111111111</v>
      </c>
      <c r="D712" s="113">
        <f>D!I101</f>
        <v>31.111111111111111</v>
      </c>
      <c r="E712" s="113">
        <f>E!I101</f>
        <v>30.912500000000001</v>
      </c>
      <c r="F712" s="113">
        <f>F!I101</f>
        <v>31.1</v>
      </c>
      <c r="G712" s="113">
        <f>G!I101</f>
        <v>31.1</v>
      </c>
      <c r="H712" s="95">
        <f>YD!I101</f>
        <v>0</v>
      </c>
      <c r="I712" s="95">
        <f>I!I101</f>
        <v>0</v>
      </c>
      <c r="J712" s="95">
        <f>J!I101</f>
        <v>0</v>
      </c>
    </row>
    <row r="713" spans="1:10">
      <c r="A713" s="69" t="s">
        <v>194</v>
      </c>
      <c r="B713" s="113">
        <f>B!I102</f>
        <v>31.4</v>
      </c>
      <c r="C713" s="113">
        <f>'C'!I102</f>
        <v>31.666666666666664</v>
      </c>
      <c r="D713" s="113">
        <f>D!I102</f>
        <v>31.666666666666664</v>
      </c>
      <c r="E713" s="113">
        <f>E!I102</f>
        <v>31.475000000000001</v>
      </c>
      <c r="F713" s="113">
        <f>F!I102</f>
        <v>31.7</v>
      </c>
      <c r="G713" s="113">
        <f>G!I102</f>
        <v>31.7</v>
      </c>
      <c r="H713" s="95">
        <f>YD!I102</f>
        <v>0</v>
      </c>
      <c r="I713" s="95">
        <f>I!I102</f>
        <v>0</v>
      </c>
      <c r="J713" s="95">
        <f>J!I102</f>
        <v>0</v>
      </c>
    </row>
    <row r="714" spans="1:10">
      <c r="A714" s="69" t="s">
        <v>79</v>
      </c>
      <c r="B714" s="113">
        <f>B!I103</f>
        <v>31.95</v>
      </c>
      <c r="C714" s="113">
        <f>'C'!I103</f>
        <v>32.222222222222221</v>
      </c>
      <c r="D714" s="113">
        <f>D!I103</f>
        <v>32.222222222222221</v>
      </c>
      <c r="E714" s="113">
        <f>E!I103</f>
        <v>32.012500000000003</v>
      </c>
      <c r="F714" s="113">
        <f>F!I103</f>
        <v>32.200000000000003</v>
      </c>
      <c r="G714" s="113">
        <f>G!I103</f>
        <v>32.200000000000003</v>
      </c>
      <c r="H714" s="95">
        <f>YD!I103</f>
        <v>0</v>
      </c>
      <c r="I714" s="95">
        <f>I!I103</f>
        <v>0</v>
      </c>
      <c r="J714" s="95">
        <f>J!I103</f>
        <v>0</v>
      </c>
    </row>
    <row r="715" spans="1:10">
      <c r="A715" s="69" t="s">
        <v>198</v>
      </c>
      <c r="B715" s="113">
        <f>B!I104</f>
        <v>32.200000000000003</v>
      </c>
      <c r="C715" s="113">
        <f>'C'!I104</f>
        <v>32.222222222222221</v>
      </c>
      <c r="D715" s="113">
        <f>D!I104</f>
        <v>32.222222222222221</v>
      </c>
      <c r="E715" s="113">
        <f>E!I104</f>
        <v>32.200000000000003</v>
      </c>
      <c r="F715" s="113">
        <f>F!I104</f>
        <v>32.200000000000003</v>
      </c>
      <c r="G715" s="113">
        <f>G!I104</f>
        <v>32.200000000000003</v>
      </c>
      <c r="H715" s="95">
        <f>YD!I104</f>
        <v>0</v>
      </c>
      <c r="I715" s="95">
        <f>I!I104</f>
        <v>0</v>
      </c>
      <c r="J715" s="95">
        <f>J!I104</f>
        <v>0</v>
      </c>
    </row>
    <row r="716" spans="1:10">
      <c r="A716" s="69" t="s">
        <v>201</v>
      </c>
      <c r="B716" s="113">
        <f>B!I105</f>
        <v>31.95</v>
      </c>
      <c r="C716" s="113">
        <f>'C'!I105</f>
        <v>31.666666666666664</v>
      </c>
      <c r="D716" s="113">
        <f>D!I105</f>
        <v>31.666666666666664</v>
      </c>
      <c r="E716" s="113">
        <f>E!I105</f>
        <v>31.887499999999999</v>
      </c>
      <c r="F716" s="113">
        <f>F!I105</f>
        <v>31.7</v>
      </c>
      <c r="G716" s="113">
        <f>G!I105</f>
        <v>31.7</v>
      </c>
      <c r="H716" s="95">
        <f>YD!I105</f>
        <v>0</v>
      </c>
      <c r="I716" s="95">
        <f>I!I105</f>
        <v>0</v>
      </c>
      <c r="J716" s="95">
        <f>J!I105</f>
        <v>0</v>
      </c>
    </row>
    <row r="717" spans="1:10">
      <c r="A717" s="69" t="s">
        <v>204</v>
      </c>
      <c r="B717" s="113">
        <f>B!I106</f>
        <v>31.4</v>
      </c>
      <c r="C717" s="113">
        <f>'C'!I106</f>
        <v>31.111111111111111</v>
      </c>
      <c r="D717" s="113">
        <f>D!I106</f>
        <v>31.111111111111111</v>
      </c>
      <c r="E717" s="113">
        <f>E!I106</f>
        <v>31.324999999999999</v>
      </c>
      <c r="F717" s="113">
        <f>F!I106</f>
        <v>31.1</v>
      </c>
      <c r="G717" s="113">
        <f>G!I106</f>
        <v>31.1</v>
      </c>
      <c r="H717" s="95">
        <f>YD!I106</f>
        <v>0</v>
      </c>
      <c r="I717" s="95">
        <f>I!I106</f>
        <v>0</v>
      </c>
      <c r="J717" s="95">
        <f>J!I106</f>
        <v>0</v>
      </c>
    </row>
    <row r="718" spans="1:10">
      <c r="A718" s="69" t="s">
        <v>206</v>
      </c>
      <c r="B718" s="113">
        <f>B!I107</f>
        <v>29.7</v>
      </c>
      <c r="C718" s="113">
        <f>'C'!I107</f>
        <v>28.333333333333332</v>
      </c>
      <c r="D718" s="113">
        <f>D!I107</f>
        <v>28.333333333333332</v>
      </c>
      <c r="E718" s="113">
        <f>E!I107</f>
        <v>29.35</v>
      </c>
      <c r="F718" s="113">
        <f>F!I107</f>
        <v>28.3</v>
      </c>
      <c r="G718" s="113">
        <f>G!I107</f>
        <v>28.3</v>
      </c>
      <c r="H718" s="95">
        <f>YD!I107</f>
        <v>0</v>
      </c>
      <c r="I718" s="95">
        <f>I!I107</f>
        <v>0</v>
      </c>
      <c r="J718" s="95">
        <f>J!I107</f>
        <v>0</v>
      </c>
    </row>
    <row r="719" spans="1:10">
      <c r="A719" s="69" t="s">
        <v>207</v>
      </c>
      <c r="B719" s="113">
        <f>B!I108</f>
        <v>27.75</v>
      </c>
      <c r="C719" s="113">
        <f>'C'!I108</f>
        <v>27.222222222222221</v>
      </c>
      <c r="D719" s="113">
        <f>D!I108</f>
        <v>27.222222222222221</v>
      </c>
      <c r="E719" s="113">
        <f>E!I108</f>
        <v>27.612500000000001</v>
      </c>
      <c r="F719" s="113">
        <f>F!I108</f>
        <v>27.2</v>
      </c>
      <c r="G719" s="113">
        <f>G!I108</f>
        <v>27.2</v>
      </c>
      <c r="H719" s="95">
        <f>YD!I108</f>
        <v>0</v>
      </c>
      <c r="I719" s="95">
        <f>I!I108</f>
        <v>0</v>
      </c>
      <c r="J719" s="95">
        <f>J!I108</f>
        <v>0</v>
      </c>
    </row>
    <row r="720" spans="1:10">
      <c r="A720" s="69" t="s">
        <v>208</v>
      </c>
      <c r="B720" s="113">
        <f>B!I109</f>
        <v>27.2</v>
      </c>
      <c r="C720" s="113">
        <f>'C'!I109</f>
        <v>27.222222222222221</v>
      </c>
      <c r="D720" s="113">
        <f>D!I109</f>
        <v>27.222222222222221</v>
      </c>
      <c r="E720" s="113">
        <f>E!I109</f>
        <v>27.2</v>
      </c>
      <c r="F720" s="113">
        <f>F!I109</f>
        <v>27.2</v>
      </c>
      <c r="G720" s="113">
        <f>G!I109</f>
        <v>27.2</v>
      </c>
      <c r="H720" s="95">
        <f>YD!I109</f>
        <v>0</v>
      </c>
      <c r="I720" s="95">
        <f>I!I109</f>
        <v>0</v>
      </c>
      <c r="J720" s="95">
        <f>J!I109</f>
        <v>0</v>
      </c>
    </row>
    <row r="721" spans="1:10">
      <c r="A721" s="69" t="s">
        <v>209</v>
      </c>
      <c r="B721" s="113">
        <f>B!I110</f>
        <v>26.95</v>
      </c>
      <c r="C721" s="113">
        <f>'C'!I110</f>
        <v>26.666666666666668</v>
      </c>
      <c r="D721" s="113">
        <f>D!I110</f>
        <v>26.666666666666668</v>
      </c>
      <c r="E721" s="113">
        <f>E!I110</f>
        <v>26.887499999999999</v>
      </c>
      <c r="F721" s="113">
        <f>F!I110</f>
        <v>26.7</v>
      </c>
      <c r="G721" s="113">
        <f>G!I110</f>
        <v>26.7</v>
      </c>
      <c r="H721" s="95">
        <f>YD!I110</f>
        <v>0</v>
      </c>
      <c r="I721" s="95">
        <f>I!I110</f>
        <v>0</v>
      </c>
      <c r="J721" s="95">
        <f>J!I110</f>
        <v>0</v>
      </c>
    </row>
    <row r="722" spans="1:10">
      <c r="A722" s="69" t="s">
        <v>210</v>
      </c>
      <c r="B722" s="113">
        <f>B!I111</f>
        <v>26.4</v>
      </c>
      <c r="C722" s="113">
        <f>'C'!I111</f>
        <v>26.111111111111114</v>
      </c>
      <c r="D722" s="113">
        <f>D!I111</f>
        <v>26.111111111111114</v>
      </c>
      <c r="E722" s="113">
        <f>E!I111</f>
        <v>26.324999999999999</v>
      </c>
      <c r="F722" s="113">
        <f>F!I111</f>
        <v>26.1</v>
      </c>
      <c r="G722" s="113">
        <f>G!I111</f>
        <v>26.1</v>
      </c>
      <c r="H722" s="95">
        <f>YD!I111</f>
        <v>0</v>
      </c>
      <c r="I722" s="95">
        <f>I!I111</f>
        <v>0</v>
      </c>
      <c r="J722" s="95">
        <f>J!I111</f>
        <v>0</v>
      </c>
    </row>
    <row r="723" spans="1:10">
      <c r="A723" s="70" t="s">
        <v>211</v>
      </c>
      <c r="B723" s="113">
        <f>B!I112</f>
        <v>26.1</v>
      </c>
      <c r="C723" s="113">
        <f>'C'!I112</f>
        <v>26.111111111111114</v>
      </c>
      <c r="D723" s="113">
        <f>D!I112</f>
        <v>26.111111111111114</v>
      </c>
      <c r="E723" s="113">
        <f>E!I112</f>
        <v>26.1</v>
      </c>
      <c r="F723" s="113">
        <f>F!I112</f>
        <v>26.1</v>
      </c>
      <c r="G723" s="113">
        <f>G!I112</f>
        <v>26.1</v>
      </c>
      <c r="H723" s="95">
        <f>YD!I112</f>
        <v>0</v>
      </c>
      <c r="I723" s="95">
        <f>I!I112</f>
        <v>0</v>
      </c>
      <c r="J723" s="95">
        <f>J!I112</f>
        <v>0</v>
      </c>
    </row>
    <row r="727" spans="1:10">
      <c r="A727" t="s">
        <v>231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245</v>
      </c>
      <c r="C729" s="10" t="s">
        <v>257</v>
      </c>
      <c r="D729" s="10" t="s">
        <v>258</v>
      </c>
      <c r="E729" s="10" t="s">
        <v>515</v>
      </c>
      <c r="F729" s="10" t="s">
        <v>373</v>
      </c>
      <c r="G729" s="10" t="s">
        <v>482</v>
      </c>
      <c r="H729" s="10" t="s">
        <v>516</v>
      </c>
      <c r="I729" s="10" t="s">
        <v>517</v>
      </c>
      <c r="J729" s="10" t="s">
        <v>517</v>
      </c>
    </row>
    <row r="730" spans="1:10">
      <c r="A730" s="69" t="s">
        <v>159</v>
      </c>
      <c r="B730" s="113">
        <f>B!J89</f>
        <v>23.4068</v>
      </c>
      <c r="C730" s="113">
        <f>'C'!J89</f>
        <v>23.833333333333336</v>
      </c>
      <c r="D730" s="113">
        <f>D!J89</f>
        <v>23.833333333333336</v>
      </c>
      <c r="E730" s="113">
        <f>E!J89</f>
        <v>23.945048605625502</v>
      </c>
      <c r="F730" s="113">
        <f>F!J89</f>
        <v>23.92</v>
      </c>
      <c r="G730" s="113">
        <f>G!J89</f>
        <v>23.936699999999998</v>
      </c>
      <c r="H730" s="95">
        <f>YD!J89</f>
        <v>0</v>
      </c>
      <c r="I730" s="95">
        <f>I!J89</f>
        <v>0</v>
      </c>
      <c r="J730" s="95">
        <f>J!J89</f>
        <v>0</v>
      </c>
    </row>
    <row r="731" spans="1:10">
      <c r="A731" s="69" t="s">
        <v>166</v>
      </c>
      <c r="B731" s="113">
        <f>B!J90</f>
        <v>23.3748</v>
      </c>
      <c r="C731" s="113">
        <f>'C'!J90</f>
        <v>23.944444444444439</v>
      </c>
      <c r="D731" s="113">
        <f>D!J90</f>
        <v>23.944444444444439</v>
      </c>
      <c r="E731" s="113">
        <f>E!J90</f>
        <v>23.963593094166001</v>
      </c>
      <c r="F731" s="113">
        <f>F!J90</f>
        <v>24</v>
      </c>
      <c r="G731" s="113">
        <f>G!J90</f>
        <v>23.936699999999998</v>
      </c>
      <c r="H731" s="95">
        <f>YD!J90</f>
        <v>0</v>
      </c>
      <c r="I731" s="95">
        <f>I!J90</f>
        <v>0</v>
      </c>
      <c r="J731" s="95">
        <f>J!J90</f>
        <v>0</v>
      </c>
    </row>
    <row r="732" spans="1:10">
      <c r="A732" s="69" t="s">
        <v>169</v>
      </c>
      <c r="B732" s="113">
        <f>B!J91</f>
        <v>23.383299999999998</v>
      </c>
      <c r="C732" s="113">
        <f>'C'!J91</f>
        <v>23.833333333333336</v>
      </c>
      <c r="D732" s="113">
        <f>D!J91</f>
        <v>23.833333333333336</v>
      </c>
      <c r="E732" s="113">
        <f>E!J91</f>
        <v>23.945070840907501</v>
      </c>
      <c r="F732" s="113">
        <f>F!J91</f>
        <v>23.92</v>
      </c>
      <c r="G732" s="113">
        <f>G!J91</f>
        <v>23.895800000000001</v>
      </c>
      <c r="H732" s="95">
        <f>YD!J91</f>
        <v>0</v>
      </c>
      <c r="I732" s="95">
        <f>I!J91</f>
        <v>0</v>
      </c>
      <c r="J732" s="95">
        <f>J!J91</f>
        <v>0</v>
      </c>
    </row>
    <row r="733" spans="1:10">
      <c r="A733" s="69" t="s">
        <v>171</v>
      </c>
      <c r="B733" s="113">
        <f>B!J92</f>
        <v>23.373899999999999</v>
      </c>
      <c r="C733" s="113">
        <f>'C'!J92</f>
        <v>23.833333333333336</v>
      </c>
      <c r="D733" s="113">
        <f>D!J92</f>
        <v>23.833333333333336</v>
      </c>
      <c r="E733" s="113">
        <f>E!J92</f>
        <v>23.9168847690941</v>
      </c>
      <c r="F733" s="113">
        <f>F!J92</f>
        <v>23.92</v>
      </c>
      <c r="G733" s="113">
        <f>G!J92</f>
        <v>23.837499999999999</v>
      </c>
      <c r="H733" s="95">
        <f>YD!J92</f>
        <v>0</v>
      </c>
      <c r="I733" s="95">
        <f>I!J92</f>
        <v>0</v>
      </c>
      <c r="J733" s="95">
        <f>J!J92</f>
        <v>0</v>
      </c>
    </row>
    <row r="734" spans="1:10">
      <c r="A734" s="69" t="s">
        <v>173</v>
      </c>
      <c r="B734" s="113">
        <f>B!J93</f>
        <v>23.350300000000001</v>
      </c>
      <c r="C734" s="113">
        <f>'C'!J93</f>
        <v>23.777777777777775</v>
      </c>
      <c r="D734" s="113">
        <f>D!J93</f>
        <v>23.777777777777775</v>
      </c>
      <c r="E734" s="113">
        <f>E!J93</f>
        <v>23.861237332159501</v>
      </c>
      <c r="F734" s="113">
        <f>F!J93</f>
        <v>23.83</v>
      </c>
      <c r="G734" s="113">
        <f>G!J93</f>
        <v>23.9757</v>
      </c>
      <c r="H734" s="95">
        <f>YD!J93</f>
        <v>0</v>
      </c>
      <c r="I734" s="95">
        <f>I!J93</f>
        <v>0</v>
      </c>
      <c r="J734" s="95">
        <f>J!J93</f>
        <v>0</v>
      </c>
    </row>
    <row r="735" spans="1:10">
      <c r="A735" s="69" t="s">
        <v>174</v>
      </c>
      <c r="B735" s="113">
        <f>B!J94</f>
        <v>23.417100000000001</v>
      </c>
      <c r="C735" s="113">
        <f>'C'!J94</f>
        <v>24.111111111111114</v>
      </c>
      <c r="D735" s="113">
        <f>D!J94</f>
        <v>24.111111111111114</v>
      </c>
      <c r="E735" s="113">
        <f>E!J94</f>
        <v>24.033478329596701</v>
      </c>
      <c r="F735" s="113">
        <f>F!J94</f>
        <v>24.16</v>
      </c>
      <c r="G735" s="113">
        <f>G!J94</f>
        <v>24.575600000000001</v>
      </c>
      <c r="H735" s="95">
        <f>YD!J94</f>
        <v>0</v>
      </c>
      <c r="I735" s="95">
        <f>I!J94</f>
        <v>0</v>
      </c>
      <c r="J735" s="95">
        <f>J!J94</f>
        <v>0</v>
      </c>
    </row>
    <row r="736" spans="1:10">
      <c r="A736" s="69" t="s">
        <v>176</v>
      </c>
      <c r="B736" s="113">
        <f>B!J95</f>
        <v>24.0395</v>
      </c>
      <c r="C736" s="113">
        <f>'C'!J95</f>
        <v>24.944444444444446</v>
      </c>
      <c r="D736" s="113">
        <f>D!J95</f>
        <v>24.944444444444446</v>
      </c>
      <c r="E736" s="113">
        <f>E!J95</f>
        <v>24.684089817099601</v>
      </c>
      <c r="F736" s="113">
        <f>F!J95</f>
        <v>25</v>
      </c>
      <c r="G736" s="113">
        <f>G!J95</f>
        <v>25.164300000000001</v>
      </c>
      <c r="H736" s="95">
        <f>YD!J95</f>
        <v>0</v>
      </c>
      <c r="I736" s="95">
        <f>I!J95</f>
        <v>0</v>
      </c>
      <c r="J736" s="95">
        <f>J!J95</f>
        <v>0</v>
      </c>
    </row>
    <row r="737" spans="1:10">
      <c r="A737" s="69" t="s">
        <v>178</v>
      </c>
      <c r="B737" s="113">
        <f>B!J96</f>
        <v>24.572399999999998</v>
      </c>
      <c r="C737" s="113">
        <f>'C'!J96</f>
        <v>25.277777777777779</v>
      </c>
      <c r="D737" s="113">
        <f>D!J96</f>
        <v>25.277777777777779</v>
      </c>
      <c r="E737" s="113">
        <f>E!J96</f>
        <v>25.207966218252299</v>
      </c>
      <c r="F737" s="113">
        <f>F!J96</f>
        <v>25.33</v>
      </c>
      <c r="G737" s="113">
        <f>G!J96</f>
        <v>25.453299999999999</v>
      </c>
      <c r="H737" s="95">
        <f>YD!J96</f>
        <v>0</v>
      </c>
      <c r="I737" s="95">
        <f>I!J96</f>
        <v>0</v>
      </c>
      <c r="J737" s="95">
        <f>J!J96</f>
        <v>0</v>
      </c>
    </row>
    <row r="738" spans="1:10">
      <c r="A738" s="69" t="s">
        <v>180</v>
      </c>
      <c r="B738" s="113">
        <f>B!J97</f>
        <v>25.093699999999998</v>
      </c>
      <c r="C738" s="113">
        <f>'C'!J97</f>
        <v>25.555555555555554</v>
      </c>
      <c r="D738" s="113">
        <f>D!J97</f>
        <v>25.555555555555554</v>
      </c>
      <c r="E738" s="113">
        <f>E!J97</f>
        <v>25.490608308835998</v>
      </c>
      <c r="F738" s="113">
        <f>F!J97</f>
        <v>25.59</v>
      </c>
      <c r="G738" s="113">
        <f>G!J97</f>
        <v>25.578499999999998</v>
      </c>
      <c r="H738" s="95">
        <f>YD!J97</f>
        <v>0</v>
      </c>
      <c r="I738" s="95">
        <f>I!J97</f>
        <v>0</v>
      </c>
      <c r="J738" s="95">
        <f>J!J97</f>
        <v>0</v>
      </c>
    </row>
    <row r="739" spans="1:10">
      <c r="A739" s="69" t="s">
        <v>183</v>
      </c>
      <c r="B739" s="113">
        <f>B!J98</f>
        <v>25.281500000000001</v>
      </c>
      <c r="C739" s="113">
        <f>'C'!J98</f>
        <v>25.555555555555554</v>
      </c>
      <c r="D739" s="113">
        <f>D!J98</f>
        <v>25.555555555555554</v>
      </c>
      <c r="E739" s="113">
        <f>E!J98</f>
        <v>25.586519385919601</v>
      </c>
      <c r="F739" s="113">
        <f>F!J98</f>
        <v>25.59</v>
      </c>
      <c r="G739" s="113">
        <f>G!J98</f>
        <v>25.7393</v>
      </c>
      <c r="H739" s="95">
        <f>YD!J98</f>
        <v>0</v>
      </c>
      <c r="I739" s="95">
        <f>I!J98</f>
        <v>0</v>
      </c>
      <c r="J739" s="95">
        <f>J!J98</f>
        <v>0</v>
      </c>
    </row>
    <row r="740" spans="1:10">
      <c r="A740" s="69" t="s">
        <v>186</v>
      </c>
      <c r="B740" s="113">
        <f>B!J99</f>
        <v>25.359200000000001</v>
      </c>
      <c r="C740" s="113">
        <f>'C'!J99</f>
        <v>25.888888888888882</v>
      </c>
      <c r="D740" s="113">
        <f>D!J99</f>
        <v>25.888888888888882</v>
      </c>
      <c r="E740" s="113">
        <f>E!J99</f>
        <v>25.795272957073099</v>
      </c>
      <c r="F740" s="113">
        <f>F!J99</f>
        <v>25.91</v>
      </c>
      <c r="G740" s="113">
        <f>G!J99</f>
        <v>25.863099999999999</v>
      </c>
      <c r="H740" s="95">
        <f>YD!J99</f>
        <v>0</v>
      </c>
      <c r="I740" s="95">
        <f>I!J99</f>
        <v>0</v>
      </c>
      <c r="J740" s="95">
        <f>J!J99</f>
        <v>0</v>
      </c>
    </row>
    <row r="741" spans="1:10">
      <c r="A741" s="69" t="s">
        <v>187</v>
      </c>
      <c r="B741" s="113">
        <f>B!J100</f>
        <v>25.587700000000002</v>
      </c>
      <c r="C741" s="113">
        <f>'C'!J100</f>
        <v>25.833333333333336</v>
      </c>
      <c r="D741" s="113">
        <f>D!J100</f>
        <v>25.833333333333336</v>
      </c>
      <c r="E741" s="113">
        <f>E!J100</f>
        <v>25.8718039469396</v>
      </c>
      <c r="F741" s="113">
        <f>F!J100</f>
        <v>25.84</v>
      </c>
      <c r="G741" s="113">
        <f>G!J100</f>
        <v>25.8628</v>
      </c>
      <c r="H741" s="95">
        <f>YD!J100</f>
        <v>0</v>
      </c>
      <c r="I741" s="95">
        <f>I!J100</f>
        <v>0</v>
      </c>
      <c r="J741" s="95">
        <f>J!J100</f>
        <v>0</v>
      </c>
    </row>
    <row r="742" spans="1:10">
      <c r="A742" s="69" t="s">
        <v>191</v>
      </c>
      <c r="B742" s="113">
        <f>B!J101</f>
        <v>26.53</v>
      </c>
      <c r="C742" s="113">
        <f>'C'!J101</f>
        <v>25.944444444444446</v>
      </c>
      <c r="D742" s="113">
        <f>D!J101</f>
        <v>25.944444444444446</v>
      </c>
      <c r="E742" s="113">
        <f>E!J101</f>
        <v>25.884948589870401</v>
      </c>
      <c r="F742" s="113">
        <f>F!J101</f>
        <v>25.91</v>
      </c>
      <c r="G742" s="113">
        <f>G!J101</f>
        <v>25.942399999999999</v>
      </c>
      <c r="H742" s="95">
        <f>YD!J101</f>
        <v>0</v>
      </c>
      <c r="I742" s="95">
        <f>I!J101</f>
        <v>0</v>
      </c>
      <c r="J742" s="95">
        <f>J!J101</f>
        <v>0</v>
      </c>
    </row>
    <row r="743" spans="1:10">
      <c r="A743" s="69" t="s">
        <v>194</v>
      </c>
      <c r="B743" s="113">
        <f>B!J102</f>
        <v>26.561699999999998</v>
      </c>
      <c r="C743" s="113">
        <f>'C'!J102</f>
        <v>26.055555555555561</v>
      </c>
      <c r="D743" s="113">
        <f>D!J102</f>
        <v>26.055555555555561</v>
      </c>
      <c r="E743" s="113">
        <f>E!J102</f>
        <v>25.968879907426501</v>
      </c>
      <c r="F743" s="113">
        <f>F!J102</f>
        <v>26</v>
      </c>
      <c r="G743" s="113">
        <f>G!J102</f>
        <v>26.021999999999998</v>
      </c>
      <c r="H743" s="95">
        <f>YD!J102</f>
        <v>0</v>
      </c>
      <c r="I743" s="95">
        <f>I!J102</f>
        <v>0</v>
      </c>
      <c r="J743" s="95">
        <f>J!J102</f>
        <v>0</v>
      </c>
    </row>
    <row r="744" spans="1:10">
      <c r="A744" s="69" t="s">
        <v>79</v>
      </c>
      <c r="B744" s="113">
        <f>B!J103</f>
        <v>26.781199999999998</v>
      </c>
      <c r="C744" s="113">
        <f>'C'!J103</f>
        <v>26.111111111111114</v>
      </c>
      <c r="D744" s="113">
        <f>D!J103</f>
        <v>26.111111111111114</v>
      </c>
      <c r="E744" s="113">
        <f>E!J103</f>
        <v>26.0512583266162</v>
      </c>
      <c r="F744" s="113">
        <f>F!J103</f>
        <v>26.08</v>
      </c>
      <c r="G744" s="113">
        <f>G!J103</f>
        <v>26.1296</v>
      </c>
      <c r="H744" s="95">
        <f>YD!J103</f>
        <v>0</v>
      </c>
      <c r="I744" s="95">
        <f>I!J103</f>
        <v>0</v>
      </c>
      <c r="J744" s="95">
        <f>J!J103</f>
        <v>0</v>
      </c>
    </row>
    <row r="745" spans="1:10">
      <c r="A745" s="69" t="s">
        <v>198</v>
      </c>
      <c r="B745" s="113">
        <f>B!J104</f>
        <v>26.563199999999998</v>
      </c>
      <c r="C745" s="113">
        <f>'C'!J104</f>
        <v>26.166666666666664</v>
      </c>
      <c r="D745" s="113">
        <f>D!J104</f>
        <v>26.166666666666664</v>
      </c>
      <c r="E745" s="113">
        <f>E!J104</f>
        <v>26.082730952653399</v>
      </c>
      <c r="F745" s="113">
        <f>F!J104</f>
        <v>26.08</v>
      </c>
      <c r="G745" s="113">
        <f>G!J104</f>
        <v>26.032299999999999</v>
      </c>
      <c r="H745" s="95">
        <f>YD!J104</f>
        <v>0</v>
      </c>
      <c r="I745" s="95">
        <f>I!J104</f>
        <v>0</v>
      </c>
      <c r="J745" s="95">
        <f>J!J104</f>
        <v>0</v>
      </c>
    </row>
    <row r="746" spans="1:10">
      <c r="A746" s="69" t="s">
        <v>201</v>
      </c>
      <c r="B746" s="113">
        <f>B!J105</f>
        <v>26.198</v>
      </c>
      <c r="C746" s="113">
        <f>'C'!J105</f>
        <v>26.055555555555561</v>
      </c>
      <c r="D746" s="113">
        <f>D!J105</f>
        <v>26.055555555555561</v>
      </c>
      <c r="E746" s="113">
        <f>E!J105</f>
        <v>26.039580610021801</v>
      </c>
      <c r="F746" s="113">
        <f>F!J105</f>
        <v>26</v>
      </c>
      <c r="G746" s="113">
        <f>G!J105</f>
        <v>25.943000000000001</v>
      </c>
      <c r="H746" s="95">
        <f>YD!J105</f>
        <v>0</v>
      </c>
      <c r="I746" s="95">
        <f>I!J105</f>
        <v>0</v>
      </c>
      <c r="J746" s="95">
        <f>J!J105</f>
        <v>0</v>
      </c>
    </row>
    <row r="747" spans="1:10">
      <c r="A747" s="69" t="s">
        <v>204</v>
      </c>
      <c r="B747" s="113">
        <f>B!J106</f>
        <v>26.226299999999998</v>
      </c>
      <c r="C747" s="113">
        <f>'C'!J106</f>
        <v>25.944444444444446</v>
      </c>
      <c r="D747" s="113">
        <f>D!J106</f>
        <v>25.944444444444446</v>
      </c>
      <c r="E747" s="113">
        <f>E!J106</f>
        <v>25.9556105203703</v>
      </c>
      <c r="F747" s="113">
        <f>F!J106</f>
        <v>25.91</v>
      </c>
      <c r="G747" s="113">
        <f>G!J106</f>
        <v>25.695499999999999</v>
      </c>
      <c r="H747" s="95">
        <f>YD!J106</f>
        <v>0</v>
      </c>
      <c r="I747" s="95">
        <f>I!J106</f>
        <v>0</v>
      </c>
      <c r="J747" s="95">
        <f>J!J106</f>
        <v>0</v>
      </c>
    </row>
    <row r="748" spans="1:10">
      <c r="A748" s="69" t="s">
        <v>206</v>
      </c>
      <c r="B748" s="113">
        <f>B!J107</f>
        <v>25.700099999999999</v>
      </c>
      <c r="C748" s="113">
        <f>'C'!J107</f>
        <v>25.5</v>
      </c>
      <c r="D748" s="113">
        <f>D!J107</f>
        <v>25.5</v>
      </c>
      <c r="E748" s="113">
        <f>E!J107</f>
        <v>25.655753439605501</v>
      </c>
      <c r="F748" s="113">
        <f>F!J107</f>
        <v>25.5</v>
      </c>
      <c r="G748" s="113">
        <f>G!J107</f>
        <v>25.409300000000002</v>
      </c>
      <c r="H748" s="95">
        <f>YD!J107</f>
        <v>0</v>
      </c>
      <c r="I748" s="95">
        <f>I!J107</f>
        <v>0</v>
      </c>
      <c r="J748" s="95">
        <f>J!J107</f>
        <v>0</v>
      </c>
    </row>
    <row r="749" spans="1:10">
      <c r="A749" s="69" t="s">
        <v>207</v>
      </c>
      <c r="B749" s="113">
        <f>B!J108</f>
        <v>25.167300000000001</v>
      </c>
      <c r="C749" s="113">
        <f>'C'!J108</f>
        <v>25.333333333333329</v>
      </c>
      <c r="D749" s="113">
        <f>D!J108</f>
        <v>25.333333333333329</v>
      </c>
      <c r="E749" s="113">
        <f>E!J108</f>
        <v>25.393392931581399</v>
      </c>
      <c r="F749" s="113">
        <f>F!J108</f>
        <v>25.33</v>
      </c>
      <c r="G749" s="113">
        <f>G!J108</f>
        <v>25.328099999999999</v>
      </c>
      <c r="H749" s="95">
        <f>YD!J108</f>
        <v>0</v>
      </c>
      <c r="I749" s="95">
        <f>I!J108</f>
        <v>0</v>
      </c>
      <c r="J749" s="95">
        <f>J!J108</f>
        <v>0</v>
      </c>
    </row>
    <row r="750" spans="1:10">
      <c r="A750" s="69" t="s">
        <v>208</v>
      </c>
      <c r="B750" s="113">
        <f>B!J109</f>
        <v>24.654399999999999</v>
      </c>
      <c r="C750" s="113">
        <f>'C'!J109</f>
        <v>25.333333333333329</v>
      </c>
      <c r="D750" s="113">
        <f>D!J109</f>
        <v>25.333333333333329</v>
      </c>
      <c r="E750" s="113">
        <f>E!J109</f>
        <v>25.3330402686227</v>
      </c>
      <c r="F750" s="113">
        <f>F!J109</f>
        <v>25.33</v>
      </c>
      <c r="G750" s="113">
        <f>G!J109</f>
        <v>25.291</v>
      </c>
      <c r="H750" s="95">
        <f>YD!J109</f>
        <v>0</v>
      </c>
      <c r="I750" s="95">
        <f>I!J109</f>
        <v>0</v>
      </c>
      <c r="J750" s="95">
        <f>J!J109</f>
        <v>0</v>
      </c>
    </row>
    <row r="751" spans="1:10">
      <c r="A751" s="69" t="s">
        <v>209</v>
      </c>
      <c r="B751" s="113">
        <f>B!J110</f>
        <v>24.744499999999999</v>
      </c>
      <c r="C751" s="113">
        <f>'C'!J110</f>
        <v>25.222222222222225</v>
      </c>
      <c r="D751" s="113">
        <f>D!J110</f>
        <v>25.222222222222225</v>
      </c>
      <c r="E751" s="113">
        <f>E!J110</f>
        <v>25.286450951241498</v>
      </c>
      <c r="F751" s="113">
        <f>F!J110</f>
        <v>25.25</v>
      </c>
      <c r="G751" s="113">
        <f>G!J110</f>
        <v>25.209199999999999</v>
      </c>
      <c r="H751" s="95">
        <f>YD!J110</f>
        <v>0</v>
      </c>
      <c r="I751" s="95">
        <f>I!J110</f>
        <v>0</v>
      </c>
      <c r="J751" s="95">
        <f>J!J110</f>
        <v>0</v>
      </c>
    </row>
    <row r="752" spans="1:10">
      <c r="A752" s="69" t="s">
        <v>210</v>
      </c>
      <c r="B752" s="113">
        <f>B!J111</f>
        <v>24.6707</v>
      </c>
      <c r="C752" s="113">
        <f>'C'!J111</f>
        <v>25.111111111111111</v>
      </c>
      <c r="D752" s="113">
        <f>D!J111</f>
        <v>25.111111111111111</v>
      </c>
      <c r="E752" s="113">
        <f>E!J111</f>
        <v>25.201337204379801</v>
      </c>
      <c r="F752" s="113">
        <f>F!J111</f>
        <v>25.16</v>
      </c>
      <c r="G752" s="113">
        <f>G!J111</f>
        <v>25.1645</v>
      </c>
      <c r="H752" s="95">
        <f>YD!J111</f>
        <v>0</v>
      </c>
      <c r="I752" s="95">
        <f>I!J111</f>
        <v>0</v>
      </c>
      <c r="J752" s="95">
        <f>J!J111</f>
        <v>0</v>
      </c>
    </row>
    <row r="753" spans="1:10">
      <c r="A753" s="70" t="s">
        <v>211</v>
      </c>
      <c r="B753" s="113">
        <f>B!J112</f>
        <v>24.7257</v>
      </c>
      <c r="C753" s="113">
        <f>'C'!J112</f>
        <v>25.111111111111111</v>
      </c>
      <c r="D753" s="113">
        <f>D!J112</f>
        <v>25.111111111111111</v>
      </c>
      <c r="E753" s="113">
        <f>E!J112</f>
        <v>25.167379966261201</v>
      </c>
      <c r="F753" s="113">
        <f>F!J112</f>
        <v>25.16</v>
      </c>
      <c r="G753" s="113">
        <f>G!J112</f>
        <v>25.037400000000002</v>
      </c>
      <c r="H753" s="95">
        <f>YD!J112</f>
        <v>0</v>
      </c>
      <c r="I753" s="95">
        <f>I!J112</f>
        <v>0</v>
      </c>
      <c r="J753" s="95">
        <f>J!J112</f>
        <v>0</v>
      </c>
    </row>
    <row r="757" spans="1:10">
      <c r="A757" t="s">
        <v>232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245</v>
      </c>
      <c r="C759" s="10" t="s">
        <v>257</v>
      </c>
      <c r="D759" s="10" t="s">
        <v>258</v>
      </c>
      <c r="E759" s="10" t="s">
        <v>515</v>
      </c>
      <c r="F759" s="10" t="s">
        <v>373</v>
      </c>
      <c r="G759" s="10" t="s">
        <v>482</v>
      </c>
      <c r="H759" s="10" t="s">
        <v>516</v>
      </c>
      <c r="I759" s="10" t="s">
        <v>517</v>
      </c>
      <c r="J759" s="10" t="s">
        <v>517</v>
      </c>
    </row>
    <row r="760" spans="1:10">
      <c r="A760" s="69" t="s">
        <v>159</v>
      </c>
      <c r="B760" s="113">
        <f>B!K89</f>
        <v>16.964099999999998</v>
      </c>
      <c r="C760" s="113">
        <f>'C'!K89</f>
        <v>17.34</v>
      </c>
      <c r="D760" s="113">
        <f>D!K89</f>
        <v>17.34</v>
      </c>
      <c r="E760" s="113">
        <f>E!K89</f>
        <v>0</v>
      </c>
      <c r="F760" s="113">
        <f>F!K89</f>
        <v>17.155000000000001</v>
      </c>
      <c r="G760" s="113">
        <f>G!K89</f>
        <v>17.304200000000002</v>
      </c>
      <c r="H760" s="95">
        <f>YD!K89</f>
        <v>0</v>
      </c>
      <c r="I760" s="95">
        <f>I!K89</f>
        <v>0</v>
      </c>
      <c r="J760" s="95">
        <f>J!K89</f>
        <v>0</v>
      </c>
    </row>
    <row r="761" spans="1:10">
      <c r="A761" s="69" t="s">
        <v>166</v>
      </c>
      <c r="B761" s="113">
        <f>B!K90</f>
        <v>16.904599999999999</v>
      </c>
      <c r="C761" s="113">
        <f>'C'!K90</f>
        <v>17.29</v>
      </c>
      <c r="D761" s="113">
        <f>D!K90</f>
        <v>17.29</v>
      </c>
      <c r="E761" s="113">
        <f>E!K90</f>
        <v>0</v>
      </c>
      <c r="F761" s="113">
        <f>F!K90</f>
        <v>17.238</v>
      </c>
      <c r="G761" s="113">
        <f>G!K90</f>
        <v>17.309999999999999</v>
      </c>
      <c r="H761" s="95">
        <f>YD!K90</f>
        <v>0</v>
      </c>
      <c r="I761" s="95">
        <f>I!K90</f>
        <v>0</v>
      </c>
      <c r="J761" s="95">
        <f>J!K90</f>
        <v>0</v>
      </c>
    </row>
    <row r="762" spans="1:10">
      <c r="A762" s="69" t="s">
        <v>169</v>
      </c>
      <c r="B762" s="113">
        <f>B!K91</f>
        <v>16.941800000000001</v>
      </c>
      <c r="C762" s="113">
        <f>'C'!K91</f>
        <v>17.34</v>
      </c>
      <c r="D762" s="113">
        <f>D!K91</f>
        <v>17.37</v>
      </c>
      <c r="E762" s="113">
        <f>E!K91</f>
        <v>0</v>
      </c>
      <c r="F762" s="113">
        <f>F!K91</f>
        <v>17.12</v>
      </c>
      <c r="G762" s="113">
        <f>G!K91</f>
        <v>17.236699999999999</v>
      </c>
      <c r="H762" s="95">
        <f>YD!K91</f>
        <v>0</v>
      </c>
      <c r="I762" s="95">
        <f>I!K91</f>
        <v>0</v>
      </c>
      <c r="J762" s="95">
        <f>J!K91</f>
        <v>0</v>
      </c>
    </row>
    <row r="763" spans="1:10">
      <c r="A763" s="69" t="s">
        <v>171</v>
      </c>
      <c r="B763" s="113">
        <f>B!K92</f>
        <v>16.861899999999999</v>
      </c>
      <c r="C763" s="113">
        <f>'C'!K92</f>
        <v>17.34</v>
      </c>
      <c r="D763" s="113">
        <f>D!K92</f>
        <v>17.37</v>
      </c>
      <c r="E763" s="113">
        <f>E!K92</f>
        <v>0</v>
      </c>
      <c r="F763" s="113">
        <f>F!K92</f>
        <v>17.102</v>
      </c>
      <c r="G763" s="113">
        <f>G!K92</f>
        <v>17.078499999999998</v>
      </c>
      <c r="H763" s="95">
        <f>YD!K92</f>
        <v>0</v>
      </c>
      <c r="I763" s="95">
        <f>I!K92</f>
        <v>0</v>
      </c>
      <c r="J763" s="95">
        <f>J!K92</f>
        <v>0</v>
      </c>
    </row>
    <row r="764" spans="1:10">
      <c r="A764" s="69" t="s">
        <v>173</v>
      </c>
      <c r="B764" s="113">
        <f>B!K93</f>
        <v>16.6966</v>
      </c>
      <c r="C764" s="113">
        <f>'C'!K93</f>
        <v>16.850000000000001</v>
      </c>
      <c r="D764" s="113">
        <f>D!K93</f>
        <v>16.940000000000001</v>
      </c>
      <c r="E764" s="113">
        <f>E!K93</f>
        <v>0</v>
      </c>
      <c r="F764" s="113">
        <f>F!K93</f>
        <v>16.786999999999999</v>
      </c>
      <c r="G764" s="113">
        <f>G!K93</f>
        <v>17.0075</v>
      </c>
      <c r="H764" s="95">
        <f>YD!K93</f>
        <v>0</v>
      </c>
      <c r="I764" s="95">
        <f>I!K93</f>
        <v>0</v>
      </c>
      <c r="J764" s="95">
        <f>J!K93</f>
        <v>0</v>
      </c>
    </row>
    <row r="765" spans="1:10">
      <c r="A765" s="69" t="s">
        <v>174</v>
      </c>
      <c r="B765" s="113">
        <f>B!K94</f>
        <v>16.573399999999999</v>
      </c>
      <c r="C765" s="113">
        <f>'C'!K94</f>
        <v>17.3</v>
      </c>
      <c r="D765" s="113">
        <f>D!K94</f>
        <v>17.3</v>
      </c>
      <c r="E765" s="113">
        <f>E!K94</f>
        <v>0</v>
      </c>
      <c r="F765" s="113">
        <f>F!K94</f>
        <v>17.032</v>
      </c>
      <c r="G765" s="113">
        <f>G!K94</f>
        <v>17.5412</v>
      </c>
      <c r="H765" s="95">
        <f>YD!K94</f>
        <v>0</v>
      </c>
      <c r="I765" s="95">
        <f>I!K94</f>
        <v>0</v>
      </c>
      <c r="J765" s="95">
        <f>J!K94</f>
        <v>0</v>
      </c>
    </row>
    <row r="766" spans="1:10">
      <c r="A766" s="69" t="s">
        <v>176</v>
      </c>
      <c r="B766" s="113">
        <f>B!K95</f>
        <v>17.319199999999999</v>
      </c>
      <c r="C766" s="113">
        <f>'C'!K95</f>
        <v>18.39</v>
      </c>
      <c r="D766" s="113">
        <f>D!K95</f>
        <v>18.23</v>
      </c>
      <c r="E766" s="113">
        <f>E!K95</f>
        <v>0</v>
      </c>
      <c r="F766" s="113">
        <f>F!K95</f>
        <v>17.911000000000001</v>
      </c>
      <c r="G766" s="113">
        <f>G!K95</f>
        <v>17.992599999999999</v>
      </c>
      <c r="H766" s="95">
        <f>YD!K95</f>
        <v>0</v>
      </c>
      <c r="I766" s="95">
        <f>I!K95</f>
        <v>0</v>
      </c>
      <c r="J766" s="95">
        <f>J!K95</f>
        <v>0</v>
      </c>
    </row>
    <row r="767" spans="1:10">
      <c r="A767" s="69" t="s">
        <v>178</v>
      </c>
      <c r="B767" s="113">
        <f>B!K96</f>
        <v>17.794499999999999</v>
      </c>
      <c r="C767" s="113">
        <f>'C'!K96</f>
        <v>17.78</v>
      </c>
      <c r="D767" s="113">
        <f>D!K96</f>
        <v>17.78</v>
      </c>
      <c r="E767" s="113">
        <f>E!K96</f>
        <v>0</v>
      </c>
      <c r="F767" s="113">
        <f>F!K96</f>
        <v>17.646000000000001</v>
      </c>
      <c r="G767" s="113">
        <f>G!K96</f>
        <v>17.959099999999999</v>
      </c>
      <c r="H767" s="95">
        <f>YD!K96</f>
        <v>0</v>
      </c>
      <c r="I767" s="95">
        <f>I!K96</f>
        <v>0</v>
      </c>
      <c r="J767" s="95">
        <f>J!K96</f>
        <v>0</v>
      </c>
    </row>
    <row r="768" spans="1:10">
      <c r="A768" s="69" t="s">
        <v>180</v>
      </c>
      <c r="B768" s="113">
        <f>B!K97</f>
        <v>17.972999999999999</v>
      </c>
      <c r="C768" s="113">
        <f>'C'!K97</f>
        <v>18.36</v>
      </c>
      <c r="D768" s="113">
        <f>D!K97</f>
        <v>18.28</v>
      </c>
      <c r="E768" s="113">
        <f>E!K97</f>
        <v>0</v>
      </c>
      <c r="F768" s="113">
        <f>F!K97</f>
        <v>18.117999999999999</v>
      </c>
      <c r="G768" s="113">
        <f>G!K97</f>
        <v>18.325099999999999</v>
      </c>
      <c r="H768" s="95">
        <f>YD!K97</f>
        <v>0</v>
      </c>
      <c r="I768" s="95">
        <f>I!K97</f>
        <v>0</v>
      </c>
      <c r="J768" s="95">
        <f>J!K97</f>
        <v>0</v>
      </c>
    </row>
    <row r="769" spans="1:10">
      <c r="A769" s="69" t="s">
        <v>183</v>
      </c>
      <c r="B769" s="113">
        <f>B!K98</f>
        <v>18.397200000000002</v>
      </c>
      <c r="C769" s="113">
        <f>'C'!K98</f>
        <v>18.68</v>
      </c>
      <c r="D769" s="113">
        <f>D!K98</f>
        <v>18.600000000000001</v>
      </c>
      <c r="E769" s="113">
        <f>E!K98</f>
        <v>0</v>
      </c>
      <c r="F769" s="113">
        <f>F!K98</f>
        <v>18.442</v>
      </c>
      <c r="G769" s="113">
        <f>G!K98</f>
        <v>18.854299999999999</v>
      </c>
      <c r="H769" s="95">
        <f>YD!K98</f>
        <v>0</v>
      </c>
      <c r="I769" s="95">
        <f>I!K98</f>
        <v>0</v>
      </c>
      <c r="J769" s="95">
        <f>J!K98</f>
        <v>0</v>
      </c>
    </row>
    <row r="770" spans="1:10">
      <c r="A770" s="69" t="s">
        <v>186</v>
      </c>
      <c r="B770" s="113">
        <f>B!K99</f>
        <v>18.8246</v>
      </c>
      <c r="C770" s="113">
        <f>'C'!K99</f>
        <v>19.48</v>
      </c>
      <c r="D770" s="113">
        <f>D!K99</f>
        <v>19.329999999999998</v>
      </c>
      <c r="E770" s="113">
        <f>E!K99</f>
        <v>0</v>
      </c>
      <c r="F770" s="113">
        <f>F!K99</f>
        <v>19.141999999999999</v>
      </c>
      <c r="G770" s="113">
        <f>G!K99</f>
        <v>19.1876</v>
      </c>
      <c r="H770" s="95">
        <f>YD!K99</f>
        <v>0</v>
      </c>
      <c r="I770" s="95">
        <f>I!K99</f>
        <v>0</v>
      </c>
      <c r="J770" s="95">
        <f>J!K99</f>
        <v>0</v>
      </c>
    </row>
    <row r="771" spans="1:10">
      <c r="A771" s="69" t="s">
        <v>187</v>
      </c>
      <c r="B771" s="113">
        <f>B!K100</f>
        <v>19.120200000000001</v>
      </c>
      <c r="C771" s="113">
        <f>'C'!K100</f>
        <v>19.23</v>
      </c>
      <c r="D771" s="113">
        <f>D!K100</f>
        <v>19.23</v>
      </c>
      <c r="E771" s="113">
        <f>E!K100</f>
        <v>0</v>
      </c>
      <c r="F771" s="113">
        <f>F!K100</f>
        <v>18.934999999999999</v>
      </c>
      <c r="G771" s="113">
        <f>G!K100</f>
        <v>18.867100000000001</v>
      </c>
      <c r="H771" s="95">
        <f>YD!K100</f>
        <v>0</v>
      </c>
      <c r="I771" s="95">
        <f>I!K100</f>
        <v>0</v>
      </c>
      <c r="J771" s="95">
        <f>J!K100</f>
        <v>0</v>
      </c>
    </row>
    <row r="772" spans="1:10">
      <c r="A772" s="69" t="s">
        <v>191</v>
      </c>
      <c r="B772" s="113">
        <f>B!K101</f>
        <v>18.837700000000002</v>
      </c>
      <c r="C772" s="113">
        <f>'C'!K101</f>
        <v>18.559999999999999</v>
      </c>
      <c r="D772" s="113">
        <f>D!K101</f>
        <v>18.64</v>
      </c>
      <c r="E772" s="113">
        <f>E!K101</f>
        <v>0</v>
      </c>
      <c r="F772" s="113">
        <f>F!K101</f>
        <v>18.326000000000001</v>
      </c>
      <c r="G772" s="113">
        <f>G!K101</f>
        <v>18.518000000000001</v>
      </c>
      <c r="H772" s="95">
        <f>YD!K101</f>
        <v>0</v>
      </c>
      <c r="I772" s="95">
        <f>I!K101</f>
        <v>0</v>
      </c>
      <c r="J772" s="95">
        <f>J!K101</f>
        <v>0</v>
      </c>
    </row>
    <row r="773" spans="1:10">
      <c r="A773" s="69" t="s">
        <v>194</v>
      </c>
      <c r="B773" s="113">
        <f>B!K102</f>
        <v>18.5548</v>
      </c>
      <c r="C773" s="113">
        <f>'C'!K102</f>
        <v>18.600000000000001</v>
      </c>
      <c r="D773" s="113">
        <f>D!K102</f>
        <v>18.600000000000001</v>
      </c>
      <c r="E773" s="113">
        <f>E!K102</f>
        <v>0</v>
      </c>
      <c r="F773" s="113">
        <f>F!K102</f>
        <v>18.268999999999998</v>
      </c>
      <c r="G773" s="113">
        <f>G!K102</f>
        <v>18.4421</v>
      </c>
      <c r="H773" s="95">
        <f>YD!K102</f>
        <v>0</v>
      </c>
      <c r="I773" s="95">
        <f>I!K102</f>
        <v>0</v>
      </c>
      <c r="J773" s="95">
        <f>J!K102</f>
        <v>0</v>
      </c>
    </row>
    <row r="774" spans="1:10">
      <c r="A774" s="69" t="s">
        <v>79</v>
      </c>
      <c r="B774" s="113">
        <f>B!K103</f>
        <v>18.5486</v>
      </c>
      <c r="C774" s="113">
        <f>'C'!K103</f>
        <v>18.46</v>
      </c>
      <c r="D774" s="113">
        <f>D!K103</f>
        <v>18.46</v>
      </c>
      <c r="E774" s="113">
        <f>E!K103</f>
        <v>0</v>
      </c>
      <c r="F774" s="113">
        <f>F!K103</f>
        <v>18.239000000000001</v>
      </c>
      <c r="G774" s="113">
        <f>G!K103</f>
        <v>18.647099999999998</v>
      </c>
      <c r="H774" s="95">
        <f>YD!K103</f>
        <v>0</v>
      </c>
      <c r="I774" s="95">
        <f>I!K103</f>
        <v>0</v>
      </c>
      <c r="J774" s="95">
        <f>J!K103</f>
        <v>0</v>
      </c>
    </row>
    <row r="775" spans="1:10">
      <c r="A775" s="69" t="s">
        <v>198</v>
      </c>
      <c r="B775" s="113">
        <f>B!K104</f>
        <v>18.672999999999998</v>
      </c>
      <c r="C775" s="113">
        <f>'C'!K104</f>
        <v>18.84</v>
      </c>
      <c r="D775" s="113">
        <f>D!K104</f>
        <v>18.760000000000002</v>
      </c>
      <c r="E775" s="113">
        <f>E!K104</f>
        <v>0</v>
      </c>
      <c r="F775" s="113">
        <f>F!K104</f>
        <v>18.556999999999999</v>
      </c>
      <c r="G775" s="113">
        <f>G!K104</f>
        <v>18.796500000000002</v>
      </c>
      <c r="H775" s="95">
        <f>YD!K104</f>
        <v>0</v>
      </c>
      <c r="I775" s="95">
        <f>I!K104</f>
        <v>0</v>
      </c>
      <c r="J775" s="95">
        <f>J!K104</f>
        <v>0</v>
      </c>
    </row>
    <row r="776" spans="1:10">
      <c r="A776" s="69" t="s">
        <v>201</v>
      </c>
      <c r="B776" s="113">
        <f>B!K105</f>
        <v>19.403199999999998</v>
      </c>
      <c r="C776" s="113">
        <f>'C'!K105</f>
        <v>19.350000000000001</v>
      </c>
      <c r="D776" s="113">
        <f>D!K105</f>
        <v>19.350000000000001</v>
      </c>
      <c r="E776" s="113">
        <f>E!K105</f>
        <v>0</v>
      </c>
      <c r="F776" s="113">
        <f>F!K105</f>
        <v>19.062999999999999</v>
      </c>
      <c r="G776" s="113">
        <f>G!K105</f>
        <v>19.110399999999998</v>
      </c>
      <c r="H776" s="95">
        <f>YD!K105</f>
        <v>0</v>
      </c>
      <c r="I776" s="95">
        <f>I!K105</f>
        <v>0</v>
      </c>
      <c r="J776" s="95">
        <f>J!K105</f>
        <v>0</v>
      </c>
    </row>
    <row r="777" spans="1:10">
      <c r="A777" s="69" t="s">
        <v>204</v>
      </c>
      <c r="B777" s="113">
        <f>B!K106</f>
        <v>19.772400000000001</v>
      </c>
      <c r="C777" s="113">
        <f>'C'!K106</f>
        <v>19.75</v>
      </c>
      <c r="D777" s="113">
        <f>D!K106</f>
        <v>19.68</v>
      </c>
      <c r="E777" s="113">
        <f>E!K106</f>
        <v>0</v>
      </c>
      <c r="F777" s="113">
        <f>F!K106</f>
        <v>19.457999999999998</v>
      </c>
      <c r="G777" s="113">
        <f>G!K106</f>
        <v>19.393599999999999</v>
      </c>
      <c r="H777" s="95">
        <f>YD!K106</f>
        <v>0</v>
      </c>
      <c r="I777" s="95">
        <f>I!K106</f>
        <v>0</v>
      </c>
      <c r="J777" s="95">
        <f>J!K106</f>
        <v>0</v>
      </c>
    </row>
    <row r="778" spans="1:10">
      <c r="A778" s="69" t="s">
        <v>206</v>
      </c>
      <c r="B778" s="113">
        <f>B!K107</f>
        <v>19.575299999999999</v>
      </c>
      <c r="C778" s="113">
        <f>'C'!K107</f>
        <v>19.32</v>
      </c>
      <c r="D778" s="113">
        <f>D!K107</f>
        <v>19.399999999999999</v>
      </c>
      <c r="E778" s="113">
        <f>E!K107</f>
        <v>0</v>
      </c>
      <c r="F778" s="113">
        <f>F!K107</f>
        <v>19.199000000000002</v>
      </c>
      <c r="G778" s="113">
        <f>G!K107</f>
        <v>19.532299999999999</v>
      </c>
      <c r="H778" s="95">
        <f>YD!K107</f>
        <v>0</v>
      </c>
      <c r="I778" s="95">
        <f>I!K107</f>
        <v>0</v>
      </c>
      <c r="J778" s="95">
        <f>J!K107</f>
        <v>0</v>
      </c>
    </row>
    <row r="779" spans="1:10">
      <c r="A779" s="69" t="s">
        <v>207</v>
      </c>
      <c r="B779" s="113">
        <f>B!K108</f>
        <v>19.3718</v>
      </c>
      <c r="C779" s="113">
        <f>'C'!K108</f>
        <v>19.760000000000002</v>
      </c>
      <c r="D779" s="113">
        <f>D!K108</f>
        <v>19.760000000000002</v>
      </c>
      <c r="E779" s="113">
        <f>E!K108</f>
        <v>0</v>
      </c>
      <c r="F779" s="113">
        <f>F!K108</f>
        <v>19.649999999999999</v>
      </c>
      <c r="G779" s="113">
        <f>G!K108</f>
        <v>19.743099999999998</v>
      </c>
      <c r="H779" s="95">
        <f>YD!K108</f>
        <v>0</v>
      </c>
      <c r="I779" s="95">
        <f>I!K108</f>
        <v>0</v>
      </c>
      <c r="J779" s="95">
        <f>J!K108</f>
        <v>0</v>
      </c>
    </row>
    <row r="780" spans="1:10">
      <c r="A780" s="69" t="s">
        <v>208</v>
      </c>
      <c r="B780" s="113">
        <f>B!K109</f>
        <v>19.437999999999999</v>
      </c>
      <c r="C780" s="113">
        <f>'C'!K109</f>
        <v>19.760000000000002</v>
      </c>
      <c r="D780" s="113">
        <f>D!K109</f>
        <v>19.760000000000002</v>
      </c>
      <c r="E780" s="113">
        <f>E!K109</f>
        <v>0</v>
      </c>
      <c r="F780" s="113">
        <f>F!K109</f>
        <v>19.706</v>
      </c>
      <c r="G780" s="113">
        <f>G!K109</f>
        <v>19.7437</v>
      </c>
      <c r="H780" s="95">
        <f>YD!K109</f>
        <v>0</v>
      </c>
      <c r="I780" s="95">
        <f>I!K109</f>
        <v>0</v>
      </c>
      <c r="J780" s="95">
        <f>J!K109</f>
        <v>0</v>
      </c>
    </row>
    <row r="781" spans="1:10">
      <c r="A781" s="69" t="s">
        <v>209</v>
      </c>
      <c r="B781" s="113">
        <f>B!K110</f>
        <v>19.4846</v>
      </c>
      <c r="C781" s="113">
        <f>'C'!K110</f>
        <v>19.8</v>
      </c>
      <c r="D781" s="113">
        <f>D!K110</f>
        <v>19.8</v>
      </c>
      <c r="E781" s="113">
        <f>E!K110</f>
        <v>0</v>
      </c>
      <c r="F781" s="113">
        <f>F!K110</f>
        <v>19.696999999999999</v>
      </c>
      <c r="G781" s="113">
        <f>G!K110</f>
        <v>19.788699999999999</v>
      </c>
      <c r="H781" s="95">
        <f>YD!K110</f>
        <v>0</v>
      </c>
      <c r="I781" s="95">
        <f>I!K110</f>
        <v>0</v>
      </c>
      <c r="J781" s="95">
        <f>J!K110</f>
        <v>0</v>
      </c>
    </row>
    <row r="782" spans="1:10">
      <c r="A782" s="69" t="s">
        <v>210</v>
      </c>
      <c r="B782" s="113">
        <f>B!K111</f>
        <v>19.4693</v>
      </c>
      <c r="C782" s="113">
        <f>'C'!K111</f>
        <v>19.84</v>
      </c>
      <c r="D782" s="113">
        <f>D!K111</f>
        <v>19.84</v>
      </c>
      <c r="E782" s="113">
        <f>E!K111</f>
        <v>0</v>
      </c>
      <c r="F782" s="113">
        <f>F!K111</f>
        <v>19.693999999999999</v>
      </c>
      <c r="G782" s="113">
        <f>G!K111</f>
        <v>19.8355</v>
      </c>
      <c r="H782" s="95">
        <f>YD!K111</f>
        <v>0</v>
      </c>
      <c r="I782" s="95">
        <f>I!K111</f>
        <v>0</v>
      </c>
      <c r="J782" s="95">
        <f>J!K111</f>
        <v>0</v>
      </c>
    </row>
    <row r="783" spans="1:10">
      <c r="A783" s="70" t="s">
        <v>211</v>
      </c>
      <c r="B783" s="113">
        <f>B!K112</f>
        <v>19.572500000000002</v>
      </c>
      <c r="C783" s="113">
        <f>'C'!K112</f>
        <v>20.14</v>
      </c>
      <c r="D783" s="113">
        <f>D!K112</f>
        <v>20.059999999999999</v>
      </c>
      <c r="E783" s="113">
        <f>E!K112</f>
        <v>0</v>
      </c>
      <c r="F783" s="113">
        <f>F!K112</f>
        <v>19.805</v>
      </c>
      <c r="G783" s="113">
        <f>G!K112</f>
        <v>19.767800000000001</v>
      </c>
      <c r="H783" s="95">
        <f>YD!K112</f>
        <v>0</v>
      </c>
      <c r="I783" s="95">
        <f>I!K112</f>
        <v>0</v>
      </c>
      <c r="J783" s="95">
        <f>J!K112</f>
        <v>0</v>
      </c>
    </row>
    <row r="787" spans="1:10">
      <c r="A787" t="s">
        <v>414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245</v>
      </c>
      <c r="C789" s="10" t="s">
        <v>257</v>
      </c>
      <c r="D789" s="10" t="s">
        <v>258</v>
      </c>
      <c r="E789" s="10" t="s">
        <v>515</v>
      </c>
      <c r="F789" s="10" t="s">
        <v>373</v>
      </c>
      <c r="G789" s="10" t="s">
        <v>482</v>
      </c>
      <c r="H789" s="10" t="s">
        <v>516</v>
      </c>
      <c r="I789" s="10" t="s">
        <v>517</v>
      </c>
      <c r="J789" s="10" t="s">
        <v>517</v>
      </c>
    </row>
    <row r="790" spans="1:10">
      <c r="A790" s="69" t="s">
        <v>159</v>
      </c>
      <c r="B790" s="348">
        <f>B!L89</f>
        <v>1.1255100000000001E-2</v>
      </c>
      <c r="C790" s="348">
        <f>'C'!L89</f>
        <v>1.14E-2</v>
      </c>
      <c r="D790" s="348">
        <f>D!L89</f>
        <v>1.14E-2</v>
      </c>
      <c r="E790" s="348">
        <f>E!L89</f>
        <v>1.1201933285177801E-2</v>
      </c>
      <c r="F790" s="348">
        <f>F!L89</f>
        <v>1.11E-2</v>
      </c>
      <c r="G790" s="348">
        <f>G!L89</f>
        <v>1.1071715500000001E-2</v>
      </c>
      <c r="H790" s="347">
        <f>YD!L89</f>
        <v>0</v>
      </c>
      <c r="I790" s="347">
        <f>I!L89</f>
        <v>0</v>
      </c>
      <c r="J790" s="347">
        <f>J!L89</f>
        <v>0</v>
      </c>
    </row>
    <row r="791" spans="1:10">
      <c r="A791" s="69" t="s">
        <v>166</v>
      </c>
      <c r="B791" s="348">
        <f>B!L90</f>
        <v>1.1255100000000001E-2</v>
      </c>
      <c r="C791" s="348">
        <f>'C'!L90</f>
        <v>1.12E-2</v>
      </c>
      <c r="D791" s="348">
        <f>D!L90</f>
        <v>1.12E-2</v>
      </c>
      <c r="E791" s="348">
        <f>E!L90</f>
        <v>1.12962217520776E-2</v>
      </c>
      <c r="F791" s="348">
        <f>F!L90</f>
        <v>1.1462E-2</v>
      </c>
      <c r="G791" s="348">
        <f>G!L90</f>
        <v>1.1431797E-2</v>
      </c>
      <c r="H791" s="347">
        <f>YD!L90</f>
        <v>0</v>
      </c>
      <c r="I791" s="347">
        <f>I!L90</f>
        <v>0</v>
      </c>
      <c r="J791" s="347">
        <f>J!L90</f>
        <v>0</v>
      </c>
    </row>
    <row r="792" spans="1:10">
      <c r="A792" s="69" t="s">
        <v>169</v>
      </c>
      <c r="B792" s="348">
        <f>B!L91</f>
        <v>1.1255100000000001E-2</v>
      </c>
      <c r="C792" s="348">
        <f>'C'!L91</f>
        <v>1.14E-2</v>
      </c>
      <c r="D792" s="348">
        <f>D!L91</f>
        <v>1.14E-2</v>
      </c>
      <c r="E792" s="348">
        <f>E!L91</f>
        <v>1.11991806940512E-2</v>
      </c>
      <c r="F792" s="348">
        <f>F!L91</f>
        <v>1.11E-2</v>
      </c>
      <c r="G792" s="348">
        <f>G!L91</f>
        <v>1.1071715500000001E-2</v>
      </c>
      <c r="H792" s="347">
        <f>YD!L91</f>
        <v>0</v>
      </c>
      <c r="I792" s="347">
        <f>I!L91</f>
        <v>0</v>
      </c>
      <c r="J792" s="347">
        <f>J!L91</f>
        <v>0</v>
      </c>
    </row>
    <row r="793" spans="1:10">
      <c r="A793" s="69" t="s">
        <v>171</v>
      </c>
      <c r="B793" s="348">
        <f>B!L92</f>
        <v>1.10746E-2</v>
      </c>
      <c r="C793" s="348">
        <f>'C'!L92</f>
        <v>1.14E-2</v>
      </c>
      <c r="D793" s="348">
        <f>D!L92</f>
        <v>1.14E-2</v>
      </c>
      <c r="E793" s="348">
        <f>E!L92</f>
        <v>1.1060818557718E-2</v>
      </c>
      <c r="F793" s="348">
        <f>F!L92</f>
        <v>1.11E-2</v>
      </c>
      <c r="G793" s="348">
        <f>G!L92</f>
        <v>1.1071715500000001E-2</v>
      </c>
      <c r="H793" s="347">
        <f>YD!L92</f>
        <v>0</v>
      </c>
      <c r="I793" s="347">
        <f>I!L92</f>
        <v>0</v>
      </c>
      <c r="J793" s="347">
        <f>J!L92</f>
        <v>0</v>
      </c>
    </row>
    <row r="794" spans="1:10">
      <c r="A794" s="69" t="s">
        <v>173</v>
      </c>
      <c r="B794" s="348">
        <f>B!L93</f>
        <v>1.06103E-2</v>
      </c>
      <c r="C794" s="348">
        <f>'C'!L93</f>
        <v>1.03E-2</v>
      </c>
      <c r="D794" s="348">
        <f>D!L93</f>
        <v>1.03E-2</v>
      </c>
      <c r="E794" s="348">
        <f>E!L93</f>
        <v>1.04842823483673E-2</v>
      </c>
      <c r="F794" s="348">
        <f>F!L93</f>
        <v>1.018E-2</v>
      </c>
      <c r="G794" s="348">
        <f>G!L93</f>
        <v>1.0155272999999999E-2</v>
      </c>
      <c r="H794" s="347">
        <f>YD!L93</f>
        <v>0</v>
      </c>
      <c r="I794" s="347">
        <f>I!L93</f>
        <v>0</v>
      </c>
      <c r="J794" s="347">
        <f>J!L93</f>
        <v>0</v>
      </c>
    </row>
    <row r="795" spans="1:10">
      <c r="A795" s="69" t="s">
        <v>174</v>
      </c>
      <c r="B795" s="348">
        <f>B!L94</f>
        <v>1.05682E-2</v>
      </c>
      <c r="C795" s="348">
        <f>'C'!L94</f>
        <v>1.1299999999999999E-2</v>
      </c>
      <c r="D795" s="348">
        <f>D!L94</f>
        <v>1.1299999999999999E-2</v>
      </c>
      <c r="E795" s="348">
        <f>E!L94</f>
        <v>1.06478586232074E-2</v>
      </c>
      <c r="F795" s="348">
        <f>F!L94</f>
        <v>1.1001E-2</v>
      </c>
      <c r="G795" s="348">
        <f>G!L94</f>
        <v>1.0970428000000001E-2</v>
      </c>
      <c r="H795" s="347">
        <f>YD!L94</f>
        <v>0</v>
      </c>
      <c r="I795" s="347">
        <f>I!L94</f>
        <v>0</v>
      </c>
      <c r="J795" s="347">
        <f>J!L94</f>
        <v>0</v>
      </c>
    </row>
    <row r="796" spans="1:10">
      <c r="A796" s="69" t="s">
        <v>176</v>
      </c>
      <c r="B796" s="348">
        <f>B!L95</f>
        <v>1.20713E-2</v>
      </c>
      <c r="C796" s="348">
        <f>'C'!L95</f>
        <v>1.3299999999999999E-2</v>
      </c>
      <c r="D796" s="348">
        <f>D!L95</f>
        <v>1.3299999999999999E-2</v>
      </c>
      <c r="E796" s="348">
        <f>E!L95</f>
        <v>1.2287852269615001E-2</v>
      </c>
      <c r="F796" s="348">
        <f>F!L95</f>
        <v>1.3140000000000001E-2</v>
      </c>
      <c r="G796" s="348">
        <f>G!L95</f>
        <v>1.3098754000000001E-2</v>
      </c>
      <c r="H796" s="347">
        <f>YD!L95</f>
        <v>0</v>
      </c>
      <c r="I796" s="347">
        <f>I!L95</f>
        <v>0</v>
      </c>
      <c r="J796" s="347">
        <f>J!L95</f>
        <v>0</v>
      </c>
    </row>
    <row r="797" spans="1:10">
      <c r="A797" s="69" t="s">
        <v>178</v>
      </c>
      <c r="B797" s="348">
        <f>B!L96</f>
        <v>1.2173099999999999E-2</v>
      </c>
      <c r="C797" s="348">
        <f>'C'!L96</f>
        <v>1.09E-2</v>
      </c>
      <c r="D797" s="348">
        <f>D!L96</f>
        <v>1.09E-2</v>
      </c>
      <c r="E797" s="348">
        <f>E!L96</f>
        <v>1.18487772332079E-2</v>
      </c>
      <c r="F797" s="348">
        <f>F!L96</f>
        <v>1.1075E-2</v>
      </c>
      <c r="G797" s="348">
        <f>G!L96</f>
        <v>1.1039306E-2</v>
      </c>
      <c r="H797" s="347">
        <f>YD!L96</f>
        <v>0</v>
      </c>
      <c r="I797" s="347">
        <f>I!L96</f>
        <v>0</v>
      </c>
      <c r="J797" s="347">
        <f>J!L96</f>
        <v>0</v>
      </c>
    </row>
    <row r="798" spans="1:10">
      <c r="A798" s="69" t="s">
        <v>180</v>
      </c>
      <c r="B798" s="348">
        <f>B!L97</f>
        <v>1.1538E-2</v>
      </c>
      <c r="C798" s="348">
        <f>'C'!L97</f>
        <v>1.17E-2</v>
      </c>
      <c r="D798" s="348">
        <f>D!L97</f>
        <v>1.17E-2</v>
      </c>
      <c r="E798" s="348">
        <f>E!L97</f>
        <v>1.1579938656585499E-2</v>
      </c>
      <c r="F798" s="348">
        <f>F!L97</f>
        <v>1.1995E-2</v>
      </c>
      <c r="G798" s="348">
        <f>G!L97</f>
        <v>1.1956723000000001E-2</v>
      </c>
      <c r="H798" s="347">
        <f>YD!L97</f>
        <v>0</v>
      </c>
      <c r="I798" s="347">
        <f>I!L97</f>
        <v>0</v>
      </c>
      <c r="J798" s="347">
        <f>J!L97</f>
        <v>0</v>
      </c>
    </row>
    <row r="799" spans="1:10">
      <c r="A799" s="69" t="s">
        <v>183</v>
      </c>
      <c r="B799" s="348">
        <f>B!L98</f>
        <v>1.2388E-2</v>
      </c>
      <c r="C799" s="348">
        <f>'C'!L98</f>
        <v>1.2500000000000001E-2</v>
      </c>
      <c r="D799" s="348">
        <f>D!L98</f>
        <v>1.2500000000000001E-2</v>
      </c>
      <c r="E799" s="348">
        <f>E!L98</f>
        <v>1.2406033064600201E-2</v>
      </c>
      <c r="F799" s="348">
        <f>F!L98</f>
        <v>1.2760000000000001E-2</v>
      </c>
      <c r="G799" s="348">
        <f>G!L98</f>
        <v>1.2719301000000001E-2</v>
      </c>
      <c r="H799" s="347">
        <f>YD!L98</f>
        <v>0</v>
      </c>
      <c r="I799" s="347">
        <f>I!L98</f>
        <v>0</v>
      </c>
      <c r="J799" s="347">
        <f>J!L98</f>
        <v>0</v>
      </c>
    </row>
    <row r="800" spans="1:10">
      <c r="A800" s="69" t="s">
        <v>186</v>
      </c>
      <c r="B800" s="348">
        <f>B!L99</f>
        <v>1.3776E-2</v>
      </c>
      <c r="C800" s="348">
        <f>'C'!L99</f>
        <v>1.4800000000000001E-2</v>
      </c>
      <c r="D800" s="348">
        <f>D!L99</f>
        <v>1.4800000000000001E-2</v>
      </c>
      <c r="E800" s="348">
        <f>E!L99</f>
        <v>1.39488986120056E-2</v>
      </c>
      <c r="F800" s="348">
        <f>F!L99</f>
        <v>1.4808999999999999E-2</v>
      </c>
      <c r="G800" s="348">
        <f>G!L99</f>
        <v>1.4761318000000001E-2</v>
      </c>
      <c r="H800" s="347">
        <f>YD!L99</f>
        <v>0</v>
      </c>
      <c r="I800" s="347">
        <f>I!L99</f>
        <v>0</v>
      </c>
      <c r="J800" s="347">
        <f>J!L99</f>
        <v>0</v>
      </c>
    </row>
    <row r="801" spans="1:10">
      <c r="A801" s="69" t="s">
        <v>187</v>
      </c>
      <c r="B801" s="348">
        <f>B!L100</f>
        <v>1.4040800000000001E-2</v>
      </c>
      <c r="C801" s="348">
        <f>'C'!L100</f>
        <v>1.34E-2</v>
      </c>
      <c r="D801" s="348">
        <f>D!L100</f>
        <v>1.34E-2</v>
      </c>
      <c r="E801" s="348">
        <f>E!L100</f>
        <v>1.3760970538394901E-2</v>
      </c>
      <c r="F801" s="348">
        <f>F!L100</f>
        <v>1.3252999999999999E-2</v>
      </c>
      <c r="G801" s="348">
        <f>G!L100</f>
        <v>1.3210559E-2</v>
      </c>
      <c r="H801" s="347">
        <f>YD!L100</f>
        <v>0</v>
      </c>
      <c r="I801" s="347">
        <f>I!L100</f>
        <v>0</v>
      </c>
      <c r="J801" s="347">
        <f>J!L100</f>
        <v>0</v>
      </c>
    </row>
    <row r="802" spans="1:10">
      <c r="A802" s="69" t="s">
        <v>191</v>
      </c>
      <c r="B802" s="348">
        <f>B!L101</f>
        <v>1.23149E-2</v>
      </c>
      <c r="C802" s="348">
        <f>'C'!L101</f>
        <v>1.15E-2</v>
      </c>
      <c r="D802" s="348">
        <f>D!L101</f>
        <v>1.15E-2</v>
      </c>
      <c r="E802" s="348">
        <f>E!L101</f>
        <v>1.19992129124616E-2</v>
      </c>
      <c r="F802" s="348">
        <f>F!L101</f>
        <v>1.1329000000000001E-2</v>
      </c>
      <c r="G802" s="348">
        <f>G!L101</f>
        <v>1.1293012E-2</v>
      </c>
      <c r="H802" s="347">
        <f>YD!L101</f>
        <v>0</v>
      </c>
      <c r="I802" s="347">
        <f>I!L101</f>
        <v>0</v>
      </c>
      <c r="J802" s="347">
        <f>J!L101</f>
        <v>0</v>
      </c>
    </row>
    <row r="803" spans="1:10">
      <c r="A803" s="69" t="s">
        <v>194</v>
      </c>
      <c r="B803" s="348">
        <f>B!L102</f>
        <v>1.15429E-2</v>
      </c>
      <c r="C803" s="348">
        <f>'C'!L102</f>
        <v>1.21E-2</v>
      </c>
      <c r="D803" s="348">
        <f>D!L102</f>
        <v>1.21E-2</v>
      </c>
      <c r="E803" s="348">
        <f>E!L102</f>
        <v>1.1528114554116901E-2</v>
      </c>
      <c r="F803" s="348">
        <f>F!L102</f>
        <v>1.1729E-2</v>
      </c>
      <c r="G803" s="348">
        <f>G!L102</f>
        <v>1.1691814E-2</v>
      </c>
      <c r="H803" s="347">
        <f>YD!L102</f>
        <v>0</v>
      </c>
      <c r="I803" s="347">
        <f>I!L102</f>
        <v>0</v>
      </c>
      <c r="J803" s="347">
        <f>J!L102</f>
        <v>0</v>
      </c>
    </row>
    <row r="804" spans="1:10">
      <c r="A804" s="69" t="s">
        <v>79</v>
      </c>
      <c r="B804" s="348">
        <f>B!L103</f>
        <v>1.2068600000000001E-2</v>
      </c>
      <c r="C804" s="348">
        <f>'C'!L103</f>
        <v>1.1900000000000001E-2</v>
      </c>
      <c r="D804" s="348">
        <f>D!L103</f>
        <v>1.1900000000000001E-2</v>
      </c>
      <c r="E804" s="348">
        <f>E!L103</f>
        <v>1.2085903992729701E-2</v>
      </c>
      <c r="F804" s="348">
        <f>F!L103</f>
        <v>1.2378999999999999E-2</v>
      </c>
      <c r="G804" s="348">
        <f>G!L103</f>
        <v>1.2340472999999999E-2</v>
      </c>
      <c r="H804" s="347">
        <f>YD!L103</f>
        <v>0</v>
      </c>
      <c r="I804" s="347">
        <f>I!L103</f>
        <v>0</v>
      </c>
      <c r="J804" s="347">
        <f>J!L103</f>
        <v>0</v>
      </c>
    </row>
    <row r="805" spans="1:10">
      <c r="A805" s="69" t="s">
        <v>198</v>
      </c>
      <c r="B805" s="348">
        <f>B!L104</f>
        <v>1.3324000000000001E-2</v>
      </c>
      <c r="C805" s="348">
        <f>'C'!L104</f>
        <v>1.44E-2</v>
      </c>
      <c r="D805" s="348">
        <f>D!L104</f>
        <v>1.44E-2</v>
      </c>
      <c r="E805" s="348">
        <f>E!L104</f>
        <v>1.34924504298861E-2</v>
      </c>
      <c r="F805" s="348">
        <f>F!L104</f>
        <v>1.4232E-2</v>
      </c>
      <c r="G805" s="348">
        <f>G!L104</f>
        <v>1.4187589E-2</v>
      </c>
      <c r="H805" s="347">
        <f>YD!L104</f>
        <v>0</v>
      </c>
      <c r="I805" s="347">
        <f>I!L104</f>
        <v>0</v>
      </c>
      <c r="J805" s="347">
        <f>J!L104</f>
        <v>0</v>
      </c>
    </row>
    <row r="806" spans="1:10">
      <c r="A806" s="69" t="s">
        <v>201</v>
      </c>
      <c r="B806" s="348">
        <f>B!L105</f>
        <v>1.45051E-2</v>
      </c>
      <c r="C806" s="348">
        <f>'C'!L105</f>
        <v>1.46E-2</v>
      </c>
      <c r="D806" s="348">
        <f>D!L105</f>
        <v>1.46E-2</v>
      </c>
      <c r="E806" s="348">
        <f>E!L105</f>
        <v>1.45043822298757E-2</v>
      </c>
      <c r="F806" s="348">
        <f>F!L105</f>
        <v>1.473E-2</v>
      </c>
      <c r="G806" s="348">
        <f>G!L105</f>
        <v>1.4683774E-2</v>
      </c>
      <c r="H806" s="347">
        <f>YD!L105</f>
        <v>0</v>
      </c>
      <c r="I806" s="347">
        <f>I!L105</f>
        <v>0</v>
      </c>
      <c r="J806" s="347">
        <f>J!L105</f>
        <v>0</v>
      </c>
    </row>
    <row r="807" spans="1:10">
      <c r="A807" s="69" t="s">
        <v>204</v>
      </c>
      <c r="B807" s="348">
        <f>B!L106</f>
        <v>1.5234299999999999E-2</v>
      </c>
      <c r="C807" s="348">
        <f>'C'!L106</f>
        <v>1.5699999999999999E-2</v>
      </c>
      <c r="D807" s="348">
        <f>D!L106</f>
        <v>1.5699999999999999E-2</v>
      </c>
      <c r="E807" s="348">
        <f>E!L106</f>
        <v>1.52878756161443E-2</v>
      </c>
      <c r="F807" s="348">
        <f>F!L106</f>
        <v>1.5684E-2</v>
      </c>
      <c r="G807" s="348">
        <f>G!L106</f>
        <v>1.563434E-2</v>
      </c>
      <c r="H807" s="347">
        <f>YD!L106</f>
        <v>0</v>
      </c>
      <c r="I807" s="347">
        <f>I!L106</f>
        <v>0</v>
      </c>
      <c r="J807" s="347">
        <f>J!L106</f>
        <v>0</v>
      </c>
    </row>
    <row r="808" spans="1:10">
      <c r="A808" s="69" t="s">
        <v>206</v>
      </c>
      <c r="B808" s="348">
        <f>B!L107</f>
        <v>1.51339E-2</v>
      </c>
      <c r="C808" s="348">
        <f>'C'!L107</f>
        <v>1.43E-2</v>
      </c>
      <c r="D808" s="348">
        <f>D!L107</f>
        <v>1.43E-2</v>
      </c>
      <c r="E808" s="348">
        <f>E!L107</f>
        <v>1.49299954948694E-2</v>
      </c>
      <c r="F808" s="348">
        <f>F!L107</f>
        <v>1.4539E-2</v>
      </c>
      <c r="G808" s="348">
        <f>G!L107</f>
        <v>1.4492502000000001E-2</v>
      </c>
      <c r="H808" s="347">
        <f>YD!L107</f>
        <v>0</v>
      </c>
      <c r="I808" s="347">
        <f>I!L107</f>
        <v>0</v>
      </c>
      <c r="J808" s="347">
        <f>J!L107</f>
        <v>0</v>
      </c>
    </row>
    <row r="809" spans="1:10">
      <c r="A809" s="69" t="s">
        <v>207</v>
      </c>
      <c r="B809" s="348">
        <f>B!L108</f>
        <v>1.5748100000000001E-2</v>
      </c>
      <c r="C809" s="348">
        <f>'C'!L108</f>
        <v>1.6400000000000001E-2</v>
      </c>
      <c r="D809" s="348">
        <f>D!L108</f>
        <v>1.6400000000000001E-2</v>
      </c>
      <c r="E809" s="348">
        <f>E!L108</f>
        <v>1.59700581987407E-2</v>
      </c>
      <c r="F809" s="348">
        <f>F!L108</f>
        <v>1.6878000000000001E-2</v>
      </c>
      <c r="G809" s="348">
        <f>G!L108</f>
        <v>1.6823952999999999E-2</v>
      </c>
      <c r="H809" s="347">
        <f>YD!L108</f>
        <v>0</v>
      </c>
      <c r="I809" s="347">
        <f>I!L108</f>
        <v>0</v>
      </c>
      <c r="J809" s="347">
        <f>J!L108</f>
        <v>0</v>
      </c>
    </row>
    <row r="810" spans="1:10">
      <c r="A810" s="69" t="s">
        <v>208</v>
      </c>
      <c r="B810" s="348">
        <f>B!L109</f>
        <v>1.68863E-2</v>
      </c>
      <c r="C810" s="348">
        <f>'C'!L109</f>
        <v>1.6400000000000001E-2</v>
      </c>
      <c r="D810" s="348">
        <f>D!L109</f>
        <v>1.6400000000000001E-2</v>
      </c>
      <c r="E810" s="348">
        <f>E!L109</f>
        <v>1.68097357982845E-2</v>
      </c>
      <c r="F810" s="348">
        <f>F!L109</f>
        <v>1.6878000000000001E-2</v>
      </c>
      <c r="G810" s="348">
        <f>G!L109</f>
        <v>1.6823952999999999E-2</v>
      </c>
      <c r="H810" s="347">
        <f>YD!L109</f>
        <v>0</v>
      </c>
      <c r="I810" s="347">
        <f>I!L109</f>
        <v>0</v>
      </c>
      <c r="J810" s="347">
        <f>J!L109</f>
        <v>0</v>
      </c>
    </row>
    <row r="811" spans="1:10">
      <c r="A811" s="69" t="s">
        <v>209</v>
      </c>
      <c r="B811" s="348">
        <f>B!L110</f>
        <v>1.6863E-2</v>
      </c>
      <c r="C811" s="348">
        <f>'C'!L110</f>
        <v>1.67E-2</v>
      </c>
      <c r="D811" s="348">
        <f>D!L110</f>
        <v>1.67E-2</v>
      </c>
      <c r="E811" s="348">
        <f>E!L110</f>
        <v>1.6771127794541499E-2</v>
      </c>
      <c r="F811" s="348">
        <f>F!L110</f>
        <v>1.6832E-2</v>
      </c>
      <c r="G811" s="348">
        <f>G!L110</f>
        <v>1.6777486000000001E-2</v>
      </c>
      <c r="H811" s="347">
        <f>YD!L110</f>
        <v>0</v>
      </c>
      <c r="I811" s="347">
        <f>I!L110</f>
        <v>0</v>
      </c>
      <c r="J811" s="347">
        <f>J!L110</f>
        <v>0</v>
      </c>
    </row>
    <row r="812" spans="1:10">
      <c r="A812" s="69" t="s">
        <v>210</v>
      </c>
      <c r="B812" s="348">
        <f>B!L111</f>
        <v>1.6867299999999998E-2</v>
      </c>
      <c r="C812" s="348">
        <f>'C'!L111</f>
        <v>1.6899999999999998E-2</v>
      </c>
      <c r="D812" s="348">
        <f>D!L111</f>
        <v>1.6899999999999998E-2</v>
      </c>
      <c r="E812" s="348">
        <f>E!L111</f>
        <v>1.6784233128060998E-2</v>
      </c>
      <c r="F812" s="348">
        <f>F!L111</f>
        <v>1.6889000000000001E-2</v>
      </c>
      <c r="G812" s="348">
        <f>G!L111</f>
        <v>1.6835019999999999E-2</v>
      </c>
      <c r="H812" s="347">
        <f>YD!L111</f>
        <v>0</v>
      </c>
      <c r="I812" s="347">
        <f>I!L111</f>
        <v>0</v>
      </c>
      <c r="J812" s="347">
        <f>J!L111</f>
        <v>0</v>
      </c>
    </row>
    <row r="813" spans="1:10">
      <c r="A813" s="70" t="s">
        <v>211</v>
      </c>
      <c r="B813" s="348">
        <f>B!L112</f>
        <v>1.7112100000000002E-2</v>
      </c>
      <c r="C813" s="348">
        <f>'C'!L112</f>
        <v>1.78E-2</v>
      </c>
      <c r="D813" s="348">
        <f>D!L112</f>
        <v>1.78E-2</v>
      </c>
      <c r="E813" s="348">
        <f>E!L112</f>
        <v>1.7076690060884501E-2</v>
      </c>
      <c r="F813" s="348">
        <f>F!L112</f>
        <v>1.7329000000000001E-2</v>
      </c>
      <c r="G813" s="348">
        <f>G!L112</f>
        <v>1.727306E-2</v>
      </c>
      <c r="H813" s="347">
        <f>YD!L112</f>
        <v>0</v>
      </c>
      <c r="I813" s="347">
        <f>I!L112</f>
        <v>0</v>
      </c>
      <c r="J813" s="347">
        <f>J!L112</f>
        <v>0</v>
      </c>
    </row>
    <row r="826" spans="1:10" ht="15.75">
      <c r="A826" s="58" t="s">
        <v>237</v>
      </c>
    </row>
    <row r="827" spans="1:10">
      <c r="A827" s="2" t="s">
        <v>419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245</v>
      </c>
      <c r="C829" s="10" t="s">
        <v>257</v>
      </c>
      <c r="D829" s="10" t="s">
        <v>258</v>
      </c>
      <c r="E829" s="10" t="s">
        <v>515</v>
      </c>
      <c r="F829" s="10" t="s">
        <v>373</v>
      </c>
      <c r="G829" s="10" t="s">
        <v>482</v>
      </c>
      <c r="H829" s="10" t="s">
        <v>516</v>
      </c>
      <c r="I829" s="10" t="s">
        <v>517</v>
      </c>
      <c r="J829" s="10" t="s">
        <v>517</v>
      </c>
    </row>
    <row r="830" spans="1:10">
      <c r="A830" t="s">
        <v>233</v>
      </c>
      <c r="B830" s="116">
        <f>B!B120</f>
        <v>3892.9388508669631</v>
      </c>
      <c r="C830" s="116">
        <f>'C'!B120</f>
        <v>3975.4583333333335</v>
      </c>
      <c r="D830" s="116">
        <f>D!B120</f>
        <v>3975.1666666666665</v>
      </c>
      <c r="E830" s="116">
        <f>E!B120</f>
        <v>4019.3858425714552</v>
      </c>
      <c r="F830" s="116">
        <f>F!B120</f>
        <v>3901.0416666666665</v>
      </c>
      <c r="G830" s="116">
        <f>G!B120</f>
        <v>4073</v>
      </c>
      <c r="H830">
        <f>YD!B120</f>
        <v>0</v>
      </c>
      <c r="I830">
        <f>I!B120</f>
        <v>0</v>
      </c>
      <c r="J830">
        <f>J!B120</f>
        <v>0</v>
      </c>
    </row>
    <row r="831" spans="1:10">
      <c r="A831" t="s">
        <v>234</v>
      </c>
      <c r="B831" s="116">
        <f>B!B121</f>
        <v>5044.9219465765182</v>
      </c>
      <c r="C831" s="116">
        <f>'C'!B121</f>
        <v>5204.333333333333</v>
      </c>
      <c r="D831" s="116">
        <f>D!B121</f>
        <v>5204.083333333333</v>
      </c>
      <c r="E831" s="116">
        <f>E!B121</f>
        <v>5244.3835996197358</v>
      </c>
      <c r="F831" s="116">
        <f>F!B121</f>
        <v>5066.5</v>
      </c>
      <c r="G831" s="116">
        <f>G!B121</f>
        <v>5230</v>
      </c>
      <c r="H831">
        <f>YD!B121</f>
        <v>0</v>
      </c>
      <c r="I831">
        <f>I!B121</f>
        <v>0</v>
      </c>
      <c r="J831">
        <f>J!B121</f>
        <v>0</v>
      </c>
    </row>
    <row r="832" spans="1:10">
      <c r="B832" s="116"/>
      <c r="C832" s="116"/>
      <c r="D832" s="116"/>
      <c r="E832" s="116"/>
      <c r="F832" s="116"/>
      <c r="G832" s="116"/>
    </row>
    <row r="833" spans="1:10">
      <c r="B833" s="116"/>
      <c r="C833" s="116"/>
      <c r="D833" s="116"/>
      <c r="E833" s="116"/>
      <c r="F833" s="116"/>
      <c r="G833" s="116"/>
    </row>
    <row r="834" spans="1:10">
      <c r="B834" s="116"/>
      <c r="C834" s="116"/>
      <c r="D834" s="116"/>
      <c r="E834" s="116"/>
      <c r="F834" s="116"/>
      <c r="G834" s="116"/>
    </row>
    <row r="835" spans="1:10">
      <c r="B835" s="116"/>
      <c r="C835" s="116"/>
      <c r="D835" s="116"/>
      <c r="E835" s="116"/>
      <c r="F835" s="116"/>
      <c r="G835" s="116"/>
    </row>
    <row r="836" spans="1:10">
      <c r="B836" s="116"/>
      <c r="C836" s="116"/>
      <c r="D836" s="116"/>
      <c r="E836" s="116"/>
      <c r="F836" s="116"/>
      <c r="G836" s="116"/>
    </row>
    <row r="837" spans="1:10">
      <c r="B837" s="116"/>
      <c r="C837" s="116"/>
      <c r="D837" s="116"/>
      <c r="E837" s="116"/>
      <c r="F837" s="116"/>
      <c r="G837" s="116"/>
    </row>
    <row r="838" spans="1:10">
      <c r="B838" s="116"/>
      <c r="C838" s="116"/>
      <c r="D838" s="116"/>
      <c r="E838" s="116"/>
      <c r="F838" s="116"/>
      <c r="G838" s="116"/>
    </row>
    <row r="839" spans="1:10">
      <c r="A839" t="s">
        <v>235</v>
      </c>
      <c r="B839" s="116">
        <f>B!B129</f>
        <v>3022.7731715845357</v>
      </c>
      <c r="C839" s="116">
        <f>'C'!B129</f>
        <v>3062</v>
      </c>
      <c r="D839" s="116">
        <f>D!B129</f>
        <v>3061.7916666666665</v>
      </c>
      <c r="E839" s="116">
        <f>E!B129</f>
        <v>3131.8976563763549</v>
      </c>
      <c r="F839" s="116">
        <f>F!B129</f>
        <v>3091.5416666666665</v>
      </c>
      <c r="G839" s="116">
        <f>G!B129</f>
        <v>3144</v>
      </c>
      <c r="H839">
        <f>YD!B129</f>
        <v>0</v>
      </c>
      <c r="I839">
        <f>I!B129</f>
        <v>0</v>
      </c>
      <c r="J839">
        <f>J!B129</f>
        <v>0</v>
      </c>
    </row>
    <row r="840" spans="1:10">
      <c r="A840" t="s">
        <v>236</v>
      </c>
      <c r="B840" s="116">
        <f>B!B130</f>
        <v>3894.1232823866676</v>
      </c>
      <c r="C840" s="116">
        <f>'C'!B130</f>
        <v>3978.2083333333335</v>
      </c>
      <c r="D840" s="116">
        <f>D!B130</f>
        <v>3978.0833333333335</v>
      </c>
      <c r="E840" s="116">
        <f>E!B130</f>
        <v>4090.89168453414</v>
      </c>
      <c r="F840" s="116">
        <f>F!B130</f>
        <v>3934.625</v>
      </c>
      <c r="G840" s="116">
        <f>G!B130</f>
        <v>4043</v>
      </c>
      <c r="H840">
        <f>YD!B130</f>
        <v>0</v>
      </c>
      <c r="I840">
        <f>I!B130</f>
        <v>0</v>
      </c>
      <c r="J840">
        <f>J!B130</f>
        <v>0</v>
      </c>
    </row>
    <row r="847" spans="1:10">
      <c r="A847" s="2" t="s">
        <v>238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245</v>
      </c>
      <c r="C849" s="10" t="s">
        <v>257</v>
      </c>
      <c r="D849" s="10" t="s">
        <v>258</v>
      </c>
      <c r="E849" s="10" t="s">
        <v>515</v>
      </c>
      <c r="F849" s="10" t="s">
        <v>373</v>
      </c>
      <c r="G849" s="10" t="s">
        <v>482</v>
      </c>
      <c r="H849" s="10" t="s">
        <v>516</v>
      </c>
      <c r="I849" s="10" t="s">
        <v>517</v>
      </c>
      <c r="J849" s="10" t="s">
        <v>517</v>
      </c>
    </row>
    <row r="850" spans="1:10">
      <c r="A850" t="s">
        <v>233</v>
      </c>
      <c r="B850" s="116">
        <f>B!C120</f>
        <v>3014.618966660435</v>
      </c>
      <c r="C850" s="116">
        <f>'C'!C120</f>
        <v>3119.8333333333335</v>
      </c>
      <c r="D850" s="116">
        <f>D!C120</f>
        <v>3119.6666666666665</v>
      </c>
      <c r="E850">
        <f>E!C120</f>
        <v>3501.4974209034444</v>
      </c>
      <c r="F850">
        <f>F!C120</f>
        <v>3020.0416666666665</v>
      </c>
      <c r="G850">
        <f>G!C120</f>
        <v>3159</v>
      </c>
      <c r="H850">
        <f>YD!C120</f>
        <v>0</v>
      </c>
      <c r="I850">
        <f>I!C120</f>
        <v>0</v>
      </c>
      <c r="J850">
        <f>J!C120</f>
        <v>0</v>
      </c>
    </row>
    <row r="851" spans="1:10">
      <c r="A851" t="s">
        <v>234</v>
      </c>
      <c r="B851" s="116">
        <f>B!C121</f>
        <v>4083.8828856110517</v>
      </c>
      <c r="C851" s="116">
        <f>'C'!C121</f>
        <v>4263.541666666667</v>
      </c>
      <c r="D851" s="116">
        <f>D!C121</f>
        <v>4263.416666666667</v>
      </c>
      <c r="E851">
        <f>E!C121</f>
        <v>4677.7875489138705</v>
      </c>
      <c r="F851">
        <f>F!C121</f>
        <v>4105.958333333333</v>
      </c>
      <c r="G851">
        <f>G!C121</f>
        <v>4239</v>
      </c>
      <c r="H851">
        <f>YD!C121</f>
        <v>0</v>
      </c>
      <c r="I851">
        <f>I!C121</f>
        <v>0</v>
      </c>
      <c r="J851">
        <f>J!C121</f>
        <v>0</v>
      </c>
    </row>
    <row r="852" spans="1:10">
      <c r="B852" s="116"/>
      <c r="C852" s="116"/>
      <c r="D852" s="116"/>
    </row>
    <row r="853" spans="1:10">
      <c r="B853" s="116"/>
      <c r="C853" s="116"/>
      <c r="D853" s="116"/>
    </row>
    <row r="854" spans="1:10">
      <c r="B854" s="116"/>
      <c r="C854" s="116"/>
      <c r="D854" s="116"/>
    </row>
    <row r="855" spans="1:10">
      <c r="B855" s="116"/>
      <c r="C855" s="116"/>
      <c r="D855" s="116"/>
    </row>
    <row r="856" spans="1:10">
      <c r="B856" s="116"/>
      <c r="C856" s="116"/>
      <c r="D856" s="116"/>
    </row>
    <row r="857" spans="1:10">
      <c r="B857" s="116"/>
      <c r="C857" s="116"/>
      <c r="D857" s="116"/>
    </row>
    <row r="858" spans="1:10">
      <c r="B858" s="116"/>
      <c r="C858" s="116"/>
      <c r="D858" s="116"/>
    </row>
    <row r="859" spans="1:10">
      <c r="A859" t="s">
        <v>235</v>
      </c>
      <c r="B859" s="116">
        <f>B!C129</f>
        <v>2311.4724457669786</v>
      </c>
      <c r="C859" s="116">
        <f>'C'!C129</f>
        <v>2390.041666666667</v>
      </c>
      <c r="D859" s="116">
        <f>D!C129</f>
        <v>2389.9166666666665</v>
      </c>
      <c r="E859">
        <f>E!C129</f>
        <v>2716.0205973113402</v>
      </c>
      <c r="F859">
        <f>F!C129</f>
        <v>2378.4583333333335</v>
      </c>
      <c r="G859">
        <f>G!C129</f>
        <v>2411</v>
      </c>
      <c r="H859">
        <f>YD!C129</f>
        <v>0</v>
      </c>
      <c r="I859">
        <f>I!C129</f>
        <v>0</v>
      </c>
      <c r="J859">
        <f>J!C129</f>
        <v>0</v>
      </c>
    </row>
    <row r="860" spans="1:10">
      <c r="A860" t="s">
        <v>236</v>
      </c>
      <c r="B860" s="116">
        <f>B!C130</f>
        <v>3118.0954458757819</v>
      </c>
      <c r="C860" s="116">
        <f>'C'!C130</f>
        <v>3243</v>
      </c>
      <c r="D860" s="116">
        <f>D!C130</f>
        <v>3242.9583333333335</v>
      </c>
      <c r="E860">
        <f>E!C130</f>
        <v>3632.6991491374024</v>
      </c>
      <c r="F860">
        <f>F!C130</f>
        <v>3165.5833333333335</v>
      </c>
      <c r="G860">
        <f>G!C130</f>
        <v>3248</v>
      </c>
      <c r="H860">
        <f>YD!C130</f>
        <v>0</v>
      </c>
      <c r="I860">
        <f>I!C130</f>
        <v>0</v>
      </c>
      <c r="J860">
        <f>J!C130</f>
        <v>0</v>
      </c>
    </row>
    <row r="867" spans="1:10">
      <c r="A867" s="2" t="s">
        <v>239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245</v>
      </c>
      <c r="C869" s="10" t="s">
        <v>257</v>
      </c>
      <c r="D869" s="10" t="s">
        <v>258</v>
      </c>
      <c r="E869" s="10" t="s">
        <v>515</v>
      </c>
      <c r="F869" s="10" t="s">
        <v>373</v>
      </c>
      <c r="G869" s="10" t="s">
        <v>482</v>
      </c>
      <c r="H869" s="10" t="s">
        <v>516</v>
      </c>
      <c r="I869" s="10" t="s">
        <v>517</v>
      </c>
      <c r="J869" s="10" t="s">
        <v>517</v>
      </c>
    </row>
    <row r="870" spans="1:10">
      <c r="A870" t="s">
        <v>233</v>
      </c>
      <c r="B870" s="116">
        <f>B!D120</f>
        <v>376.076193513845</v>
      </c>
      <c r="C870" s="116">
        <f>'C'!D120</f>
        <v>389.125</v>
      </c>
      <c r="D870" s="116">
        <f>D!D120</f>
        <v>389.08333333333331</v>
      </c>
      <c r="E870" t="str">
        <f>E!D120</f>
        <v>Note 1</v>
      </c>
      <c r="F870">
        <f>F!D120</f>
        <v>377.25</v>
      </c>
      <c r="G870">
        <f>G!D120</f>
        <v>391</v>
      </c>
      <c r="H870">
        <f>YD!D120</f>
        <v>0</v>
      </c>
      <c r="I870">
        <f>I!D120</f>
        <v>0</v>
      </c>
      <c r="J870">
        <f>J!D120</f>
        <v>0</v>
      </c>
    </row>
    <row r="871" spans="1:10">
      <c r="A871" t="s">
        <v>234</v>
      </c>
      <c r="B871" s="116">
        <f>B!D121</f>
        <v>411.49462555151172</v>
      </c>
      <c r="C871" s="116">
        <f>'C'!D121</f>
        <v>426.33333333333331</v>
      </c>
      <c r="D871" s="116">
        <f>D!D121</f>
        <v>426.33333333333331</v>
      </c>
      <c r="E871" t="str">
        <f>E!D121</f>
        <v>Note 1</v>
      </c>
      <c r="F871">
        <f>F!D121</f>
        <v>411.33333333333331</v>
      </c>
      <c r="G871">
        <f>G!D121</f>
        <v>424</v>
      </c>
      <c r="H871">
        <f>YD!D121</f>
        <v>0</v>
      </c>
      <c r="I871">
        <f>I!D121</f>
        <v>0</v>
      </c>
      <c r="J871">
        <f>J!D121</f>
        <v>0</v>
      </c>
    </row>
    <row r="872" spans="1:10">
      <c r="B872" s="116"/>
      <c r="C872" s="116"/>
      <c r="D872" s="116"/>
    </row>
    <row r="873" spans="1:10">
      <c r="B873" s="116"/>
      <c r="C873" s="116"/>
      <c r="D873" s="116"/>
    </row>
    <row r="874" spans="1:10">
      <c r="B874" s="116"/>
      <c r="C874" s="116"/>
      <c r="D874" s="116"/>
    </row>
    <row r="875" spans="1:10">
      <c r="B875" s="116"/>
      <c r="C875" s="116"/>
      <c r="D875" s="116"/>
    </row>
    <row r="876" spans="1:10">
      <c r="B876" s="116"/>
      <c r="C876" s="116"/>
      <c r="D876" s="116"/>
    </row>
    <row r="877" spans="1:10">
      <c r="B877" s="116"/>
      <c r="C877" s="116"/>
      <c r="D877" s="116"/>
    </row>
    <row r="878" spans="1:10">
      <c r="B878" s="116"/>
      <c r="C878" s="116"/>
      <c r="D878" s="116"/>
    </row>
    <row r="879" spans="1:10">
      <c r="A879" t="s">
        <v>235</v>
      </c>
      <c r="B879" s="116">
        <f>B!D129</f>
        <v>304.56246547436837</v>
      </c>
      <c r="C879" s="116">
        <f>'C'!D129</f>
        <v>311.16666666666669</v>
      </c>
      <c r="D879" s="116">
        <f>D!D129</f>
        <v>311.125</v>
      </c>
      <c r="E879" t="str">
        <f>E!D129</f>
        <v>Note 1</v>
      </c>
      <c r="F879">
        <f>F!D129</f>
        <v>305.33333333333331</v>
      </c>
      <c r="G879">
        <f>G!D129</f>
        <v>314</v>
      </c>
      <c r="H879">
        <f>YD!D129</f>
        <v>0</v>
      </c>
      <c r="I879">
        <f>I!D129</f>
        <v>0</v>
      </c>
      <c r="J879">
        <f>J!D129</f>
        <v>0</v>
      </c>
    </row>
    <row r="880" spans="1:10">
      <c r="A880" t="s">
        <v>236</v>
      </c>
      <c r="B880" s="116">
        <f>B!D130</f>
        <v>332.27711231819677</v>
      </c>
      <c r="C880" s="116">
        <f>'C'!D130</f>
        <v>339.625</v>
      </c>
      <c r="D880" s="116">
        <f>D!D130</f>
        <v>339.625</v>
      </c>
      <c r="E880" t="str">
        <f>E!D130</f>
        <v>Note 1</v>
      </c>
      <c r="F880">
        <f>F!D130</f>
        <v>329.25</v>
      </c>
      <c r="G880">
        <f>G!D130</f>
        <v>340</v>
      </c>
      <c r="H880">
        <f>YD!D130</f>
        <v>0</v>
      </c>
      <c r="I880">
        <f>I!D130</f>
        <v>0</v>
      </c>
      <c r="J880">
        <f>J!D130</f>
        <v>0</v>
      </c>
    </row>
    <row r="887" spans="1:10">
      <c r="A887" s="2" t="s">
        <v>240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245</v>
      </c>
      <c r="C889" s="10" t="s">
        <v>257</v>
      </c>
      <c r="D889" s="10" t="s">
        <v>258</v>
      </c>
      <c r="E889" s="10" t="s">
        <v>515</v>
      </c>
      <c r="F889" s="10" t="s">
        <v>373</v>
      </c>
      <c r="G889" s="10" t="s">
        <v>482</v>
      </c>
      <c r="H889" s="10" t="s">
        <v>516</v>
      </c>
      <c r="I889" s="10" t="s">
        <v>517</v>
      </c>
      <c r="J889" s="10" t="s">
        <v>517</v>
      </c>
    </row>
    <row r="890" spans="1:10">
      <c r="A890" t="s">
        <v>233</v>
      </c>
      <c r="B890" s="116">
        <f>B!E120</f>
        <v>502.2436906926834</v>
      </c>
      <c r="C890" s="116">
        <f>'C'!E120</f>
        <v>466.5</v>
      </c>
      <c r="D890" s="116">
        <f>D!E120</f>
        <v>466.41666666666669</v>
      </c>
      <c r="E890">
        <f>E!E120</f>
        <v>517.88842166801089</v>
      </c>
      <c r="F890">
        <f>F!E120</f>
        <v>503.75</v>
      </c>
      <c r="G890">
        <f>G!E120</f>
        <v>522</v>
      </c>
      <c r="H890">
        <f>YD!E120</f>
        <v>0</v>
      </c>
      <c r="I890">
        <f>I!E120</f>
        <v>0</v>
      </c>
      <c r="J890">
        <f>J!E120</f>
        <v>0</v>
      </c>
    </row>
    <row r="891" spans="1:10">
      <c r="A891" t="s">
        <v>234</v>
      </c>
      <c r="B891" s="116">
        <f>B!E121</f>
        <v>549.54443541395437</v>
      </c>
      <c r="C891" s="116">
        <f>'C'!E121</f>
        <v>514.45833333333337</v>
      </c>
      <c r="D891" s="116">
        <f>D!E121</f>
        <v>514.33333333333337</v>
      </c>
      <c r="E891">
        <f>E!E121</f>
        <v>566.59605070586565</v>
      </c>
      <c r="F891">
        <f>F!E121</f>
        <v>549.20833333333337</v>
      </c>
      <c r="G891">
        <f>G!E121</f>
        <v>566</v>
      </c>
      <c r="H891">
        <f>YD!E121</f>
        <v>0</v>
      </c>
      <c r="I891">
        <f>I!E121</f>
        <v>0</v>
      </c>
      <c r="J891">
        <f>J!E121</f>
        <v>0</v>
      </c>
    </row>
    <row r="892" spans="1:10">
      <c r="B892" s="116"/>
      <c r="C892" s="116"/>
      <c r="D892" s="116"/>
    </row>
    <row r="893" spans="1:10">
      <c r="B893" s="116"/>
      <c r="C893" s="116"/>
      <c r="D893" s="116"/>
    </row>
    <row r="894" spans="1:10">
      <c r="B894" s="116"/>
      <c r="C894" s="116"/>
      <c r="D894" s="116"/>
    </row>
    <row r="895" spans="1:10">
      <c r="B895" s="116"/>
      <c r="C895" s="116"/>
      <c r="D895" s="116"/>
    </row>
    <row r="896" spans="1:10">
      <c r="B896" s="116"/>
      <c r="C896" s="116"/>
      <c r="D896" s="116"/>
    </row>
    <row r="897" spans="1:10">
      <c r="B897" s="116"/>
      <c r="C897" s="116"/>
      <c r="D897" s="116"/>
    </row>
    <row r="898" spans="1:10">
      <c r="B898" s="116"/>
      <c r="C898" s="116"/>
      <c r="D898" s="116"/>
    </row>
    <row r="899" spans="1:10">
      <c r="A899" t="s">
        <v>235</v>
      </c>
      <c r="B899" s="116">
        <f>B!E129</f>
        <v>406.73826034318864</v>
      </c>
      <c r="C899" s="116">
        <f>'C'!E129</f>
        <v>360.79166666666669</v>
      </c>
      <c r="D899" s="116">
        <f>D!E129</f>
        <v>360.75</v>
      </c>
      <c r="E899">
        <f>E!E129</f>
        <v>415.87705906501475</v>
      </c>
      <c r="F899">
        <f>F!E129</f>
        <v>407.75</v>
      </c>
      <c r="G899">
        <f>G!E129</f>
        <v>419</v>
      </c>
      <c r="H899">
        <f>YD!E129</f>
        <v>0</v>
      </c>
      <c r="I899">
        <f>I!E129</f>
        <v>0</v>
      </c>
      <c r="J899">
        <f>J!E129</f>
        <v>0</v>
      </c>
    </row>
    <row r="900" spans="1:10">
      <c r="A900" t="s">
        <v>236</v>
      </c>
      <c r="B900" s="116">
        <f>B!E130</f>
        <v>443.75072419268855</v>
      </c>
      <c r="C900" s="116">
        <f>'C'!E130</f>
        <v>395.58333333333331</v>
      </c>
      <c r="D900" s="116">
        <f>D!E130</f>
        <v>395.5</v>
      </c>
      <c r="E900">
        <f>E!E130</f>
        <v>458.19253539673741</v>
      </c>
      <c r="F900">
        <f>F!E130</f>
        <v>439.79166666666669</v>
      </c>
      <c r="G900">
        <f>G!E130</f>
        <v>454</v>
      </c>
      <c r="H900">
        <f>YD!E130</f>
        <v>0</v>
      </c>
      <c r="I900">
        <f>I!E130</f>
        <v>0</v>
      </c>
      <c r="J900">
        <f>J!E130</f>
        <v>0</v>
      </c>
    </row>
    <row r="907" spans="1:10">
      <c r="A907" s="2" t="s">
        <v>418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245</v>
      </c>
      <c r="C909" s="10" t="s">
        <v>257</v>
      </c>
      <c r="D909" s="10" t="s">
        <v>258</v>
      </c>
      <c r="E909" s="10" t="s">
        <v>515</v>
      </c>
      <c r="F909" s="10" t="s">
        <v>373</v>
      </c>
      <c r="G909" s="10" t="s">
        <v>482</v>
      </c>
      <c r="H909" s="10" t="s">
        <v>516</v>
      </c>
      <c r="I909" s="10" t="s">
        <v>517</v>
      </c>
      <c r="J909" s="10" t="s">
        <v>517</v>
      </c>
    </row>
    <row r="910" spans="1:10">
      <c r="A910" t="s">
        <v>233</v>
      </c>
      <c r="B910" s="116">
        <f>B!F120</f>
        <v>13185.687083333332</v>
      </c>
      <c r="C910" s="116">
        <f>'C'!F120</f>
        <v>13732.699787500002</v>
      </c>
      <c r="D910" s="116">
        <f>D!F120</f>
        <v>13732.907400000002</v>
      </c>
      <c r="E910">
        <f>E!F120</f>
        <v>13653.763338976147</v>
      </c>
      <c r="F910">
        <f>F!F120</f>
        <v>13169.541666666666</v>
      </c>
      <c r="G910">
        <f>G!F120</f>
        <v>13673</v>
      </c>
      <c r="H910">
        <f>YD!F120</f>
        <v>0</v>
      </c>
      <c r="I910">
        <f>I!F120</f>
        <v>0</v>
      </c>
      <c r="J910">
        <f>J!F120</f>
        <v>0</v>
      </c>
    </row>
    <row r="911" spans="1:10">
      <c r="A911" t="s">
        <v>234</v>
      </c>
      <c r="B911" s="116">
        <f>B!F121</f>
        <v>13188.050416666667</v>
      </c>
      <c r="C911" s="116">
        <f>'C'!F121</f>
        <v>13837.531887500001</v>
      </c>
      <c r="D911" s="116">
        <f>D!F121</f>
        <v>13837.385337500002</v>
      </c>
      <c r="E911">
        <f>E!F121</f>
        <v>13734.007060097918</v>
      </c>
      <c r="F911">
        <f>F!F121</f>
        <v>13198.083333333334</v>
      </c>
      <c r="G911">
        <f>G!F121</f>
        <v>13727</v>
      </c>
      <c r="H911">
        <f>YD!F121</f>
        <v>0</v>
      </c>
      <c r="I911">
        <f>I!F121</f>
        <v>0</v>
      </c>
      <c r="J911">
        <f>J!F121</f>
        <v>0</v>
      </c>
    </row>
    <row r="912" spans="1:10">
      <c r="B912" s="116"/>
      <c r="C912" s="116"/>
      <c r="D912" s="116"/>
    </row>
    <row r="913" spans="1:10">
      <c r="B913" s="116"/>
      <c r="C913" s="116"/>
      <c r="D913" s="116"/>
    </row>
    <row r="914" spans="1:10">
      <c r="B914" s="116"/>
      <c r="C914" s="116"/>
      <c r="D914" s="116"/>
    </row>
    <row r="915" spans="1:10">
      <c r="B915" s="116"/>
      <c r="C915" s="116"/>
      <c r="D915" s="116"/>
    </row>
    <row r="916" spans="1:10">
      <c r="B916" s="116"/>
      <c r="C916" s="116"/>
      <c r="D916" s="116"/>
    </row>
    <row r="917" spans="1:10">
      <c r="B917" s="116"/>
      <c r="C917" s="116"/>
      <c r="D917" s="116"/>
    </row>
    <row r="918" spans="1:10">
      <c r="B918" s="116"/>
      <c r="C918" s="116"/>
      <c r="D918" s="116"/>
    </row>
    <row r="919" spans="1:10">
      <c r="A919" t="s">
        <v>235</v>
      </c>
      <c r="B919" s="116">
        <f>B!F129</f>
        <v>9353.163333333332</v>
      </c>
      <c r="C919" s="116">
        <f>'C'!F129</f>
        <v>9721.1500000000015</v>
      </c>
      <c r="D919" s="116">
        <f>D!F129</f>
        <v>9721.3942500000012</v>
      </c>
      <c r="E919">
        <f>E!F129</f>
        <v>9778.7416308953834</v>
      </c>
      <c r="F919">
        <f>F!F129</f>
        <v>9365.4583333333339</v>
      </c>
      <c r="G919">
        <f>G!F129</f>
        <v>9798</v>
      </c>
      <c r="H919">
        <f>YD!F129</f>
        <v>0</v>
      </c>
      <c r="I919">
        <f>I!F129</f>
        <v>0</v>
      </c>
      <c r="J919">
        <f>J!F129</f>
        <v>0</v>
      </c>
    </row>
    <row r="920" spans="1:10">
      <c r="A920" t="s">
        <v>236</v>
      </c>
      <c r="B920" s="116">
        <f>B!F130</f>
        <v>9376.2962500000012</v>
      </c>
      <c r="C920" s="116">
        <f>'C'!F130</f>
        <v>9760.7917750000015</v>
      </c>
      <c r="D920" s="116">
        <f>D!F130</f>
        <v>9760.6940750000012</v>
      </c>
      <c r="E920">
        <f>E!F130</f>
        <v>9843.2403264951936</v>
      </c>
      <c r="F920">
        <f>F!F130</f>
        <v>9387.625</v>
      </c>
      <c r="G920">
        <f>G!F130</f>
        <v>9834</v>
      </c>
      <c r="H920">
        <f>YD!F130</f>
        <v>0</v>
      </c>
      <c r="I920">
        <f>I!F130</f>
        <v>0</v>
      </c>
      <c r="J920">
        <f>J!F130</f>
        <v>0</v>
      </c>
    </row>
    <row r="927" spans="1:10">
      <c r="A927" s="2" t="s">
        <v>241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245</v>
      </c>
      <c r="C929" s="10" t="s">
        <v>257</v>
      </c>
      <c r="D929" s="10" t="s">
        <v>258</v>
      </c>
      <c r="E929" s="10" t="s">
        <v>515</v>
      </c>
      <c r="F929" s="10" t="s">
        <v>373</v>
      </c>
      <c r="G929" s="10" t="s">
        <v>482</v>
      </c>
      <c r="H929" s="10" t="s">
        <v>516</v>
      </c>
      <c r="I929" s="10" t="s">
        <v>517</v>
      </c>
      <c r="J929" s="10" t="s">
        <v>517</v>
      </c>
    </row>
    <row r="930" spans="1:13">
      <c r="A930" t="s">
        <v>233</v>
      </c>
      <c r="B930" s="116">
        <f>B!G120</f>
        <v>9374.7970833333329</v>
      </c>
      <c r="C930" s="116">
        <f>'C'!G120</f>
        <v>9924.8178625000019</v>
      </c>
      <c r="D930" s="116">
        <f>D!G120</f>
        <v>9925.0254750000022</v>
      </c>
      <c r="E930" s="116">
        <f>E!G120</f>
        <v>9849.8338558795549</v>
      </c>
      <c r="F930" s="116">
        <f>F!G120</f>
        <v>9365.4583333333339</v>
      </c>
      <c r="G930" s="116">
        <f>G!G120</f>
        <v>9902</v>
      </c>
      <c r="H930" s="116">
        <f>YD!G120</f>
        <v>0</v>
      </c>
      <c r="I930" s="116">
        <f>I!G120</f>
        <v>0</v>
      </c>
      <c r="J930" s="116">
        <f>J!G120</f>
        <v>0</v>
      </c>
      <c r="K930" s="116"/>
      <c r="L930" s="116"/>
      <c r="M930" s="116"/>
    </row>
    <row r="931" spans="1:13">
      <c r="A931" t="s">
        <v>234</v>
      </c>
      <c r="B931" s="116">
        <f>B!G121</f>
        <v>9377.6866666666665</v>
      </c>
      <c r="C931" s="116">
        <f>'C'!G121</f>
        <v>9981.2396125000014</v>
      </c>
      <c r="D931" s="116">
        <f>D!G121</f>
        <v>9981.0930625000019</v>
      </c>
      <c r="E931" s="116">
        <f>E!G121</f>
        <v>9923.7580169425255</v>
      </c>
      <c r="F931" s="116">
        <f>F!G121</f>
        <v>9387.625</v>
      </c>
      <c r="G931" s="116">
        <f>G!G121</f>
        <v>9946</v>
      </c>
      <c r="H931" s="116">
        <f>YD!G121</f>
        <v>0</v>
      </c>
      <c r="I931" s="116">
        <f>I!G121</f>
        <v>0</v>
      </c>
      <c r="J931" s="116">
        <f>J!G121</f>
        <v>0</v>
      </c>
      <c r="K931" s="116"/>
      <c r="L931" s="116"/>
      <c r="M931" s="116"/>
    </row>
    <row r="932" spans="1:13"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</row>
    <row r="933" spans="1:13"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</row>
    <row r="934" spans="1:13"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</row>
    <row r="935" spans="1:13"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</row>
    <row r="936" spans="1:13"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</row>
    <row r="937" spans="1:13"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</row>
    <row r="938" spans="1:13"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</row>
    <row r="939" spans="1:13">
      <c r="A939" t="s">
        <v>235</v>
      </c>
      <c r="B939" s="116">
        <f>B!G129</f>
        <v>9353.163333333332</v>
      </c>
      <c r="C939" s="116">
        <f>'C'!G129</f>
        <v>9721.1500000000015</v>
      </c>
      <c r="D939" s="116">
        <f>D!G129</f>
        <v>9721.3942500000012</v>
      </c>
      <c r="E939" s="116">
        <f>E!G129</f>
        <v>9778.7416308953834</v>
      </c>
      <c r="F939" s="116">
        <f>F!G129</f>
        <v>9365.4583333333339</v>
      </c>
      <c r="G939" s="116">
        <f>G!G129</f>
        <v>9798</v>
      </c>
      <c r="H939" s="116">
        <f>YD!G129</f>
        <v>0</v>
      </c>
      <c r="I939" s="116">
        <f>I!G129</f>
        <v>0</v>
      </c>
      <c r="J939" s="116">
        <f>J!G129</f>
        <v>0</v>
      </c>
      <c r="K939" s="116"/>
      <c r="L939" s="116"/>
      <c r="M939" s="116"/>
    </row>
    <row r="940" spans="1:13">
      <c r="A940" t="s">
        <v>236</v>
      </c>
      <c r="B940" s="116">
        <f>B!G130</f>
        <v>9376.2962500000012</v>
      </c>
      <c r="C940" s="116">
        <f>'C'!G130</f>
        <v>9760.7673500000019</v>
      </c>
      <c r="D940" s="116">
        <f>D!G130</f>
        <v>9760.6696500000016</v>
      </c>
      <c r="E940" s="116">
        <f>E!G130</f>
        <v>9843.2403264951936</v>
      </c>
      <c r="F940" s="116">
        <f>F!G130</f>
        <v>9387.625</v>
      </c>
      <c r="G940" s="116">
        <f>G!G130</f>
        <v>9834</v>
      </c>
      <c r="H940" s="116">
        <f>YD!G130</f>
        <v>0</v>
      </c>
      <c r="I940" s="116">
        <f>I!G130</f>
        <v>0</v>
      </c>
      <c r="J940" s="116">
        <f>J!G130</f>
        <v>0</v>
      </c>
      <c r="K940" s="116"/>
      <c r="L940" s="116"/>
      <c r="M940" s="116"/>
    </row>
    <row r="947" spans="1:24">
      <c r="A947" s="2" t="s">
        <v>242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245</v>
      </c>
      <c r="C949" s="10" t="s">
        <v>257</v>
      </c>
      <c r="D949" s="10" t="s">
        <v>258</v>
      </c>
      <c r="E949" s="10" t="s">
        <v>515</v>
      </c>
      <c r="F949" s="10" t="s">
        <v>373</v>
      </c>
      <c r="G949" s="10" t="s">
        <v>482</v>
      </c>
      <c r="H949" s="10" t="s">
        <v>516</v>
      </c>
      <c r="I949" s="10" t="s">
        <v>517</v>
      </c>
      <c r="J949" s="10" t="s">
        <v>517</v>
      </c>
    </row>
    <row r="950" spans="1:24">
      <c r="A950" t="s">
        <v>233</v>
      </c>
      <c r="B950" s="116">
        <f>B!H120</f>
        <v>3810.89</v>
      </c>
      <c r="C950" s="116">
        <f>'C'!H120</f>
        <v>3807.8819250000001</v>
      </c>
      <c r="D950" s="116">
        <f>D!H120</f>
        <v>3807.8819250000001</v>
      </c>
      <c r="E950" s="116">
        <f>E!H120</f>
        <v>3803.929483096591</v>
      </c>
      <c r="F950" s="116">
        <f>F!H120</f>
        <v>3804.375</v>
      </c>
      <c r="G950" s="116">
        <f>G!H120</f>
        <v>3770</v>
      </c>
      <c r="H950" s="116">
        <f>YD!H120</f>
        <v>0</v>
      </c>
      <c r="I950" s="116">
        <f>I!H120</f>
        <v>0</v>
      </c>
      <c r="J950" s="116">
        <f>J!H120</f>
        <v>0</v>
      </c>
      <c r="K950" s="116"/>
      <c r="L950" s="116"/>
      <c r="M950" s="116"/>
    </row>
    <row r="951" spans="1:24">
      <c r="A951" t="s">
        <v>234</v>
      </c>
      <c r="B951" s="116">
        <f>B!H121</f>
        <v>3810.36375</v>
      </c>
      <c r="C951" s="116">
        <f>'C'!H121</f>
        <v>3856.2922750000002</v>
      </c>
      <c r="D951" s="116">
        <f>D!H121</f>
        <v>3856.2922750000002</v>
      </c>
      <c r="E951" s="116">
        <f>E!H121</f>
        <v>3810.2490431553888</v>
      </c>
      <c r="F951" s="116">
        <f>F!H121</f>
        <v>3810.4166666666665</v>
      </c>
      <c r="G951" s="116">
        <f>G!H121</f>
        <v>3780</v>
      </c>
      <c r="H951" s="116">
        <f>YD!H121</f>
        <v>0</v>
      </c>
      <c r="I951" s="116">
        <f>I!H121</f>
        <v>0</v>
      </c>
      <c r="J951" s="116">
        <f>J!H121</f>
        <v>0</v>
      </c>
      <c r="K951" s="116"/>
      <c r="L951" s="116"/>
      <c r="M951" s="116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</row>
    <row r="952" spans="1:24"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</row>
    <row r="953" spans="1:24"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</row>
    <row r="954" spans="1:24"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</row>
    <row r="955" spans="1:24"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</row>
    <row r="956" spans="1:24"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</row>
    <row r="957" spans="1:24"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</row>
    <row r="958" spans="1:24"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</row>
    <row r="959" spans="1:24">
      <c r="A959" t="s">
        <v>235</v>
      </c>
      <c r="B959" s="116">
        <f>B!H129</f>
        <v>-5.4771024999999994E-13</v>
      </c>
      <c r="C959" s="116">
        <f>'C'!H129</f>
        <v>0</v>
      </c>
      <c r="D959" s="116">
        <f>D!H129</f>
        <v>0</v>
      </c>
      <c r="E959" s="116">
        <f>E!H129</f>
        <v>3.018175010327933E-13</v>
      </c>
      <c r="F959" s="116">
        <f>F!H129</f>
        <v>0</v>
      </c>
      <c r="G959" s="116">
        <f>G!H129</f>
        <v>0</v>
      </c>
      <c r="H959" s="116">
        <f>YD!H129</f>
        <v>0</v>
      </c>
      <c r="I959" s="116">
        <f>I!H129</f>
        <v>0</v>
      </c>
      <c r="J959" s="116">
        <f>J!H129</f>
        <v>0</v>
      </c>
      <c r="K959" s="116"/>
      <c r="L959" s="116"/>
      <c r="M959" s="116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</row>
    <row r="960" spans="1:24">
      <c r="A960" t="s">
        <v>236</v>
      </c>
      <c r="B960" s="116">
        <f>B!H130</f>
        <v>7.2904616666666638E-13</v>
      </c>
      <c r="C960" s="116">
        <f>'C'!H130</f>
        <v>2.4425000000000002E-2</v>
      </c>
      <c r="D960" s="116">
        <f>D!H130</f>
        <v>2.4425000000000002E-2</v>
      </c>
      <c r="E960" s="116">
        <f>E!H130</f>
        <v>3.5571348336007786E-13</v>
      </c>
      <c r="F960" s="116">
        <f>F!H130</f>
        <v>0</v>
      </c>
      <c r="G960" s="116">
        <f>G!H130</f>
        <v>0</v>
      </c>
      <c r="H960" s="116">
        <f>YD!H130</f>
        <v>0</v>
      </c>
      <c r="I960" s="116">
        <f>I!H130</f>
        <v>0</v>
      </c>
      <c r="J960" s="116">
        <f>J!H130</f>
        <v>0</v>
      </c>
      <c r="K960" s="116"/>
      <c r="L960" s="116"/>
      <c r="M960" s="116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</row>
    <row r="967" spans="1:13">
      <c r="A967" s="2" t="s">
        <v>243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245</v>
      </c>
      <c r="C969" s="10" t="s">
        <v>257</v>
      </c>
      <c r="D969" s="10" t="s">
        <v>258</v>
      </c>
      <c r="E969" s="10" t="s">
        <v>515</v>
      </c>
      <c r="F969" s="10" t="s">
        <v>373</v>
      </c>
      <c r="G969" s="10" t="s">
        <v>482</v>
      </c>
      <c r="H969" s="10" t="s">
        <v>516</v>
      </c>
      <c r="I969" s="10" t="s">
        <v>517</v>
      </c>
      <c r="J969" s="10" t="s">
        <v>517</v>
      </c>
    </row>
    <row r="970" spans="1:13">
      <c r="A970" t="s">
        <v>233</v>
      </c>
      <c r="B970" s="347">
        <f>B!I120</f>
        <v>1.0675479166666666E-2</v>
      </c>
      <c r="C970" s="347">
        <f>'C'!I120</f>
        <v>1.0999999999999999E-2</v>
      </c>
      <c r="D970" s="347">
        <f>D!I120</f>
        <v>1.0999999999999999E-2</v>
      </c>
      <c r="E970" s="347">
        <f>E!I120</f>
        <v>1.0645793746137146E-2</v>
      </c>
      <c r="F970" s="347">
        <f>F!I120</f>
        <v>1.0937624999999999E-2</v>
      </c>
      <c r="G970" s="347">
        <f>G!I120</f>
        <v>1.6E-2</v>
      </c>
      <c r="H970" s="118">
        <f>YD!I120</f>
        <v>0</v>
      </c>
      <c r="I970" s="118">
        <f>I!I120</f>
        <v>0</v>
      </c>
      <c r="J970" s="118">
        <f>J!I120</f>
        <v>0</v>
      </c>
      <c r="K970" s="118"/>
      <c r="L970" s="118"/>
      <c r="M970" s="118"/>
    </row>
    <row r="971" spans="1:13">
      <c r="A971" t="s">
        <v>234</v>
      </c>
      <c r="B971" s="347">
        <f>B!I121</f>
        <v>1.1168362500000001E-2</v>
      </c>
      <c r="C971" s="347">
        <f>'C'!I121</f>
        <v>1.15E-2</v>
      </c>
      <c r="D971" s="347">
        <f>D!I121</f>
        <v>1.15E-2</v>
      </c>
      <c r="E971" s="347">
        <f>E!I121</f>
        <v>1.114369293329249E-2</v>
      </c>
      <c r="F971" s="347">
        <f>F!I121</f>
        <v>1.1478791666666668E-2</v>
      </c>
      <c r="G971" s="347">
        <f>G!I121</f>
        <v>1.0999999999999999E-2</v>
      </c>
      <c r="H971" s="118">
        <f>YD!I121</f>
        <v>0</v>
      </c>
      <c r="I971" s="118">
        <f>I!I121</f>
        <v>0</v>
      </c>
      <c r="J971" s="118">
        <f>J!I121</f>
        <v>0</v>
      </c>
      <c r="K971" s="118"/>
      <c r="L971" s="118"/>
      <c r="M971" s="118"/>
    </row>
    <row r="972" spans="1:13">
      <c r="B972" s="347"/>
      <c r="C972" s="347"/>
      <c r="D972" s="347"/>
      <c r="E972" s="347"/>
      <c r="F972" s="347"/>
      <c r="G972" s="347"/>
      <c r="H972" s="118"/>
      <c r="I972" s="118"/>
      <c r="J972" s="118"/>
      <c r="K972" s="118"/>
      <c r="L972" s="118"/>
      <c r="M972" s="118"/>
    </row>
    <row r="973" spans="1:13">
      <c r="B973" s="347"/>
      <c r="C973" s="347"/>
      <c r="D973" s="347"/>
      <c r="E973" s="347"/>
      <c r="F973" s="347"/>
      <c r="G973" s="347"/>
      <c r="H973" s="118"/>
      <c r="I973" s="118"/>
      <c r="J973" s="118"/>
      <c r="K973" s="118"/>
      <c r="L973" s="118"/>
      <c r="M973" s="118"/>
    </row>
    <row r="974" spans="1:13">
      <c r="B974" s="347"/>
      <c r="C974" s="347"/>
      <c r="D974" s="347"/>
      <c r="E974" s="347"/>
      <c r="F974" s="347"/>
      <c r="G974" s="347"/>
      <c r="H974" s="118"/>
      <c r="I974" s="118"/>
      <c r="J974" s="118"/>
      <c r="K974" s="118"/>
      <c r="L974" s="118"/>
      <c r="M974" s="118"/>
    </row>
    <row r="975" spans="1:13">
      <c r="B975" s="347"/>
      <c r="C975" s="347"/>
      <c r="D975" s="347"/>
      <c r="E975" s="347"/>
      <c r="F975" s="347"/>
      <c r="G975" s="347"/>
      <c r="H975" s="118"/>
      <c r="I975" s="118"/>
      <c r="J975" s="118"/>
      <c r="K975" s="118"/>
      <c r="L975" s="118"/>
      <c r="M975" s="118"/>
    </row>
    <row r="976" spans="1:13">
      <c r="B976" s="347"/>
      <c r="C976" s="347"/>
      <c r="D976" s="347"/>
      <c r="E976" s="347"/>
      <c r="F976" s="347"/>
      <c r="G976" s="347"/>
      <c r="H976" s="118"/>
      <c r="I976" s="118"/>
      <c r="J976" s="118"/>
      <c r="K976" s="118"/>
      <c r="L976" s="118"/>
      <c r="M976" s="118"/>
    </row>
    <row r="977" spans="1:13">
      <c r="B977" s="347"/>
      <c r="C977" s="347"/>
      <c r="D977" s="347"/>
      <c r="E977" s="347"/>
      <c r="F977" s="347"/>
      <c r="G977" s="347"/>
      <c r="H977" s="118"/>
      <c r="I977" s="118"/>
      <c r="J977" s="118"/>
      <c r="K977" s="118"/>
      <c r="L977" s="118"/>
      <c r="M977" s="118"/>
    </row>
    <row r="978" spans="1:13">
      <c r="B978" s="347"/>
      <c r="C978" s="347"/>
      <c r="D978" s="347"/>
      <c r="E978" s="347"/>
      <c r="F978" s="347"/>
      <c r="G978" s="347"/>
      <c r="H978" s="118"/>
      <c r="I978" s="118"/>
      <c r="J978" s="118"/>
      <c r="K978" s="118"/>
      <c r="L978" s="118"/>
      <c r="M978" s="118"/>
    </row>
    <row r="979" spans="1:13">
      <c r="A979" t="s">
        <v>235</v>
      </c>
      <c r="B979" s="347">
        <f>B!I129</f>
        <v>6.2079700000000036E-3</v>
      </c>
      <c r="C979" s="347">
        <f>'C'!I129</f>
        <v>7.1000000000000004E-3</v>
      </c>
      <c r="D979" s="347">
        <f>D!I129</f>
        <v>7.1000000000000004E-3</v>
      </c>
      <c r="E979" s="347">
        <f>E!I129</f>
        <v>6.4660444823903237E-3</v>
      </c>
      <c r="F979" s="347">
        <f>F!I129</f>
        <v>5.4850000000000012E-3</v>
      </c>
      <c r="G979" s="347">
        <f>G!I129</f>
        <v>6.7400000000000003E-3</v>
      </c>
      <c r="H979" s="118">
        <f>YD!I129</f>
        <v>0</v>
      </c>
      <c r="I979" s="118">
        <f>I!I129</f>
        <v>0</v>
      </c>
      <c r="J979" s="118">
        <f>J!I129</f>
        <v>0</v>
      </c>
      <c r="K979" s="118"/>
      <c r="L979" s="118"/>
      <c r="M979" s="118"/>
    </row>
    <row r="980" spans="1:13">
      <c r="A980" t="s">
        <v>236</v>
      </c>
      <c r="B980" s="347">
        <f>B!I130</f>
        <v>6.2079700000000036E-3</v>
      </c>
      <c r="C980" s="347">
        <f>'C'!I130</f>
        <v>7.7999999999999996E-3</v>
      </c>
      <c r="D980" s="347">
        <f>D!I130</f>
        <v>7.7999999999999996E-3</v>
      </c>
      <c r="E980" s="347">
        <f>E!I130</f>
        <v>6.466044482391132E-3</v>
      </c>
      <c r="F980" s="347">
        <f>F!I130</f>
        <v>5.4779999999999994E-3</v>
      </c>
      <c r="G980" s="347">
        <f>G!I130</f>
        <v>6.7400000000000003E-3</v>
      </c>
      <c r="H980" s="118">
        <f>YD!I130</f>
        <v>0</v>
      </c>
      <c r="I980" s="118">
        <f>I!I130</f>
        <v>0</v>
      </c>
      <c r="J980" s="118">
        <f>J!I130</f>
        <v>0</v>
      </c>
      <c r="K980" s="118"/>
      <c r="L980" s="118"/>
      <c r="M980" s="118"/>
    </row>
    <row r="987" spans="1:13">
      <c r="A987" s="2" t="s">
        <v>86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245</v>
      </c>
      <c r="C989" s="10" t="s">
        <v>257</v>
      </c>
      <c r="D989" s="10" t="s">
        <v>258</v>
      </c>
      <c r="E989" s="10" t="s">
        <v>515</v>
      </c>
      <c r="F989" s="10" t="s">
        <v>373</v>
      </c>
      <c r="G989" s="10" t="s">
        <v>482</v>
      </c>
      <c r="H989" s="10" t="s">
        <v>516</v>
      </c>
      <c r="I989" s="10" t="s">
        <v>517</v>
      </c>
      <c r="J989" s="10" t="s">
        <v>517</v>
      </c>
    </row>
    <row r="990" spans="1:13">
      <c r="A990" t="s">
        <v>233</v>
      </c>
      <c r="B990" s="119">
        <f>B!J120</f>
        <v>3.8447963185478624</v>
      </c>
      <c r="C990" s="119">
        <f>'C'!J120</f>
        <v>3.9136115288250317</v>
      </c>
      <c r="D990" s="119">
        <f>D!J120</f>
        <v>3.9139030708941935</v>
      </c>
      <c r="E990" s="119">
        <f>E!J120</f>
        <v>3.8587604373732227</v>
      </c>
      <c r="F990" s="119">
        <f>F!J120</f>
        <v>3.8371600399082859</v>
      </c>
      <c r="G990" s="119">
        <f>G!J120</f>
        <v>3.85</v>
      </c>
      <c r="H990" s="119">
        <f>YD!J120</f>
        <v>0</v>
      </c>
      <c r="I990" s="119">
        <f>I!J120</f>
        <v>0</v>
      </c>
      <c r="J990" s="119">
        <f>J!J120</f>
        <v>0</v>
      </c>
      <c r="K990" s="119"/>
      <c r="L990" s="119"/>
      <c r="M990" s="119"/>
    </row>
    <row r="991" spans="1:13">
      <c r="A991" t="s">
        <v>234</v>
      </c>
      <c r="B991" s="119">
        <f>B!J121</f>
        <v>2.9312957592168609</v>
      </c>
      <c r="C991" s="119">
        <f>'C'!J121</f>
        <v>2.9505118766491645</v>
      </c>
      <c r="D991" s="119">
        <f>D!J121</f>
        <v>2.9505592702169627</v>
      </c>
      <c r="E991" s="119">
        <f>E!J121</f>
        <v>2.9345909693689873</v>
      </c>
      <c r="F991" s="119">
        <f>F!J121</f>
        <v>2.9212653715068941</v>
      </c>
      <c r="G991" s="119">
        <f>G!J121</f>
        <v>2.94</v>
      </c>
      <c r="H991" s="119">
        <f>YD!J121</f>
        <v>0</v>
      </c>
      <c r="I991" s="119">
        <f>I!J121</f>
        <v>0</v>
      </c>
      <c r="J991" s="119">
        <f>J!J121</f>
        <v>0</v>
      </c>
      <c r="K991" s="119"/>
      <c r="L991" s="119"/>
      <c r="M991" s="119"/>
    </row>
    <row r="992" spans="1:13"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</row>
    <row r="993" spans="1:13"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</row>
    <row r="994" spans="1:13"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</row>
    <row r="995" spans="1:13"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</row>
    <row r="996" spans="1:13"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</row>
    <row r="997" spans="1:13"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</row>
    <row r="998" spans="1:13"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</row>
    <row r="999" spans="1:13">
      <c r="A999" t="s">
        <v>235</v>
      </c>
      <c r="B999" s="119">
        <f>B!J129</f>
        <v>3.543099854148672</v>
      </c>
      <c r="C999" s="119">
        <f>'C'!J129</f>
        <v>3.5988153449844984</v>
      </c>
      <c r="D999" s="119">
        <f>D!J129</f>
        <v>3.5991278364828387</v>
      </c>
      <c r="E999" s="119">
        <f>E!J129</f>
        <v>3.404803033593343</v>
      </c>
      <c r="F999" s="119">
        <f>F!J129</f>
        <v>3.4604350566376669</v>
      </c>
      <c r="G999" s="119">
        <f>G!J129</f>
        <v>3.59</v>
      </c>
      <c r="H999" s="119">
        <f>YD!J129</f>
        <v>0</v>
      </c>
      <c r="I999" s="119">
        <f>I!J129</f>
        <v>0</v>
      </c>
      <c r="J999" s="119">
        <f>J!J129</f>
        <v>0</v>
      </c>
      <c r="K999" s="119"/>
      <c r="L999" s="119"/>
      <c r="M999" s="119"/>
    </row>
    <row r="1000" spans="1:13">
      <c r="A1000" t="s">
        <v>236</v>
      </c>
      <c r="B1000" s="119">
        <f>B!J130</f>
        <v>2.7196901396309143</v>
      </c>
      <c r="C1000" s="119">
        <f>'C'!J130</f>
        <v>2.7244804507867837</v>
      </c>
      <c r="D1000" s="119">
        <f>D!J130</f>
        <v>2.7244848665999863</v>
      </c>
      <c r="E1000" s="119">
        <f>E!J130</f>
        <v>2.7404773631230217</v>
      </c>
      <c r="F1000" s="119">
        <f>F!J130</f>
        <v>2.6900388272911857</v>
      </c>
      <c r="G1000" s="119">
        <f>G!J130</f>
        <v>2.74</v>
      </c>
      <c r="H1000" s="119">
        <f>YD!J130</f>
        <v>0</v>
      </c>
      <c r="I1000" s="119">
        <f>I!J130</f>
        <v>0</v>
      </c>
      <c r="J1000" s="119">
        <f>J!J130</f>
        <v>0</v>
      </c>
      <c r="K1000" s="119"/>
      <c r="L1000" s="119"/>
      <c r="M1000" s="119"/>
    </row>
    <row r="1001" spans="1:13">
      <c r="B1001" s="119"/>
      <c r="C1001" s="119"/>
      <c r="D1001" s="119"/>
      <c r="E1001" s="119"/>
      <c r="F1001" s="119"/>
      <c r="G1001" s="119"/>
      <c r="H1001" s="119"/>
      <c r="I1001" s="119"/>
      <c r="J1001" s="119"/>
      <c r="K1001" s="119"/>
      <c r="L1001" s="119"/>
      <c r="M1001" s="119"/>
    </row>
    <row r="1007" spans="1:13">
      <c r="A1007" s="2" t="s">
        <v>230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245</v>
      </c>
      <c r="C1009" s="10" t="s">
        <v>257</v>
      </c>
      <c r="D1009" s="10" t="s">
        <v>258</v>
      </c>
      <c r="E1009" s="10" t="s">
        <v>515</v>
      </c>
      <c r="F1009" s="10" t="s">
        <v>373</v>
      </c>
      <c r="G1009" s="10" t="s">
        <v>482</v>
      </c>
      <c r="H1009" s="10" t="s">
        <v>516</v>
      </c>
      <c r="I1009" s="10" t="s">
        <v>517</v>
      </c>
      <c r="J1009" s="10" t="s">
        <v>517</v>
      </c>
    </row>
    <row r="1010" spans="1:13">
      <c r="A1010" t="s">
        <v>233</v>
      </c>
      <c r="B1010" s="95">
        <f>B!K120</f>
        <v>16.791666666666664</v>
      </c>
      <c r="C1010" s="95">
        <f>'C'!K120</f>
        <v>16.833333333333332</v>
      </c>
      <c r="D1010" s="95">
        <f>D!K120</f>
        <v>16.833333333333332</v>
      </c>
      <c r="E1010" s="95">
        <f>E!K120</f>
        <v>16.814583333333328</v>
      </c>
      <c r="F1010" s="95">
        <f>F!K120</f>
        <v>16.883333333333329</v>
      </c>
      <c r="G1010" s="95">
        <f>G!K120</f>
        <v>16.96</v>
      </c>
      <c r="H1010" s="95">
        <f>YD!K120</f>
        <v>0</v>
      </c>
      <c r="I1010" s="95">
        <f>I!K120</f>
        <v>0</v>
      </c>
      <c r="J1010" s="95">
        <f>J!K120</f>
        <v>0</v>
      </c>
      <c r="K1010" s="118"/>
      <c r="L1010" s="118"/>
      <c r="M1010" s="118"/>
    </row>
    <row r="1011" spans="1:13">
      <c r="A1011" t="s">
        <v>234</v>
      </c>
      <c r="B1011" s="95">
        <f>B!K121</f>
        <v>29.516666666666669</v>
      </c>
      <c r="C1011" s="95">
        <f>'C'!K121</f>
        <v>29.5</v>
      </c>
      <c r="D1011" s="95">
        <f>D!K121</f>
        <v>29.5</v>
      </c>
      <c r="E1011" s="95">
        <f>E!K121</f>
        <v>29.516666666666666</v>
      </c>
      <c r="F1011" s="95">
        <f>F!K121</f>
        <v>29.516666666666666</v>
      </c>
      <c r="G1011" s="95">
        <f>G!K121</f>
        <v>29.5</v>
      </c>
      <c r="H1011" s="95">
        <f>YD!K121</f>
        <v>0</v>
      </c>
      <c r="I1011" s="95">
        <f>I!K121</f>
        <v>0</v>
      </c>
      <c r="J1011" s="95">
        <f>J!K121</f>
        <v>0</v>
      </c>
      <c r="K1011" s="118"/>
      <c r="L1011" s="118"/>
      <c r="M1011" s="118"/>
    </row>
    <row r="1012" spans="1:13">
      <c r="B1012" s="95"/>
      <c r="C1012" s="95"/>
      <c r="D1012" s="95"/>
      <c r="E1012" s="95"/>
      <c r="F1012" s="95"/>
      <c r="G1012" s="95"/>
      <c r="H1012" s="118"/>
      <c r="I1012" s="118"/>
      <c r="J1012" s="118"/>
      <c r="K1012" s="118"/>
      <c r="L1012" s="118"/>
      <c r="M1012" s="118"/>
    </row>
    <row r="1013" spans="1:13">
      <c r="B1013" s="95"/>
      <c r="C1013" s="95"/>
      <c r="D1013" s="95"/>
      <c r="E1013" s="95"/>
      <c r="F1013" s="95"/>
      <c r="G1013" s="95"/>
      <c r="H1013" s="118"/>
      <c r="I1013" s="118"/>
      <c r="J1013" s="118"/>
      <c r="K1013" s="118"/>
      <c r="L1013" s="118"/>
      <c r="M1013" s="118"/>
    </row>
    <row r="1014" spans="1:13">
      <c r="B1014" s="95"/>
      <c r="C1014" s="95"/>
      <c r="D1014" s="95"/>
      <c r="E1014" s="95"/>
      <c r="F1014" s="95"/>
      <c r="G1014" s="95"/>
      <c r="H1014" s="118"/>
      <c r="I1014" s="118"/>
      <c r="J1014" s="118"/>
      <c r="K1014" s="118"/>
      <c r="L1014" s="118"/>
      <c r="M1014" s="118"/>
    </row>
    <row r="1015" spans="1:13">
      <c r="B1015" s="95"/>
      <c r="C1015" s="95"/>
      <c r="D1015" s="95"/>
      <c r="E1015" s="95"/>
      <c r="F1015" s="95"/>
      <c r="G1015" s="95"/>
      <c r="H1015" s="118"/>
      <c r="I1015" s="118"/>
      <c r="J1015" s="118"/>
      <c r="K1015" s="118"/>
      <c r="L1015" s="118"/>
      <c r="M1015" s="118"/>
    </row>
    <row r="1016" spans="1:13">
      <c r="B1016" s="95"/>
      <c r="C1016" s="95"/>
      <c r="D1016" s="95"/>
      <c r="E1016" s="95"/>
      <c r="F1016" s="95"/>
      <c r="G1016" s="95"/>
      <c r="H1016" s="118"/>
      <c r="I1016" s="118"/>
      <c r="J1016" s="118"/>
      <c r="K1016" s="118"/>
      <c r="L1016" s="118"/>
      <c r="M1016" s="118"/>
    </row>
    <row r="1017" spans="1:13">
      <c r="B1017" s="95"/>
      <c r="C1017" s="95"/>
      <c r="D1017" s="95"/>
      <c r="E1017" s="95"/>
      <c r="F1017" s="95"/>
      <c r="G1017" s="95"/>
      <c r="H1017" s="118"/>
      <c r="I1017" s="118"/>
      <c r="J1017" s="118"/>
      <c r="K1017" s="118"/>
      <c r="L1017" s="118"/>
      <c r="M1017" s="118"/>
    </row>
    <row r="1018" spans="1:13">
      <c r="B1018" s="95"/>
      <c r="C1018" s="95"/>
      <c r="D1018" s="95"/>
      <c r="E1018" s="95"/>
      <c r="F1018" s="95"/>
      <c r="G1018" s="95"/>
      <c r="H1018" s="118"/>
      <c r="I1018" s="118"/>
      <c r="J1018" s="118"/>
      <c r="K1018" s="118"/>
      <c r="L1018" s="118"/>
      <c r="M1018" s="118"/>
    </row>
    <row r="1019" spans="1:13">
      <c r="A1019" t="s">
        <v>235</v>
      </c>
      <c r="B1019" s="95">
        <f>B!K129</f>
        <v>16.791666666666664</v>
      </c>
      <c r="C1019" s="95">
        <f>'C'!K129</f>
        <v>16.833333333333332</v>
      </c>
      <c r="D1019" s="95">
        <f>D!K129</f>
        <v>16.833333333333332</v>
      </c>
      <c r="E1019" s="95">
        <f>E!K129</f>
        <v>16.814583333333328</v>
      </c>
      <c r="F1019" s="95">
        <f>F!K129</f>
        <v>16.883333333333329</v>
      </c>
      <c r="G1019" s="95">
        <f>G!K129</f>
        <v>16.96</v>
      </c>
      <c r="H1019" s="95">
        <f>YD!K129</f>
        <v>0</v>
      </c>
      <c r="I1019" s="95">
        <f>I!K129</f>
        <v>0</v>
      </c>
      <c r="J1019" s="95">
        <f>J!K129</f>
        <v>0</v>
      </c>
      <c r="K1019" s="118"/>
      <c r="L1019" s="118"/>
      <c r="M1019" s="118"/>
    </row>
    <row r="1020" spans="1:13">
      <c r="A1020" t="s">
        <v>236</v>
      </c>
      <c r="B1020" s="95">
        <f>B!K130</f>
        <v>29.516666666666669</v>
      </c>
      <c r="C1020" s="95">
        <f>'C'!K130</f>
        <v>29.5</v>
      </c>
      <c r="D1020" s="95">
        <f>D!K130</f>
        <v>29.5</v>
      </c>
      <c r="E1020" s="95">
        <f>E!K130</f>
        <v>29.516666666666666</v>
      </c>
      <c r="F1020" s="95">
        <f>F!K130</f>
        <v>29.516666666666666</v>
      </c>
      <c r="G1020" s="95">
        <f>G!K130</f>
        <v>29.5</v>
      </c>
      <c r="H1020" s="95">
        <f>YD!K130</f>
        <v>0</v>
      </c>
      <c r="I1020" s="95">
        <f>I!K130</f>
        <v>0</v>
      </c>
      <c r="J1020" s="95">
        <f>J!K130</f>
        <v>0</v>
      </c>
      <c r="K1020" s="118"/>
      <c r="L1020" s="118"/>
      <c r="M1020" s="118"/>
    </row>
    <row r="1027" spans="1:13">
      <c r="A1027" s="2" t="s">
        <v>231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245</v>
      </c>
      <c r="C1029" s="10" t="s">
        <v>257</v>
      </c>
      <c r="D1029" s="10" t="s">
        <v>258</v>
      </c>
      <c r="E1029" s="10" t="s">
        <v>515</v>
      </c>
      <c r="F1029" s="10" t="s">
        <v>373</v>
      </c>
      <c r="G1029" s="10" t="s">
        <v>482</v>
      </c>
      <c r="H1029" s="10" t="s">
        <v>516</v>
      </c>
      <c r="I1029" s="10" t="s">
        <v>517</v>
      </c>
      <c r="J1029" s="10" t="s">
        <v>517</v>
      </c>
    </row>
    <row r="1030" spans="1:13">
      <c r="A1030" t="s">
        <v>233</v>
      </c>
      <c r="B1030" s="95">
        <f>B!L120</f>
        <v>24.64107916666666</v>
      </c>
      <c r="C1030" s="95">
        <f>'C'!L120</f>
        <v>24.944444444444446</v>
      </c>
      <c r="D1030" s="95">
        <f>D!L120</f>
        <v>24.944444444444446</v>
      </c>
      <c r="E1030" s="95">
        <f>E!L120</f>
        <v>24.982041663411625</v>
      </c>
      <c r="F1030" s="95">
        <f>F!L120</f>
        <v>25</v>
      </c>
      <c r="G1030" s="95">
        <f>G!L120</f>
        <v>25</v>
      </c>
      <c r="H1030" s="95">
        <f>YD!L120</f>
        <v>0</v>
      </c>
      <c r="I1030" s="95">
        <f>I!L120</f>
        <v>0</v>
      </c>
      <c r="J1030" s="95">
        <f>J!L120</f>
        <v>0</v>
      </c>
      <c r="K1030" s="119"/>
      <c r="L1030" s="119"/>
      <c r="M1030" s="119"/>
    </row>
    <row r="1031" spans="1:13">
      <c r="A1031" t="s">
        <v>234</v>
      </c>
      <c r="B1031" s="95">
        <f>B!L121</f>
        <v>24.547783333333332</v>
      </c>
      <c r="C1031" s="95">
        <f>'C'!L121</f>
        <v>25</v>
      </c>
      <c r="D1031" s="95">
        <f>D!L121</f>
        <v>25</v>
      </c>
      <c r="E1031" s="95">
        <f>E!L121</f>
        <v>24.983132681459704</v>
      </c>
      <c r="F1031" s="95">
        <f>F!L121</f>
        <v>25</v>
      </c>
      <c r="G1031" s="95">
        <f>G!L121</f>
        <v>25</v>
      </c>
      <c r="H1031" s="95">
        <f>YD!L121</f>
        <v>0</v>
      </c>
      <c r="I1031" s="95">
        <f>I!L121</f>
        <v>0</v>
      </c>
      <c r="J1031" s="95">
        <f>J!L121</f>
        <v>0</v>
      </c>
      <c r="K1031" s="119"/>
      <c r="L1031" s="119"/>
      <c r="M1031" s="119"/>
    </row>
    <row r="1032" spans="1:13">
      <c r="B1032" s="95"/>
      <c r="C1032" s="95"/>
      <c r="D1032" s="95"/>
      <c r="E1032" s="95"/>
      <c r="F1032" s="95"/>
      <c r="G1032" s="95"/>
      <c r="H1032" s="119"/>
      <c r="I1032" s="119"/>
      <c r="J1032" s="119"/>
      <c r="K1032" s="119"/>
      <c r="L1032" s="119"/>
      <c r="M1032" s="119"/>
    </row>
    <row r="1033" spans="1:13">
      <c r="B1033" s="95"/>
      <c r="C1033" s="95"/>
      <c r="D1033" s="95"/>
      <c r="E1033" s="95"/>
      <c r="F1033" s="95"/>
      <c r="G1033" s="95"/>
      <c r="H1033" s="119"/>
      <c r="I1033" s="119"/>
      <c r="J1033" s="119"/>
      <c r="K1033" s="119"/>
      <c r="L1033" s="119"/>
      <c r="M1033" s="119"/>
    </row>
    <row r="1034" spans="1:13">
      <c r="B1034" s="95"/>
      <c r="C1034" s="95"/>
      <c r="D1034" s="95"/>
      <c r="E1034" s="95"/>
      <c r="F1034" s="95"/>
      <c r="G1034" s="95"/>
      <c r="H1034" s="119"/>
      <c r="I1034" s="119"/>
      <c r="J1034" s="119"/>
      <c r="K1034" s="119"/>
      <c r="L1034" s="119"/>
      <c r="M1034" s="119"/>
    </row>
    <row r="1035" spans="1:13">
      <c r="B1035" s="95"/>
      <c r="C1035" s="95"/>
      <c r="D1035" s="95"/>
      <c r="E1035" s="95"/>
      <c r="F1035" s="95"/>
      <c r="G1035" s="95"/>
      <c r="H1035" s="119"/>
      <c r="I1035" s="119"/>
      <c r="J1035" s="119"/>
      <c r="K1035" s="119"/>
      <c r="L1035" s="119"/>
      <c r="M1035" s="119"/>
    </row>
    <row r="1036" spans="1:13">
      <c r="B1036" s="95"/>
      <c r="C1036" s="95"/>
      <c r="D1036" s="95"/>
      <c r="E1036" s="95"/>
      <c r="F1036" s="95"/>
      <c r="G1036" s="95"/>
      <c r="H1036" s="119"/>
      <c r="I1036" s="119"/>
      <c r="J1036" s="119"/>
      <c r="K1036" s="119"/>
      <c r="L1036" s="119"/>
      <c r="M1036" s="119"/>
    </row>
    <row r="1037" spans="1:13">
      <c r="B1037" s="95"/>
      <c r="C1037" s="95"/>
      <c r="D1037" s="95"/>
      <c r="E1037" s="95"/>
      <c r="F1037" s="95"/>
      <c r="G1037" s="95"/>
      <c r="H1037" s="119"/>
      <c r="I1037" s="119"/>
      <c r="J1037" s="119"/>
      <c r="K1037" s="119"/>
      <c r="L1037" s="119"/>
      <c r="M1037" s="119"/>
    </row>
    <row r="1038" spans="1:13">
      <c r="B1038" s="95"/>
      <c r="C1038" s="95"/>
      <c r="D1038" s="95"/>
      <c r="E1038" s="95"/>
      <c r="F1038" s="95"/>
      <c r="G1038" s="95"/>
      <c r="H1038" s="119"/>
      <c r="I1038" s="119"/>
      <c r="J1038" s="119"/>
      <c r="K1038" s="119"/>
      <c r="L1038" s="119"/>
      <c r="M1038" s="119"/>
    </row>
    <row r="1039" spans="1:13">
      <c r="A1039" t="s">
        <v>235</v>
      </c>
      <c r="B1039" s="95">
        <f>B!L129</f>
        <v>24.365045833333337</v>
      </c>
      <c r="C1039" s="95">
        <f>'C'!L129</f>
        <v>24.944444444444446</v>
      </c>
      <c r="D1039" s="95">
        <f>D!L129</f>
        <v>24.666666666666671</v>
      </c>
      <c r="E1039" s="95">
        <f>E!L129</f>
        <v>25.000255781051795</v>
      </c>
      <c r="F1039" s="95">
        <f>F!L129</f>
        <v>25</v>
      </c>
      <c r="G1039" s="95">
        <f>G!L129</f>
        <v>25</v>
      </c>
      <c r="H1039" s="95">
        <f>YD!L129</f>
        <v>0</v>
      </c>
      <c r="I1039" s="95">
        <f>I!L129</f>
        <v>0</v>
      </c>
      <c r="J1039" s="95">
        <f>J!L129</f>
        <v>0</v>
      </c>
      <c r="K1039" s="119"/>
      <c r="L1039" s="119"/>
      <c r="M1039" s="119"/>
    </row>
    <row r="1040" spans="1:13">
      <c r="A1040" t="s">
        <v>236</v>
      </c>
      <c r="B1040" s="95">
        <f>B!L130</f>
        <v>24.353687500000003</v>
      </c>
      <c r="C1040" s="95">
        <f>'C'!L130</f>
        <v>24.944444444444446</v>
      </c>
      <c r="D1040" s="95">
        <f>D!L130</f>
        <v>24.944444444444446</v>
      </c>
      <c r="E1040" s="95">
        <f>E!L130</f>
        <v>25.000291827635262</v>
      </c>
      <c r="F1040" s="95">
        <f>F!L130</f>
        <v>25</v>
      </c>
      <c r="G1040" s="95">
        <f>G!L130</f>
        <v>25</v>
      </c>
      <c r="H1040" s="95">
        <f>YD!L130</f>
        <v>0</v>
      </c>
      <c r="I1040" s="95">
        <f>I!L130</f>
        <v>0</v>
      </c>
      <c r="J1040" s="95">
        <f>J!L130</f>
        <v>0</v>
      </c>
      <c r="K1040" s="119"/>
      <c r="L1040" s="119"/>
      <c r="M1040" s="119"/>
    </row>
    <row r="1044" spans="1:28" ht="15.75">
      <c r="A1044" s="58" t="s">
        <v>244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246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1"/>
      <c r="M1048" s="121"/>
      <c r="O1048" s="120"/>
      <c r="P1048" s="120"/>
      <c r="R1048" s="121"/>
      <c r="S1048" s="121"/>
      <c r="V1048" s="2"/>
      <c r="X1048" s="2"/>
      <c r="Y1048" s="2"/>
      <c r="AA1048" s="2"/>
      <c r="AB1048" s="2"/>
    </row>
    <row r="1049" spans="1:28">
      <c r="A1049" s="2"/>
      <c r="B1049" s="10" t="s">
        <v>245</v>
      </c>
      <c r="C1049" t="s">
        <v>77</v>
      </c>
      <c r="D1049" t="s">
        <v>78</v>
      </c>
      <c r="E1049" s="10" t="s">
        <v>257</v>
      </c>
      <c r="F1049" s="120" t="s">
        <v>77</v>
      </c>
      <c r="G1049" s="120" t="s">
        <v>78</v>
      </c>
      <c r="H1049" s="10" t="s">
        <v>258</v>
      </c>
      <c r="I1049" s="120" t="s">
        <v>77</v>
      </c>
      <c r="J1049" s="120" t="s">
        <v>78</v>
      </c>
      <c r="K1049" s="10" t="s">
        <v>515</v>
      </c>
      <c r="L1049" s="120" t="s">
        <v>77</v>
      </c>
      <c r="M1049" s="120" t="s">
        <v>78</v>
      </c>
      <c r="N1049" s="10" t="s">
        <v>373</v>
      </c>
      <c r="O1049" s="120" t="s">
        <v>77</v>
      </c>
      <c r="P1049" s="120" t="s">
        <v>78</v>
      </c>
      <c r="Q1049" s="10" t="s">
        <v>482</v>
      </c>
      <c r="R1049" s="120" t="s">
        <v>77</v>
      </c>
      <c r="S1049" s="120" t="s">
        <v>78</v>
      </c>
      <c r="T1049" s="10" t="s">
        <v>516</v>
      </c>
      <c r="U1049" s="120" t="s">
        <v>77</v>
      </c>
      <c r="V1049" s="120" t="s">
        <v>78</v>
      </c>
      <c r="W1049" s="10" t="s">
        <v>517</v>
      </c>
      <c r="X1049" s="120" t="s">
        <v>77</v>
      </c>
      <c r="Y1049" s="120" t="s">
        <v>78</v>
      </c>
      <c r="Z1049" s="10" t="s">
        <v>517</v>
      </c>
      <c r="AA1049" s="120" t="s">
        <v>77</v>
      </c>
      <c r="AB1049" s="120" t="s">
        <v>78</v>
      </c>
    </row>
    <row r="1050" spans="1:28">
      <c r="A1050" s="69" t="s">
        <v>91</v>
      </c>
      <c r="B1050" s="39">
        <f>B!Q62</f>
        <v>11626.03706926033</v>
      </c>
      <c r="C1050" s="12" t="str">
        <f>B!R62</f>
        <v>20-Jul</v>
      </c>
      <c r="D1050" s="12">
        <f>B!S62</f>
        <v>15</v>
      </c>
      <c r="E1050" s="131">
        <f>'C'!Q62</f>
        <v>11564</v>
      </c>
      <c r="F1050" s="126">
        <f>'C'!R62</f>
        <v>37457</v>
      </c>
      <c r="G1050" s="39">
        <f>'C'!S62</f>
        <v>15</v>
      </c>
      <c r="H1050" s="135">
        <f>D!Q62</f>
        <v>11602</v>
      </c>
      <c r="I1050" s="122">
        <f>D!R62</f>
        <v>37457</v>
      </c>
      <c r="J1050" s="122">
        <f>D!S62</f>
        <v>15</v>
      </c>
      <c r="K1050" s="135">
        <f>E!Q62</f>
        <v>11995.70893824355</v>
      </c>
      <c r="L1050" s="122" t="str">
        <f>E!R62</f>
        <v>07/20</v>
      </c>
      <c r="M1050" s="122" t="str">
        <f>E!S62</f>
        <v>15:00</v>
      </c>
      <c r="N1050" s="132">
        <f>F!Q62</f>
        <v>11932</v>
      </c>
      <c r="O1050" s="120">
        <f>F!R62</f>
        <v>202</v>
      </c>
      <c r="P1050" s="120">
        <f>F!S62</f>
        <v>15</v>
      </c>
      <c r="Q1050" s="132">
        <f>G!Q62</f>
        <v>11548</v>
      </c>
      <c r="R1050" s="120">
        <f>G!R62</f>
        <v>37822</v>
      </c>
      <c r="S1050" s="120">
        <f>G!S62</f>
        <v>15</v>
      </c>
      <c r="T1050">
        <f>YD!Q62</f>
        <v>0</v>
      </c>
      <c r="U1050">
        <f>YD!R62</f>
        <v>0</v>
      </c>
      <c r="V1050">
        <f>YD!S62</f>
        <v>0</v>
      </c>
      <c r="W1050" s="2">
        <f>I!Q62</f>
        <v>0</v>
      </c>
      <c r="X1050" s="2">
        <f>I!R62</f>
        <v>0</v>
      </c>
      <c r="Y1050" s="2">
        <f>I!S62</f>
        <v>0</v>
      </c>
      <c r="Z1050" s="2">
        <f>J!Q62</f>
        <v>0</v>
      </c>
      <c r="AA1050" s="2">
        <f>J!R62</f>
        <v>0</v>
      </c>
      <c r="AB1050" s="2">
        <f>J!S62</f>
        <v>0</v>
      </c>
    </row>
    <row r="1051" spans="1:28">
      <c r="A1051" s="69" t="s">
        <v>96</v>
      </c>
      <c r="B1051" s="39">
        <f>B!Q63</f>
        <v>12594.401556764305</v>
      </c>
      <c r="C1051" s="12" t="str">
        <f>B!R63</f>
        <v>20-Jul</v>
      </c>
      <c r="D1051" s="12">
        <f>B!S63</f>
        <v>15</v>
      </c>
      <c r="E1051" s="131">
        <f>'C'!Q63</f>
        <v>12583</v>
      </c>
      <c r="F1051" s="126">
        <f>'C'!R63</f>
        <v>37457</v>
      </c>
      <c r="G1051" s="39">
        <f>'C'!S63</f>
        <v>15</v>
      </c>
      <c r="H1051" s="135">
        <f>D!Q63</f>
        <v>12595</v>
      </c>
      <c r="I1051" s="122">
        <f>D!R63</f>
        <v>37457</v>
      </c>
      <c r="J1051" s="122">
        <f>D!S63</f>
        <v>15</v>
      </c>
      <c r="K1051" s="135">
        <f>E!Q63</f>
        <v>12572.07933649695</v>
      </c>
      <c r="L1051" s="122" t="str">
        <f>E!R63</f>
        <v>07/20</v>
      </c>
      <c r="M1051" s="122" t="str">
        <f>E!S63</f>
        <v>15:00</v>
      </c>
      <c r="N1051" s="132">
        <f>F!Q63</f>
        <v>12653</v>
      </c>
      <c r="O1051" s="120">
        <f>F!R63</f>
        <v>202</v>
      </c>
      <c r="P1051" s="120">
        <f>F!S63</f>
        <v>15</v>
      </c>
      <c r="Q1051" s="132">
        <f>G!Q63</f>
        <v>12162</v>
      </c>
      <c r="R1051" s="120">
        <f>G!R63</f>
        <v>37849</v>
      </c>
      <c r="S1051" s="120">
        <f>G!S63</f>
        <v>16</v>
      </c>
      <c r="T1051">
        <f>YD!Q63</f>
        <v>0</v>
      </c>
      <c r="U1051">
        <f>YD!R63</f>
        <v>0</v>
      </c>
      <c r="V1051">
        <f>YD!S63</f>
        <v>0</v>
      </c>
      <c r="W1051" s="2">
        <f>I!Q63</f>
        <v>0</v>
      </c>
      <c r="X1051" s="2">
        <f>I!R63</f>
        <v>0</v>
      </c>
      <c r="Y1051" s="2">
        <f>I!S63</f>
        <v>0</v>
      </c>
      <c r="Z1051" s="2">
        <f>J!Q63</f>
        <v>0</v>
      </c>
      <c r="AA1051" s="2">
        <f>J!R63</f>
        <v>0</v>
      </c>
      <c r="AB1051" s="2">
        <f>J!S63</f>
        <v>0</v>
      </c>
    </row>
    <row r="1052" spans="1:28">
      <c r="A1052" s="69" t="s">
        <v>98</v>
      </c>
      <c r="B1052" s="39">
        <f>B!Q64</f>
        <v>13028.198604878649</v>
      </c>
      <c r="C1052" s="12" t="str">
        <f>B!R64</f>
        <v>20-Jul</v>
      </c>
      <c r="D1052" s="12">
        <f>B!S64</f>
        <v>15</v>
      </c>
      <c r="E1052" s="131">
        <f>'C'!Q64</f>
        <v>12916</v>
      </c>
      <c r="F1052" s="126">
        <f>'C'!R64</f>
        <v>37457</v>
      </c>
      <c r="G1052" s="39">
        <f>'C'!S64</f>
        <v>15</v>
      </c>
      <c r="H1052" s="135">
        <f>D!Q64</f>
        <v>12981</v>
      </c>
      <c r="I1052" s="122">
        <f>D!R64</f>
        <v>37457</v>
      </c>
      <c r="J1052" s="122">
        <f>D!S64</f>
        <v>15</v>
      </c>
      <c r="K1052" s="135">
        <f>E!Q64</f>
        <v>12988.83919341615</v>
      </c>
      <c r="L1052" s="122" t="str">
        <f>E!R64</f>
        <v>07/20</v>
      </c>
      <c r="M1052" s="122" t="str">
        <f>E!S64</f>
        <v>15:00</v>
      </c>
      <c r="N1052" s="132">
        <f>F!Q64</f>
        <v>13104</v>
      </c>
      <c r="O1052" s="120">
        <f>F!R64</f>
        <v>202</v>
      </c>
      <c r="P1052" s="120">
        <f>F!S64</f>
        <v>15</v>
      </c>
      <c r="Q1052" s="132">
        <f>G!Q64</f>
        <v>12875</v>
      </c>
      <c r="R1052" s="120">
        <f>G!R64</f>
        <v>37822</v>
      </c>
      <c r="S1052" s="120">
        <f>G!S64</f>
        <v>14</v>
      </c>
      <c r="T1052">
        <f>YD!Q64</f>
        <v>0</v>
      </c>
      <c r="U1052">
        <f>YD!R64</f>
        <v>0</v>
      </c>
      <c r="V1052">
        <f>YD!S64</f>
        <v>0</v>
      </c>
      <c r="W1052" s="2">
        <f>I!Q64</f>
        <v>0</v>
      </c>
      <c r="X1052" s="2">
        <f>I!R64</f>
        <v>0</v>
      </c>
      <c r="Y1052" s="2">
        <f>I!S64</f>
        <v>0</v>
      </c>
      <c r="Z1052" s="2">
        <f>J!Q64</f>
        <v>0</v>
      </c>
      <c r="AA1052" s="2">
        <f>J!R64</f>
        <v>0</v>
      </c>
      <c r="AB1052" s="2">
        <f>J!S64</f>
        <v>0</v>
      </c>
    </row>
    <row r="1053" spans="1:28">
      <c r="A1053" s="69" t="s">
        <v>102</v>
      </c>
      <c r="B1053" s="39">
        <f>B!Q65</f>
        <v>13346.701022820673</v>
      </c>
      <c r="C1053" s="12" t="str">
        <f>B!R65</f>
        <v>20-Jul</v>
      </c>
      <c r="D1053" s="12">
        <f>B!S65</f>
        <v>15</v>
      </c>
      <c r="E1053" s="131">
        <f>'C'!Q65</f>
        <v>13212</v>
      </c>
      <c r="F1053" s="126">
        <f>'C'!R65</f>
        <v>37457</v>
      </c>
      <c r="G1053" s="39">
        <f>'C'!S65</f>
        <v>15</v>
      </c>
      <c r="H1053" s="135">
        <f>D!Q65</f>
        <v>13407</v>
      </c>
      <c r="I1053" s="122">
        <f>D!R65</f>
        <v>37457</v>
      </c>
      <c r="J1053" s="122">
        <f>D!S65</f>
        <v>15</v>
      </c>
      <c r="K1053" s="135">
        <f>E!Q65</f>
        <v>13356.234896114151</v>
      </c>
      <c r="L1053" s="122" t="str">
        <f>E!R65</f>
        <v>07/20</v>
      </c>
      <c r="M1053" s="122" t="str">
        <f>E!S65</f>
        <v>15:00</v>
      </c>
      <c r="N1053" s="132">
        <f>F!Q65</f>
        <v>13467</v>
      </c>
      <c r="O1053" s="120">
        <f>F!R65</f>
        <v>202</v>
      </c>
      <c r="P1053" s="120">
        <f>F!S65</f>
        <v>15</v>
      </c>
      <c r="Q1053" s="132">
        <f>G!Q65</f>
        <v>13335</v>
      </c>
      <c r="R1053" s="120">
        <f>G!R65</f>
        <v>37822</v>
      </c>
      <c r="S1053" s="120">
        <f>G!S65</f>
        <v>15</v>
      </c>
      <c r="T1053">
        <f>YD!Q65</f>
        <v>0</v>
      </c>
      <c r="U1053">
        <f>YD!R65</f>
        <v>0</v>
      </c>
      <c r="V1053">
        <f>YD!S65</f>
        <v>0</v>
      </c>
      <c r="W1053" s="2">
        <f>I!Q65</f>
        <v>0</v>
      </c>
      <c r="X1053" s="2">
        <f>I!R65</f>
        <v>0</v>
      </c>
      <c r="Y1053" s="2">
        <f>I!S65</f>
        <v>0</v>
      </c>
      <c r="Z1053" s="2">
        <f>J!Q65</f>
        <v>0</v>
      </c>
      <c r="AA1053" s="2">
        <f>J!R65</f>
        <v>0</v>
      </c>
      <c r="AB1053" s="2">
        <f>J!S65</f>
        <v>0</v>
      </c>
    </row>
    <row r="1054" spans="1:28">
      <c r="A1054" s="69" t="s">
        <v>356</v>
      </c>
      <c r="B1054" s="39">
        <f>B!Q66</f>
        <v>13180.901834486</v>
      </c>
      <c r="C1054" s="12" t="str">
        <f>B!R66</f>
        <v>20-Jul</v>
      </c>
      <c r="D1054" s="12">
        <f>B!S66</f>
        <v>15</v>
      </c>
      <c r="E1054" s="131">
        <f>'C'!Q66</f>
        <v>13158</v>
      </c>
      <c r="F1054" s="126">
        <f>'C'!R66</f>
        <v>37457</v>
      </c>
      <c r="G1054" s="39">
        <f>'C'!S66</f>
        <v>15</v>
      </c>
      <c r="H1054" s="135">
        <f>D!Q66</f>
        <v>13190</v>
      </c>
      <c r="I1054" s="122">
        <f>D!R66</f>
        <v>37457</v>
      </c>
      <c r="J1054" s="122">
        <f>D!S66</f>
        <v>15</v>
      </c>
      <c r="K1054" s="135">
        <f>E!Q66</f>
        <v>13174.92580781395</v>
      </c>
      <c r="L1054" s="122" t="str">
        <f>E!R66</f>
        <v>07/20</v>
      </c>
      <c r="M1054" s="122" t="str">
        <f>E!S66</f>
        <v>15:00</v>
      </c>
      <c r="N1054" s="132">
        <f>F!Q66</f>
        <v>13277</v>
      </c>
      <c r="O1054" s="120">
        <f>F!R66</f>
        <v>202</v>
      </c>
      <c r="P1054" s="120">
        <f>F!S66</f>
        <v>15</v>
      </c>
      <c r="Q1054" s="132">
        <f>G!Q66</f>
        <v>13101</v>
      </c>
      <c r="R1054" s="120">
        <f>G!R66</f>
        <v>37822</v>
      </c>
      <c r="S1054" s="120">
        <f>G!S66</f>
        <v>14</v>
      </c>
      <c r="T1054">
        <f>YD!Q66</f>
        <v>0</v>
      </c>
      <c r="U1054">
        <f>YD!R66</f>
        <v>0</v>
      </c>
      <c r="V1054">
        <f>YD!S66</f>
        <v>0</v>
      </c>
      <c r="W1054" s="2">
        <f>I!Q66</f>
        <v>0</v>
      </c>
      <c r="X1054" s="2">
        <f>I!R66</f>
        <v>0</v>
      </c>
      <c r="Y1054" s="2">
        <f>I!S66</f>
        <v>0</v>
      </c>
      <c r="Z1054" s="2">
        <f>J!Q66</f>
        <v>0</v>
      </c>
      <c r="AA1054" s="2">
        <f>J!R66</f>
        <v>0</v>
      </c>
      <c r="AB1054" s="2">
        <f>J!S66</f>
        <v>0</v>
      </c>
    </row>
    <row r="1055" spans="1:28">
      <c r="A1055" s="69" t="s">
        <v>105</v>
      </c>
      <c r="B1055" s="39">
        <f>B!Q67</f>
        <v>11626.889010941171</v>
      </c>
      <c r="C1055" s="12" t="str">
        <f>B!R67</f>
        <v>20-Jul</v>
      </c>
      <c r="D1055" s="12">
        <f>B!S67</f>
        <v>15</v>
      </c>
      <c r="E1055" s="131">
        <f>'C'!Q67</f>
        <v>11654</v>
      </c>
      <c r="F1055" s="126">
        <f>'C'!R67</f>
        <v>37457</v>
      </c>
      <c r="G1055" s="39">
        <f>'C'!S67</f>
        <v>15</v>
      </c>
      <c r="H1055" s="135">
        <f>D!Q67</f>
        <v>11602</v>
      </c>
      <c r="I1055" s="122">
        <f>D!R67</f>
        <v>37457</v>
      </c>
      <c r="J1055" s="122">
        <f>D!S67</f>
        <v>15</v>
      </c>
      <c r="K1055" s="135">
        <f>E!Q67</f>
        <v>11995.70169639605</v>
      </c>
      <c r="L1055" s="122" t="str">
        <f>E!R67</f>
        <v>07/20</v>
      </c>
      <c r="M1055" s="122" t="str">
        <f>E!S67</f>
        <v>15:00</v>
      </c>
      <c r="N1055" s="132">
        <f>F!Q67</f>
        <v>11932</v>
      </c>
      <c r="O1055" s="120">
        <f>F!R67</f>
        <v>202</v>
      </c>
      <c r="P1055" s="120">
        <f>F!S67</f>
        <v>15</v>
      </c>
      <c r="Q1055" s="132">
        <f>G!Q67</f>
        <v>11546</v>
      </c>
      <c r="R1055" s="120">
        <f>G!R67</f>
        <v>37822</v>
      </c>
      <c r="S1055" s="120">
        <f>G!S67</f>
        <v>15</v>
      </c>
      <c r="T1055">
        <f>YD!Q67</f>
        <v>0</v>
      </c>
      <c r="U1055">
        <f>YD!R67</f>
        <v>0</v>
      </c>
      <c r="V1055">
        <f>YD!S67</f>
        <v>0</v>
      </c>
      <c r="W1055" s="2">
        <f>I!Q67</f>
        <v>0</v>
      </c>
      <c r="X1055" s="2">
        <f>I!R67</f>
        <v>0</v>
      </c>
      <c r="Y1055" s="2">
        <f>I!S67</f>
        <v>0</v>
      </c>
      <c r="Z1055" s="2">
        <f>J!Q67</f>
        <v>0</v>
      </c>
      <c r="AA1055" s="2">
        <f>J!R67</f>
        <v>0</v>
      </c>
      <c r="AB1055" s="2">
        <f>J!S67</f>
        <v>0</v>
      </c>
    </row>
    <row r="1056" spans="1:28">
      <c r="A1056" s="69" t="s">
        <v>108</v>
      </c>
      <c r="B1056" s="39">
        <f>B!Q68</f>
        <v>12769.502182177162</v>
      </c>
      <c r="C1056" s="12" t="str">
        <f>B!R68</f>
        <v>20-Jul</v>
      </c>
      <c r="D1056" s="12">
        <f>B!S68</f>
        <v>15</v>
      </c>
      <c r="E1056" s="131">
        <f>'C'!Q68</f>
        <v>12736</v>
      </c>
      <c r="F1056" s="126">
        <f>'C'!R68</f>
        <v>37457</v>
      </c>
      <c r="G1056" s="39">
        <f>'C'!S68</f>
        <v>15</v>
      </c>
      <c r="H1056" s="135">
        <f>D!Q68</f>
        <v>12726</v>
      </c>
      <c r="I1056" s="122">
        <f>D!R68</f>
        <v>37457</v>
      </c>
      <c r="J1056" s="122">
        <f>D!S68</f>
        <v>15</v>
      </c>
      <c r="K1056" s="135">
        <f>E!Q68</f>
        <v>12776.42848399295</v>
      </c>
      <c r="L1056" s="122" t="str">
        <f>E!R68</f>
        <v>07/20</v>
      </c>
      <c r="M1056" s="122" t="str">
        <f>E!S68</f>
        <v>15:00</v>
      </c>
      <c r="N1056" s="132">
        <f>F!Q68</f>
        <v>12863</v>
      </c>
      <c r="O1056" s="120">
        <f>F!R68</f>
        <v>202</v>
      </c>
      <c r="P1056" s="120">
        <f>F!S68</f>
        <v>15</v>
      </c>
      <c r="Q1056" s="132">
        <f>G!Q68</f>
        <v>12762</v>
      </c>
      <c r="R1056" s="120">
        <f>G!R68</f>
        <v>37822</v>
      </c>
      <c r="S1056" s="120">
        <f>G!S68</f>
        <v>14</v>
      </c>
      <c r="T1056">
        <f>YD!Q68</f>
        <v>0</v>
      </c>
      <c r="U1056">
        <f>YD!R68</f>
        <v>0</v>
      </c>
      <c r="V1056">
        <f>YD!S68</f>
        <v>0</v>
      </c>
      <c r="W1056" s="2">
        <f>I!Q68</f>
        <v>0</v>
      </c>
      <c r="X1056" s="2">
        <f>I!R68</f>
        <v>0</v>
      </c>
      <c r="Y1056" s="2">
        <f>I!S68</f>
        <v>0</v>
      </c>
      <c r="Z1056" s="2">
        <f>J!Q68</f>
        <v>0</v>
      </c>
      <c r="AA1056" s="2">
        <f>J!R68</f>
        <v>0</v>
      </c>
      <c r="AB1056" s="2">
        <f>J!S68</f>
        <v>0</v>
      </c>
    </row>
    <row r="1057" spans="1:28">
      <c r="A1057" s="69" t="s">
        <v>109</v>
      </c>
      <c r="B1057" s="39">
        <f>B!Q69</f>
        <v>11627.867729678333</v>
      </c>
      <c r="C1057" s="12" t="str">
        <f>B!R69</f>
        <v>20-Jul</v>
      </c>
      <c r="D1057" s="12">
        <f>B!S69</f>
        <v>15</v>
      </c>
      <c r="E1057" s="131">
        <f>'C'!Q69</f>
        <v>11564</v>
      </c>
      <c r="F1057" s="126">
        <f>'C'!R69</f>
        <v>37457</v>
      </c>
      <c r="G1057" s="39">
        <f>'C'!S69</f>
        <v>15</v>
      </c>
      <c r="H1057" s="135">
        <f>D!Q69</f>
        <v>11677</v>
      </c>
      <c r="I1057" s="122">
        <f>D!R69</f>
        <v>38248</v>
      </c>
      <c r="J1057" s="122">
        <f>D!S69</f>
        <v>15</v>
      </c>
      <c r="K1057" s="135">
        <f>E!Q69</f>
        <v>11995.697398211951</v>
      </c>
      <c r="L1057" s="122" t="str">
        <f>E!R69</f>
        <v>07/20</v>
      </c>
      <c r="M1057" s="122" t="str">
        <f>E!S69</f>
        <v>15:00</v>
      </c>
      <c r="N1057" s="132">
        <f>F!Q69</f>
        <v>0</v>
      </c>
      <c r="O1057" s="120">
        <f>F!R69</f>
        <v>0</v>
      </c>
      <c r="P1057" s="120">
        <f>F!S69</f>
        <v>0</v>
      </c>
      <c r="Q1057" s="132">
        <f>G!Q69</f>
        <v>11519</v>
      </c>
      <c r="R1057" s="120">
        <f>G!R69</f>
        <v>37822</v>
      </c>
      <c r="S1057" s="120">
        <f>G!S69</f>
        <v>15</v>
      </c>
      <c r="T1057">
        <f>YD!Q69</f>
        <v>0</v>
      </c>
      <c r="U1057">
        <f>YD!R69</f>
        <v>0</v>
      </c>
      <c r="V1057">
        <f>YD!S69</f>
        <v>0</v>
      </c>
      <c r="W1057" s="2">
        <f>I!Q69</f>
        <v>0</v>
      </c>
      <c r="X1057" s="2">
        <f>I!R69</f>
        <v>0</v>
      </c>
      <c r="Y1057" s="2">
        <f>I!S69</f>
        <v>0</v>
      </c>
      <c r="Z1057" s="2">
        <f>J!Q69</f>
        <v>0</v>
      </c>
      <c r="AA1057" s="2">
        <f>J!R69</f>
        <v>0</v>
      </c>
      <c r="AB1057" s="2">
        <f>J!S69</f>
        <v>0</v>
      </c>
    </row>
    <row r="1058" spans="1:28">
      <c r="A1058" s="69" t="s">
        <v>111</v>
      </c>
      <c r="B1058" s="39">
        <f>B!Q70</f>
        <v>11627.867729678333</v>
      </c>
      <c r="C1058" s="12" t="str">
        <f>B!R70</f>
        <v>20-Jul</v>
      </c>
      <c r="D1058" s="12">
        <f>B!S70</f>
        <v>15</v>
      </c>
      <c r="E1058" s="131">
        <f>'C'!Q70</f>
        <v>11564</v>
      </c>
      <c r="F1058" s="126">
        <f>'C'!R70</f>
        <v>37457</v>
      </c>
      <c r="G1058" s="39">
        <f>'C'!S70</f>
        <v>15</v>
      </c>
      <c r="H1058" s="135">
        <f>D!Q70</f>
        <v>11602</v>
      </c>
      <c r="I1058" s="122">
        <f>D!R70</f>
        <v>37457</v>
      </c>
      <c r="J1058" s="122">
        <f>D!S70</f>
        <v>15</v>
      </c>
      <c r="K1058" s="135">
        <f>E!Q70</f>
        <v>11995.70893824355</v>
      </c>
      <c r="L1058" s="122" t="str">
        <f>E!R70</f>
        <v>07/20</v>
      </c>
      <c r="M1058" s="122" t="str">
        <f>E!S70</f>
        <v>15:00</v>
      </c>
      <c r="N1058" s="132">
        <f>F!Q70</f>
        <v>0</v>
      </c>
      <c r="O1058" s="120">
        <f>F!R70</f>
        <v>0</v>
      </c>
      <c r="P1058" s="120">
        <f>F!S70</f>
        <v>0</v>
      </c>
      <c r="Q1058" s="132">
        <f>G!Q70</f>
        <v>11549</v>
      </c>
      <c r="R1058" s="120">
        <f>G!R70</f>
        <v>37822</v>
      </c>
      <c r="S1058" s="120">
        <f>G!S70</f>
        <v>15</v>
      </c>
      <c r="T1058">
        <f>YD!Q70</f>
        <v>0</v>
      </c>
      <c r="U1058">
        <f>YD!R70</f>
        <v>0</v>
      </c>
      <c r="V1058">
        <f>YD!S70</f>
        <v>0</v>
      </c>
      <c r="W1058" s="2">
        <f>I!Q70</f>
        <v>0</v>
      </c>
      <c r="X1058" s="2">
        <f>I!R70</f>
        <v>0</v>
      </c>
      <c r="Y1058" s="2">
        <f>I!S70</f>
        <v>0</v>
      </c>
      <c r="Z1058" s="2">
        <f>J!Q70</f>
        <v>0</v>
      </c>
      <c r="AA1058" s="2">
        <f>J!R70</f>
        <v>0</v>
      </c>
      <c r="AB1058" s="2">
        <f>J!S70</f>
        <v>0</v>
      </c>
    </row>
    <row r="1059" spans="1:28">
      <c r="A1059" s="69" t="s">
        <v>112</v>
      </c>
      <c r="B1059" s="39">
        <f>B!Q71</f>
        <v>11626.03706926033</v>
      </c>
      <c r="C1059" s="12" t="str">
        <f>B!R71</f>
        <v>20-Jul</v>
      </c>
      <c r="D1059" s="12">
        <f>B!S71</f>
        <v>15</v>
      </c>
      <c r="E1059" s="131">
        <f>'C'!Q71</f>
        <v>11564</v>
      </c>
      <c r="F1059" s="126">
        <f>'C'!R71</f>
        <v>37457</v>
      </c>
      <c r="G1059" s="39">
        <f>'C'!S71</f>
        <v>15</v>
      </c>
      <c r="H1059" s="135">
        <f>D!Q71</f>
        <v>11602</v>
      </c>
      <c r="I1059" s="122">
        <f>D!R71</f>
        <v>37457</v>
      </c>
      <c r="J1059" s="122">
        <f>D!S71</f>
        <v>15</v>
      </c>
      <c r="K1059" s="135">
        <f>E!Q71</f>
        <v>11995.70893824355</v>
      </c>
      <c r="L1059" s="122" t="str">
        <f>E!R71</f>
        <v>07/20</v>
      </c>
      <c r="M1059" s="122" t="str">
        <f>E!S71</f>
        <v>15:00</v>
      </c>
      <c r="N1059" s="132">
        <f>F!Q71</f>
        <v>0</v>
      </c>
      <c r="O1059" s="120">
        <f>F!R71</f>
        <v>0</v>
      </c>
      <c r="P1059" s="120">
        <f>F!S71</f>
        <v>0</v>
      </c>
      <c r="Q1059" s="132">
        <f>G!Q71</f>
        <v>11548</v>
      </c>
      <c r="R1059" s="120">
        <f>G!R71</f>
        <v>37822</v>
      </c>
      <c r="S1059" s="120">
        <f>G!S71</f>
        <v>15</v>
      </c>
      <c r="T1059">
        <f>YD!Q71</f>
        <v>0</v>
      </c>
      <c r="U1059">
        <f>YD!R71</f>
        <v>0</v>
      </c>
      <c r="V1059">
        <f>YD!S71</f>
        <v>0</v>
      </c>
      <c r="W1059" s="2">
        <f>I!Q71</f>
        <v>0</v>
      </c>
      <c r="X1059" s="2">
        <f>I!R71</f>
        <v>0</v>
      </c>
      <c r="Y1059" s="2">
        <f>I!S71</f>
        <v>0</v>
      </c>
      <c r="Z1059" s="2">
        <f>J!Q71</f>
        <v>0</v>
      </c>
      <c r="AA1059" s="2">
        <f>J!R71</f>
        <v>0</v>
      </c>
      <c r="AB1059" s="2">
        <f>J!S71</f>
        <v>0</v>
      </c>
    </row>
    <row r="1060" spans="1:28">
      <c r="A1060" s="69" t="s">
        <v>113</v>
      </c>
      <c r="B1060" s="39">
        <f>B!Q72</f>
        <v>11626.03706926033</v>
      </c>
      <c r="C1060" s="12" t="str">
        <f>B!R72</f>
        <v>20-Jul</v>
      </c>
      <c r="D1060" s="12">
        <f>B!S72</f>
        <v>15</v>
      </c>
      <c r="E1060" s="131">
        <f>'C'!Q72</f>
        <v>11564</v>
      </c>
      <c r="F1060" s="126">
        <f>'C'!R72</f>
        <v>37457</v>
      </c>
      <c r="G1060" s="39">
        <f>'C'!S72</f>
        <v>15</v>
      </c>
      <c r="H1060" s="135">
        <f>D!Q72</f>
        <v>11602</v>
      </c>
      <c r="I1060" s="122">
        <f>D!R72</f>
        <v>37457</v>
      </c>
      <c r="J1060" s="122">
        <f>D!S72</f>
        <v>15</v>
      </c>
      <c r="K1060" s="135">
        <f>E!Q72</f>
        <v>11995.70893824365</v>
      </c>
      <c r="L1060" s="122" t="str">
        <f>E!R72</f>
        <v>07/20</v>
      </c>
      <c r="M1060" s="122" t="str">
        <f>E!S72</f>
        <v>15:00</v>
      </c>
      <c r="N1060" s="132">
        <f>F!Q72</f>
        <v>0</v>
      </c>
      <c r="O1060" s="120">
        <f>F!R72</f>
        <v>0</v>
      </c>
      <c r="P1060" s="120">
        <f>F!S72</f>
        <v>0</v>
      </c>
      <c r="Q1060" s="132">
        <f>G!Q72</f>
        <v>11548</v>
      </c>
      <c r="R1060" s="120">
        <f>G!R72</f>
        <v>37822</v>
      </c>
      <c r="S1060" s="120">
        <f>G!S72</f>
        <v>15</v>
      </c>
      <c r="T1060">
        <f>YD!Q72</f>
        <v>0</v>
      </c>
      <c r="U1060">
        <f>YD!R72</f>
        <v>0</v>
      </c>
      <c r="V1060">
        <f>YD!S72</f>
        <v>0</v>
      </c>
      <c r="W1060" s="2">
        <f>I!Q72</f>
        <v>0</v>
      </c>
      <c r="X1060" s="2">
        <f>I!R72</f>
        <v>0</v>
      </c>
      <c r="Y1060" s="2">
        <f>I!S72</f>
        <v>0</v>
      </c>
      <c r="Z1060" s="2">
        <f>J!Q72</f>
        <v>0</v>
      </c>
      <c r="AA1060" s="2">
        <f>J!R72</f>
        <v>0</v>
      </c>
      <c r="AB1060" s="2">
        <f>J!S72</f>
        <v>0</v>
      </c>
    </row>
    <row r="1061" spans="1:28">
      <c r="A1061" s="69" t="s">
        <v>114</v>
      </c>
      <c r="B1061" s="39">
        <f>B!Q73</f>
        <v>11626.03706926033</v>
      </c>
      <c r="C1061" s="12" t="str">
        <f>B!R73</f>
        <v>20-Jul</v>
      </c>
      <c r="D1061" s="12">
        <f>B!S73</f>
        <v>15</v>
      </c>
      <c r="E1061" s="131">
        <f>'C'!Q73</f>
        <v>11564</v>
      </c>
      <c r="F1061" s="126">
        <f>'C'!R73</f>
        <v>37457</v>
      </c>
      <c r="G1061" s="39">
        <f>'C'!S73</f>
        <v>15</v>
      </c>
      <c r="H1061" s="135">
        <f>D!Q73</f>
        <v>11602</v>
      </c>
      <c r="I1061" s="122">
        <f>D!R73</f>
        <v>37457</v>
      </c>
      <c r="J1061" s="122">
        <f>D!S73</f>
        <v>15</v>
      </c>
      <c r="K1061" s="135">
        <f>E!Q73</f>
        <v>11995.70893824365</v>
      </c>
      <c r="L1061" s="122" t="str">
        <f>E!R73</f>
        <v>07/20</v>
      </c>
      <c r="M1061" s="122" t="str">
        <f>E!S73</f>
        <v>15:00</v>
      </c>
      <c r="N1061" s="132">
        <f>F!Q73</f>
        <v>0</v>
      </c>
      <c r="O1061" s="120">
        <f>F!R73</f>
        <v>0</v>
      </c>
      <c r="P1061" s="120">
        <f>F!S73</f>
        <v>0</v>
      </c>
      <c r="Q1061" s="132">
        <f>G!Q73</f>
        <v>11461</v>
      </c>
      <c r="R1061" s="120">
        <f>G!R73</f>
        <v>37849</v>
      </c>
      <c r="S1061" s="120">
        <f>G!S73</f>
        <v>16</v>
      </c>
      <c r="T1061">
        <f>YD!Q73</f>
        <v>0</v>
      </c>
      <c r="U1061">
        <f>YD!R73</f>
        <v>0</v>
      </c>
      <c r="V1061">
        <f>YD!S73</f>
        <v>0</v>
      </c>
      <c r="W1061" s="2">
        <f>I!Q73</f>
        <v>0</v>
      </c>
      <c r="X1061" s="2">
        <f>I!R73</f>
        <v>0</v>
      </c>
      <c r="Y1061" s="2">
        <f>I!S73</f>
        <v>0</v>
      </c>
      <c r="Z1061" s="2">
        <f>J!Q73</f>
        <v>0</v>
      </c>
      <c r="AA1061" s="2">
        <f>J!R73</f>
        <v>0</v>
      </c>
      <c r="AB1061" s="2">
        <f>J!S73</f>
        <v>0</v>
      </c>
    </row>
    <row r="1062" spans="1:28">
      <c r="A1062" s="69" t="s">
        <v>115</v>
      </c>
      <c r="B1062" s="39">
        <f>B!Q74</f>
        <v>10166.483125274943</v>
      </c>
      <c r="C1062" s="12" t="str">
        <f>B!R74</f>
        <v>20-Jul</v>
      </c>
      <c r="D1062" s="12">
        <f>B!S74</f>
        <v>15</v>
      </c>
      <c r="E1062" s="131">
        <f>'C'!Q74</f>
        <v>10431</v>
      </c>
      <c r="F1062" s="126">
        <f>'C'!R74</f>
        <v>37457</v>
      </c>
      <c r="G1062" s="39">
        <f>'C'!S74</f>
        <v>15</v>
      </c>
      <c r="H1062" s="135">
        <f>D!Q74</f>
        <v>10425</v>
      </c>
      <c r="I1062" s="122">
        <f>D!R74</f>
        <v>37457</v>
      </c>
      <c r="J1062" s="122">
        <f>D!S74</f>
        <v>15</v>
      </c>
      <c r="K1062" s="135">
        <f>E!Q74</f>
        <v>10438.517476406219</v>
      </c>
      <c r="L1062" s="122" t="str">
        <f>E!R74</f>
        <v>07/20</v>
      </c>
      <c r="M1062" s="122" t="str">
        <f>E!S74</f>
        <v>15:00</v>
      </c>
      <c r="N1062" s="132">
        <f>F!Q74</f>
        <v>10177</v>
      </c>
      <c r="O1062" s="120">
        <f>F!R74</f>
        <v>202</v>
      </c>
      <c r="P1062" s="120">
        <f>F!S74</f>
        <v>15</v>
      </c>
      <c r="Q1062" s="132">
        <f>G!Q74</f>
        <v>10274</v>
      </c>
      <c r="R1062" s="120">
        <f>G!R74</f>
        <v>37776</v>
      </c>
      <c r="S1062" s="120">
        <f>G!S74</f>
        <v>15</v>
      </c>
      <c r="T1062">
        <f>YD!Q74</f>
        <v>0</v>
      </c>
      <c r="U1062">
        <f>YD!R74</f>
        <v>0</v>
      </c>
      <c r="V1062">
        <f>YD!S74</f>
        <v>0</v>
      </c>
      <c r="W1062" s="2">
        <f>I!Q74</f>
        <v>0</v>
      </c>
      <c r="X1062" s="2">
        <f>I!R74</f>
        <v>0</v>
      </c>
      <c r="Y1062" s="2">
        <f>I!S74</f>
        <v>0</v>
      </c>
      <c r="Z1062" s="2">
        <f>J!Q74</f>
        <v>0</v>
      </c>
      <c r="AA1062" s="2">
        <f>J!R74</f>
        <v>0</v>
      </c>
      <c r="AB1062" s="2">
        <f>J!S74</f>
        <v>0</v>
      </c>
    </row>
    <row r="1063" spans="1:28">
      <c r="A1063" s="69" t="s">
        <v>121</v>
      </c>
      <c r="B1063" s="39">
        <f>B!Q75</f>
        <v>11204.896753388282</v>
      </c>
      <c r="C1063" s="12" t="str">
        <f>B!R75</f>
        <v>20-Jul</v>
      </c>
      <c r="D1063" s="12">
        <f>B!S75</f>
        <v>15</v>
      </c>
      <c r="E1063" s="131">
        <f>'C'!Q75</f>
        <v>11590</v>
      </c>
      <c r="F1063" s="126">
        <f>'C'!R75</f>
        <v>37457</v>
      </c>
      <c r="G1063" s="39">
        <f>'C'!S75</f>
        <v>15</v>
      </c>
      <c r="H1063" s="135">
        <f>D!Q75</f>
        <v>11587</v>
      </c>
      <c r="I1063" s="122">
        <f>D!R75</f>
        <v>37457</v>
      </c>
      <c r="J1063" s="122">
        <f>D!S75</f>
        <v>15</v>
      </c>
      <c r="K1063" s="135">
        <f>E!Q75</f>
        <v>11450.751449098989</v>
      </c>
      <c r="L1063" s="122" t="str">
        <f>E!R75</f>
        <v>07/20</v>
      </c>
      <c r="M1063" s="122" t="str">
        <f>E!S75</f>
        <v>15:00</v>
      </c>
      <c r="N1063" s="132">
        <f>F!Q75</f>
        <v>11186</v>
      </c>
      <c r="O1063" s="120">
        <f>F!R75</f>
        <v>202</v>
      </c>
      <c r="P1063" s="120">
        <f>F!S75</f>
        <v>15</v>
      </c>
      <c r="Q1063" s="132">
        <f>G!Q75</f>
        <v>11344</v>
      </c>
      <c r="R1063" s="120">
        <f>G!R75</f>
        <v>37822</v>
      </c>
      <c r="S1063" s="120">
        <f>G!S75</f>
        <v>14</v>
      </c>
      <c r="T1063">
        <f>YD!Q75</f>
        <v>0</v>
      </c>
      <c r="U1063">
        <f>YD!R75</f>
        <v>0</v>
      </c>
      <c r="V1063">
        <f>YD!S75</f>
        <v>0</v>
      </c>
      <c r="W1063" s="2">
        <f>I!Q75</f>
        <v>0</v>
      </c>
      <c r="X1063" s="2">
        <f>I!R75</f>
        <v>0</v>
      </c>
      <c r="Y1063" s="2">
        <f>I!S75</f>
        <v>0</v>
      </c>
      <c r="Z1063" s="2">
        <f>J!Q75</f>
        <v>0</v>
      </c>
      <c r="AA1063" s="2">
        <f>J!R75</f>
        <v>0</v>
      </c>
      <c r="AB1063" s="2">
        <f>J!S75</f>
        <v>0</v>
      </c>
    </row>
    <row r="1064" spans="1:28">
      <c r="A1064" s="69" t="s">
        <v>125</v>
      </c>
      <c r="B1064" s="39">
        <f>B!Q76</f>
        <v>11035.389839962188</v>
      </c>
      <c r="C1064" s="12" t="str">
        <f>B!R76</f>
        <v>20-Jul</v>
      </c>
      <c r="D1064" s="12">
        <f>B!S76</f>
        <v>15</v>
      </c>
      <c r="E1064" s="131">
        <f>'C'!Q76</f>
        <v>10989</v>
      </c>
      <c r="F1064" s="126">
        <f>'C'!R76</f>
        <v>37457</v>
      </c>
      <c r="G1064" s="39">
        <f>'C'!S76</f>
        <v>15</v>
      </c>
      <c r="H1064" s="135">
        <f>D!Q76</f>
        <v>11014</v>
      </c>
      <c r="I1064" s="122">
        <f>D!R76</f>
        <v>37457</v>
      </c>
      <c r="J1064" s="122">
        <f>D!S76</f>
        <v>15</v>
      </c>
      <c r="K1064" s="135">
        <f>E!Q76</f>
        <v>11261.829575676351</v>
      </c>
      <c r="L1064" s="122" t="str">
        <f>E!R76</f>
        <v>07/20</v>
      </c>
      <c r="M1064" s="122" t="str">
        <f>E!S76</f>
        <v>15:00</v>
      </c>
      <c r="N1064" s="132">
        <f>F!Q76</f>
        <v>11044</v>
      </c>
      <c r="O1064" s="120">
        <f>F!R76</f>
        <v>202</v>
      </c>
      <c r="P1064" s="120">
        <f>F!S76</f>
        <v>15</v>
      </c>
      <c r="Q1064" s="132">
        <f>G!Q76</f>
        <v>10684</v>
      </c>
      <c r="R1064" s="120">
        <f>G!R76</f>
        <v>37776</v>
      </c>
      <c r="S1064" s="120">
        <f>G!S76</f>
        <v>15</v>
      </c>
      <c r="T1064">
        <f>YD!Q76</f>
        <v>0</v>
      </c>
      <c r="U1064">
        <f>YD!R76</f>
        <v>0</v>
      </c>
      <c r="V1064">
        <f>YD!S76</f>
        <v>0</v>
      </c>
      <c r="W1064" s="2">
        <f>I!Q76</f>
        <v>0</v>
      </c>
      <c r="X1064" s="2">
        <f>I!R76</f>
        <v>0</v>
      </c>
      <c r="Y1064" s="2">
        <f>I!S76</f>
        <v>0</v>
      </c>
      <c r="Z1064" s="2">
        <f>J!Q76</f>
        <v>0</v>
      </c>
      <c r="AA1064" s="2">
        <f>J!R76</f>
        <v>0</v>
      </c>
      <c r="AB1064" s="2">
        <f>J!S76</f>
        <v>0</v>
      </c>
    </row>
    <row r="1065" spans="1:28">
      <c r="A1065" s="69" t="s">
        <v>127</v>
      </c>
      <c r="B1065" s="39">
        <f>B!Q77</f>
        <v>10430.779128711938</v>
      </c>
      <c r="C1065" s="12" t="str">
        <f>B!R77</f>
        <v>20-Jul</v>
      </c>
      <c r="D1065" s="12">
        <f>B!S77</f>
        <v>15</v>
      </c>
      <c r="E1065" s="131">
        <f>'C'!Q77</f>
        <v>10972</v>
      </c>
      <c r="F1065" s="126">
        <f>'C'!R77</f>
        <v>37457</v>
      </c>
      <c r="G1065" s="39">
        <f>'C'!S77</f>
        <v>15</v>
      </c>
      <c r="H1065" s="135">
        <f>D!Q77</f>
        <v>10966</v>
      </c>
      <c r="I1065" s="122">
        <f>D!R77</f>
        <v>37457</v>
      </c>
      <c r="J1065" s="122">
        <f>D!S77</f>
        <v>15</v>
      </c>
      <c r="K1065" s="135">
        <f>E!Q77</f>
        <v>10902.67497611466</v>
      </c>
      <c r="L1065" s="122" t="str">
        <f>E!R77</f>
        <v>07/20</v>
      </c>
      <c r="M1065" s="122" t="str">
        <f>E!S77</f>
        <v>15:00</v>
      </c>
      <c r="N1065" s="132">
        <f>F!Q77</f>
        <v>10639</v>
      </c>
      <c r="O1065" s="120">
        <f>F!R77</f>
        <v>202</v>
      </c>
      <c r="P1065" s="120">
        <f>F!S77</f>
        <v>15</v>
      </c>
      <c r="Q1065" s="132">
        <f>G!Q77</f>
        <v>10747</v>
      </c>
      <c r="R1065" s="120">
        <f>G!R77</f>
        <v>37849</v>
      </c>
      <c r="S1065" s="120">
        <f>G!S77</f>
        <v>15</v>
      </c>
      <c r="T1065">
        <f>YD!Q77</f>
        <v>0</v>
      </c>
      <c r="U1065">
        <f>YD!R77</f>
        <v>0</v>
      </c>
      <c r="V1065">
        <f>YD!S77</f>
        <v>0</v>
      </c>
      <c r="W1065" s="2">
        <f>I!Q77</f>
        <v>0</v>
      </c>
      <c r="X1065" s="2">
        <f>I!R77</f>
        <v>0</v>
      </c>
      <c r="Y1065" s="2">
        <f>I!S77</f>
        <v>0</v>
      </c>
      <c r="Z1065" s="2">
        <f>J!Q77</f>
        <v>0</v>
      </c>
      <c r="AA1065" s="2">
        <f>J!R77</f>
        <v>0</v>
      </c>
      <c r="AB1065" s="2">
        <f>J!S77</f>
        <v>0</v>
      </c>
    </row>
    <row r="1066" spans="1:28">
      <c r="A1066" s="69" t="s">
        <v>130</v>
      </c>
      <c r="B1066" s="39">
        <f>B!Q78</f>
        <v>9366.7480928703299</v>
      </c>
      <c r="C1066" s="12" t="str">
        <f>B!R78</f>
        <v>20-Jul</v>
      </c>
      <c r="D1066" s="12">
        <f>B!S78</f>
        <v>15</v>
      </c>
      <c r="E1066" s="131">
        <f>'C'!Q78</f>
        <v>9538</v>
      </c>
      <c r="F1066" s="126">
        <f>'C'!R78</f>
        <v>37457</v>
      </c>
      <c r="G1066" s="39">
        <f>'C'!S78</f>
        <v>15</v>
      </c>
      <c r="H1066" s="135">
        <f>D!Q78</f>
        <v>9531</v>
      </c>
      <c r="I1066" s="122">
        <f>D!R78</f>
        <v>37457</v>
      </c>
      <c r="J1066" s="122">
        <f>D!S78</f>
        <v>15</v>
      </c>
      <c r="K1066" s="135">
        <f>E!Q78</f>
        <v>9588.2505528908587</v>
      </c>
      <c r="L1066" s="122" t="str">
        <f>E!R78</f>
        <v>07/20</v>
      </c>
      <c r="M1066" s="122" t="str">
        <f>E!S78</f>
        <v>15:00</v>
      </c>
      <c r="N1066" s="132">
        <f>F!Q78</f>
        <v>9419</v>
      </c>
      <c r="O1066" s="120">
        <f>F!R78</f>
        <v>202</v>
      </c>
      <c r="P1066" s="120">
        <f>F!S78</f>
        <v>15</v>
      </c>
      <c r="Q1066" s="132">
        <f>G!Q78</f>
        <v>9585</v>
      </c>
      <c r="R1066" s="120">
        <f>G!R78</f>
        <v>37849</v>
      </c>
      <c r="S1066" s="120">
        <f>G!S78</f>
        <v>15</v>
      </c>
      <c r="T1066">
        <f>YD!Q78</f>
        <v>0</v>
      </c>
      <c r="U1066">
        <f>YD!R78</f>
        <v>0</v>
      </c>
      <c r="V1066">
        <f>YD!S78</f>
        <v>0</v>
      </c>
      <c r="W1066" s="2">
        <f>I!Q78</f>
        <v>0</v>
      </c>
      <c r="X1066" s="2">
        <f>I!R78</f>
        <v>0</v>
      </c>
      <c r="Y1066" s="2">
        <f>I!S78</f>
        <v>0</v>
      </c>
      <c r="Z1066" s="2">
        <f>J!Q78</f>
        <v>0</v>
      </c>
      <c r="AA1066" s="2">
        <f>J!R78</f>
        <v>0</v>
      </c>
      <c r="AB1066" s="2">
        <f>J!S78</f>
        <v>0</v>
      </c>
    </row>
    <row r="1067" spans="1:28">
      <c r="A1067" s="69" t="s">
        <v>132</v>
      </c>
      <c r="B1067" s="39">
        <f>B!Q79</f>
        <v>8028.3285466124171</v>
      </c>
      <c r="C1067" s="12" t="str">
        <f>B!R79</f>
        <v>20-Jul</v>
      </c>
      <c r="D1067" s="12">
        <f>B!S79</f>
        <v>15</v>
      </c>
      <c r="E1067" s="131">
        <f>'C'!Q79</f>
        <v>8059</v>
      </c>
      <c r="F1067" s="126">
        <f>'C'!R79</f>
        <v>37457</v>
      </c>
      <c r="G1067" s="39">
        <f>'C'!S79</f>
        <v>15</v>
      </c>
      <c r="H1067" s="135">
        <f>D!Q79</f>
        <v>8055</v>
      </c>
      <c r="I1067" s="122">
        <f>D!R79</f>
        <v>37457</v>
      </c>
      <c r="J1067" s="122">
        <f>D!S79</f>
        <v>15</v>
      </c>
      <c r="K1067" s="135">
        <f>E!Q79</f>
        <v>8293.0409630453032</v>
      </c>
      <c r="L1067" s="122" t="str">
        <f>E!R79</f>
        <v>07/20</v>
      </c>
      <c r="M1067" s="122" t="str">
        <f>E!S79</f>
        <v>15:00</v>
      </c>
      <c r="N1067" s="132">
        <f>F!Q79</f>
        <v>7992</v>
      </c>
      <c r="O1067" s="120">
        <f>F!R79</f>
        <v>202</v>
      </c>
      <c r="P1067" s="120">
        <f>F!S79</f>
        <v>15</v>
      </c>
      <c r="Q1067" s="132">
        <f>G!Q79</f>
        <v>8089</v>
      </c>
      <c r="R1067" s="120">
        <f>G!R79</f>
        <v>37849</v>
      </c>
      <c r="S1067" s="120">
        <f>G!S79</f>
        <v>15</v>
      </c>
      <c r="T1067">
        <f>YD!Q79</f>
        <v>0</v>
      </c>
      <c r="U1067">
        <f>YD!R79</f>
        <v>0</v>
      </c>
      <c r="V1067">
        <f>YD!S79</f>
        <v>0</v>
      </c>
      <c r="W1067" s="2">
        <f>I!Q79</f>
        <v>0</v>
      </c>
      <c r="X1067" s="2">
        <f>I!R79</f>
        <v>0</v>
      </c>
      <c r="Y1067" s="2">
        <f>I!S79</f>
        <v>0</v>
      </c>
      <c r="Z1067" s="2">
        <f>J!Q79</f>
        <v>0</v>
      </c>
      <c r="AA1067" s="2">
        <f>J!R79</f>
        <v>0</v>
      </c>
      <c r="AB1067" s="2">
        <f>J!S79</f>
        <v>0</v>
      </c>
    </row>
    <row r="1068" spans="1:28">
      <c r="A1068" s="69" t="s">
        <v>135</v>
      </c>
      <c r="B1068" s="39">
        <f>B!Q80</f>
        <v>8698.956160670863</v>
      </c>
      <c r="C1068" s="12" t="str">
        <f>B!R80</f>
        <v>20-Jul</v>
      </c>
      <c r="D1068" s="12">
        <f>B!S80</f>
        <v>15</v>
      </c>
      <c r="E1068" s="131">
        <f>'C'!Q80</f>
        <v>8943</v>
      </c>
      <c r="F1068" s="126">
        <f>'C'!R80</f>
        <v>37457</v>
      </c>
      <c r="G1068" s="39">
        <f>'C'!S80</f>
        <v>15</v>
      </c>
      <c r="H1068" s="135">
        <f>D!Q80</f>
        <v>8939</v>
      </c>
      <c r="I1068" s="122">
        <f>D!R80</f>
        <v>37457</v>
      </c>
      <c r="J1068" s="122">
        <f>D!S80</f>
        <v>15</v>
      </c>
      <c r="K1068" s="135">
        <f>E!Q80</f>
        <v>9076.4427814605297</v>
      </c>
      <c r="L1068" s="122" t="str">
        <f>E!R80</f>
        <v>07/20</v>
      </c>
      <c r="M1068" s="122" t="str">
        <f>E!S80</f>
        <v>15:00</v>
      </c>
      <c r="N1068" s="132">
        <f>F!Q80</f>
        <v>8846</v>
      </c>
      <c r="O1068" s="120">
        <f>F!R80</f>
        <v>202</v>
      </c>
      <c r="P1068" s="120">
        <f>F!S80</f>
        <v>15</v>
      </c>
      <c r="Q1068" s="132">
        <f>G!Q80</f>
        <v>8985</v>
      </c>
      <c r="R1068" s="120">
        <f>G!R80</f>
        <v>37849</v>
      </c>
      <c r="S1068" s="120">
        <f>G!S80</f>
        <v>15</v>
      </c>
      <c r="T1068">
        <f>YD!Q80</f>
        <v>0</v>
      </c>
      <c r="U1068">
        <f>YD!R80</f>
        <v>0</v>
      </c>
      <c r="V1068">
        <f>YD!S80</f>
        <v>0</v>
      </c>
      <c r="W1068" s="2">
        <f>I!Q80</f>
        <v>0</v>
      </c>
      <c r="X1068" s="2">
        <f>I!R80</f>
        <v>0</v>
      </c>
      <c r="Y1068" s="2">
        <f>I!S80</f>
        <v>0</v>
      </c>
      <c r="Z1068" s="2">
        <f>J!Q80</f>
        <v>0</v>
      </c>
      <c r="AA1068" s="2">
        <f>J!R80</f>
        <v>0</v>
      </c>
      <c r="AB1068" s="2">
        <f>J!S80</f>
        <v>0</v>
      </c>
    </row>
    <row r="1069" spans="1:28">
      <c r="A1069" s="70" t="s">
        <v>138</v>
      </c>
      <c r="B1069" s="39">
        <f>B!Q81</f>
        <v>7204.8270241150658</v>
      </c>
      <c r="C1069" s="12" t="str">
        <f>B!R81</f>
        <v>20-Jul</v>
      </c>
      <c r="D1069" s="12">
        <f>B!S81</f>
        <v>15</v>
      </c>
      <c r="E1069" s="131">
        <f>'C'!Q81</f>
        <v>7350</v>
      </c>
      <c r="F1069" s="126">
        <f>'C'!R81</f>
        <v>37457</v>
      </c>
      <c r="G1069" s="39">
        <f>'C'!S81</f>
        <v>15</v>
      </c>
      <c r="H1069" s="135">
        <f>D!Q81</f>
        <v>7346</v>
      </c>
      <c r="I1069" s="122">
        <f>D!R81</f>
        <v>37457</v>
      </c>
      <c r="J1069" s="122">
        <f>D!S81</f>
        <v>15</v>
      </c>
      <c r="K1069" s="135">
        <f>E!Q81</f>
        <v>7767.9889719023276</v>
      </c>
      <c r="L1069" s="122" t="str">
        <f>E!R81</f>
        <v>07/20</v>
      </c>
      <c r="M1069" s="122" t="str">
        <f>E!S81</f>
        <v>15:00</v>
      </c>
      <c r="N1069" s="132">
        <f>F!Q81</f>
        <v>7351</v>
      </c>
      <c r="O1069" s="120">
        <f>F!R81</f>
        <v>202</v>
      </c>
      <c r="P1069" s="120">
        <f>F!S81</f>
        <v>15</v>
      </c>
      <c r="Q1069" s="132">
        <f>G!Q81</f>
        <v>7471</v>
      </c>
      <c r="R1069" s="120">
        <f>G!R81</f>
        <v>37776</v>
      </c>
      <c r="S1069" s="120">
        <f>G!S81</f>
        <v>15</v>
      </c>
      <c r="T1069">
        <f>YD!Q81</f>
        <v>0</v>
      </c>
      <c r="U1069">
        <f>YD!R81</f>
        <v>0</v>
      </c>
      <c r="V1069">
        <f>YD!S81</f>
        <v>0</v>
      </c>
      <c r="W1069" s="2">
        <f>I!Q81</f>
        <v>0</v>
      </c>
      <c r="X1069" s="2">
        <f>I!R81</f>
        <v>0</v>
      </c>
      <c r="Y1069" s="2">
        <f>I!S81</f>
        <v>0</v>
      </c>
      <c r="Z1069" s="2">
        <f>J!Q81</f>
        <v>0</v>
      </c>
      <c r="AA1069" s="2">
        <f>J!R81</f>
        <v>0</v>
      </c>
      <c r="AB1069" s="2">
        <f>J!S81</f>
        <v>0</v>
      </c>
    </row>
    <row r="1070" spans="1:28">
      <c r="A1070" s="2"/>
      <c r="B1070" s="39"/>
      <c r="C1070" s="12"/>
      <c r="D1070" s="12"/>
      <c r="E1070" s="131"/>
      <c r="F1070" s="39"/>
      <c r="G1070" s="39"/>
      <c r="H1070" s="136"/>
      <c r="I1070" s="123"/>
      <c r="J1070" s="123"/>
      <c r="K1070" s="136"/>
      <c r="L1070" s="123"/>
      <c r="M1070" s="123"/>
      <c r="N1070" s="132"/>
      <c r="O1070" s="120"/>
      <c r="P1070" s="120"/>
      <c r="Q1070" s="132"/>
      <c r="R1070" s="123"/>
      <c r="S1070" s="123"/>
      <c r="T1070" s="123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39"/>
      <c r="C1071" s="12"/>
      <c r="D1071" s="12"/>
      <c r="E1071" s="131"/>
      <c r="F1071" s="39"/>
      <c r="G1071" s="39"/>
      <c r="H1071" s="136"/>
      <c r="I1071" s="123"/>
      <c r="J1071" s="123"/>
      <c r="K1071" s="136"/>
      <c r="L1071" s="123"/>
      <c r="M1071" s="123"/>
      <c r="N1071" s="132"/>
      <c r="O1071" s="120"/>
      <c r="P1071" s="120"/>
      <c r="Q1071" s="132"/>
      <c r="R1071" s="123"/>
      <c r="S1071" s="123"/>
      <c r="T1071" s="123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39"/>
      <c r="C1072" s="12"/>
      <c r="D1072" s="12"/>
      <c r="E1072" s="131"/>
      <c r="F1072" s="39"/>
      <c r="G1072" s="39"/>
      <c r="H1072" s="136"/>
      <c r="I1072" s="123"/>
      <c r="J1072" s="123"/>
      <c r="K1072" s="136"/>
      <c r="L1072" s="123"/>
      <c r="M1072" s="123"/>
      <c r="N1072" s="132"/>
      <c r="O1072" s="120"/>
      <c r="P1072" s="120"/>
      <c r="Q1072" s="132"/>
      <c r="R1072" s="123"/>
      <c r="S1072" s="123"/>
      <c r="T1072" s="123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39"/>
      <c r="C1073" s="12"/>
      <c r="D1073" s="12"/>
      <c r="E1073" s="131"/>
      <c r="F1073" s="39"/>
      <c r="G1073" s="39"/>
      <c r="H1073" s="136"/>
      <c r="I1073" s="123"/>
      <c r="J1073" s="123"/>
      <c r="K1073" s="136"/>
      <c r="L1073" s="123"/>
      <c r="M1073" s="123"/>
      <c r="N1073" s="132"/>
      <c r="O1073" s="120"/>
      <c r="P1073" s="120"/>
      <c r="Q1073" s="132"/>
      <c r="R1073" s="123"/>
      <c r="S1073" s="123"/>
      <c r="T1073" s="123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39"/>
      <c r="C1074" s="12"/>
      <c r="D1074" s="12"/>
      <c r="E1074" s="131"/>
      <c r="F1074" s="39"/>
      <c r="G1074" s="39"/>
      <c r="H1074" s="136"/>
      <c r="I1074" s="123"/>
      <c r="J1074" s="123"/>
      <c r="K1074" s="136"/>
      <c r="L1074" s="123"/>
      <c r="M1074" s="123"/>
      <c r="N1074" s="132"/>
      <c r="O1074" s="120"/>
      <c r="P1074" s="120"/>
      <c r="Q1074" s="132"/>
      <c r="R1074" s="123"/>
      <c r="S1074" s="123"/>
      <c r="T1074" s="123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39"/>
      <c r="C1075" s="12"/>
      <c r="D1075" s="12"/>
      <c r="E1075" s="131"/>
      <c r="F1075" s="39"/>
      <c r="G1075" s="39"/>
      <c r="H1075" s="136"/>
      <c r="I1075" s="123"/>
      <c r="J1075" s="123"/>
      <c r="K1075" s="136"/>
      <c r="L1075" s="123"/>
      <c r="M1075" s="123"/>
      <c r="N1075" s="132"/>
      <c r="O1075" s="120"/>
      <c r="P1075" s="120"/>
      <c r="Q1075" s="132"/>
      <c r="R1075" s="123"/>
      <c r="S1075" s="123"/>
      <c r="T1075" s="123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B1076" s="120"/>
      <c r="E1076" s="132"/>
      <c r="F1076" s="120"/>
      <c r="G1076" s="120"/>
      <c r="H1076" s="136"/>
      <c r="I1076" s="123"/>
      <c r="J1076" s="123"/>
      <c r="K1076" s="136"/>
      <c r="L1076" s="123"/>
      <c r="M1076" s="123"/>
      <c r="N1076" s="132"/>
      <c r="O1076" s="120"/>
      <c r="P1076" s="120"/>
      <c r="Q1076" s="132"/>
      <c r="R1076" s="123"/>
      <c r="S1076" s="123"/>
      <c r="T1076" s="123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241</v>
      </c>
      <c r="B1077" s="39"/>
      <c r="C1077" s="12"/>
      <c r="D1077" s="12"/>
      <c r="E1077" s="131"/>
      <c r="F1077" s="39"/>
      <c r="G1077" s="39"/>
      <c r="H1077" s="137"/>
      <c r="I1077" s="121"/>
      <c r="J1077" s="121"/>
      <c r="K1077" s="137"/>
      <c r="L1077" s="121"/>
      <c r="M1077" s="121"/>
      <c r="N1077" s="132"/>
      <c r="O1077" s="120"/>
      <c r="P1077" s="120"/>
      <c r="Q1077" s="132"/>
      <c r="R1077" s="121"/>
      <c r="S1077" s="121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F1078" s="120"/>
      <c r="G1078" s="120"/>
      <c r="H1078" s="130"/>
      <c r="I1078" s="121"/>
      <c r="J1078" s="121"/>
      <c r="K1078" s="10"/>
      <c r="L1078" s="121"/>
      <c r="M1078" s="121"/>
      <c r="N1078" s="10"/>
      <c r="O1078" s="120"/>
      <c r="P1078" s="120"/>
      <c r="Q1078" s="132"/>
      <c r="R1078" s="121"/>
      <c r="S1078" s="121"/>
    </row>
    <row r="1079" spans="1:28">
      <c r="A1079" s="2"/>
      <c r="B1079" s="10" t="s">
        <v>245</v>
      </c>
      <c r="C1079" t="s">
        <v>77</v>
      </c>
      <c r="D1079" t="s">
        <v>78</v>
      </c>
      <c r="E1079" s="10" t="s">
        <v>257</v>
      </c>
      <c r="F1079" s="120" t="s">
        <v>77</v>
      </c>
      <c r="G1079" s="120" t="s">
        <v>78</v>
      </c>
      <c r="H1079" s="10" t="s">
        <v>258</v>
      </c>
      <c r="I1079" s="120" t="s">
        <v>77</v>
      </c>
      <c r="J1079" s="120" t="s">
        <v>78</v>
      </c>
      <c r="K1079" s="10" t="s">
        <v>515</v>
      </c>
      <c r="L1079" s="120" t="s">
        <v>77</v>
      </c>
      <c r="M1079" s="120" t="s">
        <v>78</v>
      </c>
      <c r="N1079" s="10" t="s">
        <v>373</v>
      </c>
      <c r="O1079" s="120" t="s">
        <v>77</v>
      </c>
      <c r="P1079" s="120" t="s">
        <v>78</v>
      </c>
      <c r="Q1079" s="10" t="s">
        <v>482</v>
      </c>
      <c r="R1079" s="120" t="s">
        <v>77</v>
      </c>
      <c r="S1079" s="120" t="s">
        <v>78</v>
      </c>
      <c r="T1079" s="10" t="s">
        <v>516</v>
      </c>
      <c r="U1079" s="120" t="s">
        <v>77</v>
      </c>
      <c r="V1079" s="120" t="s">
        <v>78</v>
      </c>
      <c r="W1079" s="10" t="s">
        <v>517</v>
      </c>
      <c r="X1079" s="120" t="s">
        <v>77</v>
      </c>
      <c r="Y1079" s="120" t="s">
        <v>78</v>
      </c>
      <c r="Z1079" s="10" t="s">
        <v>517</v>
      </c>
      <c r="AA1079" s="120" t="s">
        <v>77</v>
      </c>
      <c r="AB1079" s="120" t="s">
        <v>78</v>
      </c>
    </row>
    <row r="1080" spans="1:28">
      <c r="A1080" s="69" t="s">
        <v>91</v>
      </c>
      <c r="B1080" s="39">
        <f>B!T62</f>
        <v>23277.4</v>
      </c>
      <c r="C1080" s="49" t="str">
        <f>B!U62</f>
        <v>20-Jul</v>
      </c>
      <c r="D1080">
        <f>B!V62</f>
        <v>16</v>
      </c>
      <c r="E1080" s="131">
        <f>'C'!T62</f>
        <v>23203</v>
      </c>
      <c r="F1080" s="124">
        <f>'C'!U62</f>
        <v>37457</v>
      </c>
      <c r="G1080" s="120">
        <f>'C'!V62</f>
        <v>15</v>
      </c>
      <c r="H1080" s="135">
        <f>D!T62</f>
        <v>23205</v>
      </c>
      <c r="I1080" s="124">
        <f>D!U62</f>
        <v>37457</v>
      </c>
      <c r="J1080" s="120">
        <f>D!V62</f>
        <v>15</v>
      </c>
      <c r="K1080" s="135">
        <f>E!T62</f>
        <v>23463.175508715332</v>
      </c>
      <c r="L1080" s="120" t="str">
        <f>E!U62</f>
        <v>07/20</v>
      </c>
      <c r="M1080" s="120" t="str">
        <f>E!V62</f>
        <v>15:00</v>
      </c>
      <c r="N1080" s="132">
        <f>F!T62</f>
        <v>23457</v>
      </c>
      <c r="O1080" s="120">
        <f>F!U62</f>
        <v>202</v>
      </c>
      <c r="P1080" s="120">
        <f>F!V62</f>
        <v>15</v>
      </c>
      <c r="Q1080" s="132">
        <f>G!T62</f>
        <v>22908</v>
      </c>
      <c r="R1080" s="120">
        <f>G!U62</f>
        <v>37776</v>
      </c>
      <c r="S1080" s="120">
        <f>G!V62</f>
        <v>15</v>
      </c>
      <c r="T1080">
        <f>YD!T62</f>
        <v>0</v>
      </c>
      <c r="U1080">
        <f>YD!U62</f>
        <v>0</v>
      </c>
      <c r="V1080">
        <f>YD!V62</f>
        <v>0</v>
      </c>
      <c r="W1080">
        <f>I!T62</f>
        <v>0</v>
      </c>
      <c r="X1080">
        <f>I!U62</f>
        <v>0</v>
      </c>
      <c r="Y1080">
        <f>I!V62</f>
        <v>0</v>
      </c>
      <c r="Z1080">
        <f>J!T62</f>
        <v>0</v>
      </c>
      <c r="AA1080">
        <f>J!U62</f>
        <v>0</v>
      </c>
      <c r="AB1080">
        <f>J!V62</f>
        <v>0</v>
      </c>
    </row>
    <row r="1081" spans="1:28">
      <c r="A1081" s="69" t="s">
        <v>96</v>
      </c>
      <c r="B1081" s="39">
        <f>B!T63</f>
        <v>23094.3</v>
      </c>
      <c r="C1081" s="49" t="str">
        <f>B!U63</f>
        <v>10-Sep</v>
      </c>
      <c r="D1081">
        <f>B!V63</f>
        <v>15</v>
      </c>
      <c r="E1081" s="131">
        <f>'C'!T63</f>
        <v>23080</v>
      </c>
      <c r="F1081" s="124">
        <f>'C'!U63</f>
        <v>38240</v>
      </c>
      <c r="G1081" s="120">
        <f>'C'!V63</f>
        <v>16</v>
      </c>
      <c r="H1081" s="135">
        <f>D!T63</f>
        <v>23119</v>
      </c>
      <c r="I1081" s="124">
        <f>D!U63</f>
        <v>38142</v>
      </c>
      <c r="J1081" s="120">
        <f>D!V63</f>
        <v>16</v>
      </c>
      <c r="K1081" s="135">
        <f>E!T63</f>
        <v>23145.065142337222</v>
      </c>
      <c r="L1081" s="120" t="str">
        <f>E!U63</f>
        <v>07/11</v>
      </c>
      <c r="M1081" s="120" t="str">
        <f>E!V63</f>
        <v>16:00</v>
      </c>
      <c r="N1081" s="132">
        <f>F!T63</f>
        <v>23078</v>
      </c>
      <c r="O1081" s="120">
        <f>F!U63</f>
        <v>254</v>
      </c>
      <c r="P1081" s="120">
        <f>F!V63</f>
        <v>15</v>
      </c>
      <c r="Q1081" s="132">
        <f>G!T63</f>
        <v>22649</v>
      </c>
      <c r="R1081" s="120">
        <f>G!U63</f>
        <v>37785</v>
      </c>
      <c r="S1081" s="120">
        <f>G!V63</f>
        <v>16</v>
      </c>
      <c r="T1081">
        <f>YD!T63</f>
        <v>0</v>
      </c>
      <c r="U1081">
        <f>YD!U63</f>
        <v>0</v>
      </c>
      <c r="V1081">
        <f>YD!V63</f>
        <v>0</v>
      </c>
      <c r="W1081">
        <f>I!T63</f>
        <v>0</v>
      </c>
      <c r="X1081">
        <f>I!U63</f>
        <v>0</v>
      </c>
      <c r="Y1081">
        <f>I!V63</f>
        <v>0</v>
      </c>
      <c r="Z1081">
        <f>J!T63</f>
        <v>0</v>
      </c>
      <c r="AA1081">
        <f>J!U63</f>
        <v>0</v>
      </c>
      <c r="AB1081">
        <f>J!V63</f>
        <v>0</v>
      </c>
    </row>
    <row r="1082" spans="1:28">
      <c r="A1082" s="69" t="s">
        <v>98</v>
      </c>
      <c r="B1082" s="39">
        <f>B!T64</f>
        <v>31315.599999999999</v>
      </c>
      <c r="C1082" s="49" t="str">
        <f>B!U64</f>
        <v>24-Apr</v>
      </c>
      <c r="D1082">
        <f>B!V64</f>
        <v>16</v>
      </c>
      <c r="E1082" s="131">
        <f>'C'!T64</f>
        <v>31119</v>
      </c>
      <c r="F1082" s="124">
        <f>'C'!U64</f>
        <v>38101</v>
      </c>
      <c r="G1082" s="120">
        <f>'C'!V64</f>
        <v>16</v>
      </c>
      <c r="H1082" s="135">
        <f>D!T64</f>
        <v>31072</v>
      </c>
      <c r="I1082" s="124">
        <f>D!U64</f>
        <v>37370</v>
      </c>
      <c r="J1082" s="120">
        <f>D!V64</f>
        <v>16</v>
      </c>
      <c r="K1082" s="135">
        <f>E!T64</f>
        <v>31528.725409228056</v>
      </c>
      <c r="L1082" s="120" t="str">
        <f>E!U64</f>
        <v>04/24</v>
      </c>
      <c r="M1082" s="120" t="str">
        <f>E!V64</f>
        <v>15:00</v>
      </c>
      <c r="N1082" s="132">
        <f>F!T64</f>
        <v>31134</v>
      </c>
      <c r="O1082" s="120">
        <f>F!U64</f>
        <v>155</v>
      </c>
      <c r="P1082" s="120">
        <f>F!V64</f>
        <v>16</v>
      </c>
      <c r="Q1082" s="132">
        <f>G!T64</f>
        <v>30967</v>
      </c>
      <c r="R1082" s="120">
        <f>G!U64</f>
        <v>37735</v>
      </c>
      <c r="S1082" s="120">
        <f>G!V64</f>
        <v>15</v>
      </c>
      <c r="T1082">
        <f>YD!T64</f>
        <v>0</v>
      </c>
      <c r="U1082">
        <f>YD!U64</f>
        <v>0</v>
      </c>
      <c r="V1082">
        <f>YD!V64</f>
        <v>0</v>
      </c>
      <c r="W1082">
        <f>I!T64</f>
        <v>0</v>
      </c>
      <c r="X1082">
        <f>I!U64</f>
        <v>0</v>
      </c>
      <c r="Y1082">
        <f>I!V64</f>
        <v>0</v>
      </c>
      <c r="Z1082">
        <f>J!T64</f>
        <v>0</v>
      </c>
      <c r="AA1082">
        <f>J!U64</f>
        <v>0</v>
      </c>
      <c r="AB1082">
        <f>J!V64</f>
        <v>0</v>
      </c>
    </row>
    <row r="1083" spans="1:28">
      <c r="A1083" s="69" t="s">
        <v>102</v>
      </c>
      <c r="B1083" s="39">
        <f>B!T65</f>
        <v>33226.1</v>
      </c>
      <c r="C1083" s="49" t="str">
        <f>B!U65</f>
        <v>14-Jun</v>
      </c>
      <c r="D1083">
        <f>B!V65</f>
        <v>14</v>
      </c>
      <c r="E1083" s="131">
        <f>'C'!T65</f>
        <v>33410</v>
      </c>
      <c r="F1083" s="124">
        <f>'C'!U65</f>
        <v>37421</v>
      </c>
      <c r="G1083" s="120">
        <f>'C'!V65</f>
        <v>14</v>
      </c>
      <c r="H1083" s="135">
        <f>D!T65</f>
        <v>34490</v>
      </c>
      <c r="I1083" s="124">
        <f>D!U65</f>
        <v>37421</v>
      </c>
      <c r="J1083" s="120">
        <f>D!V65</f>
        <v>15</v>
      </c>
      <c r="K1083" s="135">
        <f>E!T65</f>
        <v>34692.193139345552</v>
      </c>
      <c r="L1083" s="120" t="str">
        <f>E!U65</f>
        <v>06/14</v>
      </c>
      <c r="M1083" s="120" t="str">
        <f>E!V65</f>
        <v>14:00</v>
      </c>
      <c r="N1083" s="132">
        <f>F!T65</f>
        <v>33997</v>
      </c>
      <c r="O1083" s="120">
        <f>F!U65</f>
        <v>115</v>
      </c>
      <c r="P1083" s="120">
        <f>F!V65</f>
        <v>16</v>
      </c>
      <c r="Q1083" s="132">
        <f>G!T65</f>
        <v>33421</v>
      </c>
      <c r="R1083" s="120">
        <f>G!U65</f>
        <v>37873</v>
      </c>
      <c r="S1083" s="120">
        <f>G!V65</f>
        <v>14</v>
      </c>
      <c r="T1083">
        <f>YD!T65</f>
        <v>0</v>
      </c>
      <c r="U1083">
        <f>YD!U65</f>
        <v>0</v>
      </c>
      <c r="V1083">
        <f>YD!V65</f>
        <v>0</v>
      </c>
      <c r="W1083">
        <f>I!T65</f>
        <v>0</v>
      </c>
      <c r="X1083">
        <f>I!U65</f>
        <v>0</v>
      </c>
      <c r="Y1083">
        <f>I!V65</f>
        <v>0</v>
      </c>
      <c r="Z1083">
        <f>J!T65</f>
        <v>0</v>
      </c>
      <c r="AA1083">
        <f>J!U65</f>
        <v>0</v>
      </c>
      <c r="AB1083">
        <f>J!V65</f>
        <v>0</v>
      </c>
    </row>
    <row r="1084" spans="1:28">
      <c r="A1084" s="69" t="s">
        <v>356</v>
      </c>
      <c r="B1084" s="39">
        <f>B!T66</f>
        <v>32828.9</v>
      </c>
      <c r="C1084" s="49" t="str">
        <f>B!U66</f>
        <v>24-Apr</v>
      </c>
      <c r="D1084">
        <f>B!V66</f>
        <v>15</v>
      </c>
      <c r="E1084" s="131">
        <f>'C'!T66</f>
        <v>32086</v>
      </c>
      <c r="F1084" s="124">
        <f>'C'!U66</f>
        <v>37392</v>
      </c>
      <c r="G1084" s="120">
        <f>'C'!V66</f>
        <v>16</v>
      </c>
      <c r="H1084" s="135">
        <f>D!T66</f>
        <v>32086</v>
      </c>
      <c r="I1084" s="124">
        <f>D!U66</f>
        <v>37392</v>
      </c>
      <c r="J1084" s="120">
        <f>D!V66</f>
        <v>16</v>
      </c>
      <c r="K1084" s="135">
        <f>E!T66</f>
        <v>32737.101095173057</v>
      </c>
      <c r="L1084" s="120" t="str">
        <f>E!U66</f>
        <v>04/24</v>
      </c>
      <c r="M1084" s="120" t="str">
        <f>E!V66</f>
        <v>15:00</v>
      </c>
      <c r="N1084" s="132">
        <f>F!T66</f>
        <v>32940</v>
      </c>
      <c r="O1084" s="120">
        <f>F!U66</f>
        <v>115</v>
      </c>
      <c r="P1084" s="120">
        <f>F!V66</f>
        <v>16</v>
      </c>
      <c r="Q1084" s="132">
        <f>G!T66</f>
        <v>32180</v>
      </c>
      <c r="R1084" s="120">
        <f>G!U66</f>
        <v>37735</v>
      </c>
      <c r="S1084" s="120">
        <f>G!V66</f>
        <v>15</v>
      </c>
      <c r="T1084">
        <f>YD!T66</f>
        <v>0</v>
      </c>
      <c r="U1084">
        <f>YD!U66</f>
        <v>0</v>
      </c>
      <c r="V1084">
        <f>YD!V66</f>
        <v>0</v>
      </c>
      <c r="W1084">
        <f>I!T66</f>
        <v>0</v>
      </c>
      <c r="X1084">
        <f>I!U66</f>
        <v>0</v>
      </c>
      <c r="Y1084">
        <f>I!V66</f>
        <v>0</v>
      </c>
      <c r="Z1084">
        <f>J!T66</f>
        <v>0</v>
      </c>
      <c r="AA1084">
        <f>J!U66</f>
        <v>0</v>
      </c>
      <c r="AB1084">
        <f>J!V66</f>
        <v>0</v>
      </c>
    </row>
    <row r="1085" spans="1:28">
      <c r="A1085" s="69" t="s">
        <v>105</v>
      </c>
      <c r="B1085" s="39">
        <f>B!T67</f>
        <v>23277.5</v>
      </c>
      <c r="C1085" s="49" t="str">
        <f>B!U67</f>
        <v>29-Jul</v>
      </c>
      <c r="D1085">
        <f>B!V67</f>
        <v>15</v>
      </c>
      <c r="E1085" s="131">
        <f>'C'!T67</f>
        <v>23203</v>
      </c>
      <c r="F1085" s="124">
        <f>'C'!U67</f>
        <v>37457</v>
      </c>
      <c r="G1085" s="120">
        <f>'C'!V67</f>
        <v>15</v>
      </c>
      <c r="H1085" s="135">
        <f>D!T67</f>
        <v>23205</v>
      </c>
      <c r="I1085" s="124">
        <f>D!U67</f>
        <v>37457</v>
      </c>
      <c r="J1085" s="120">
        <f>D!V67</f>
        <v>15</v>
      </c>
      <c r="K1085" s="135">
        <f>E!T67</f>
        <v>23463.135987177277</v>
      </c>
      <c r="L1085" s="120" t="str">
        <f>E!U67</f>
        <v>07/20</v>
      </c>
      <c r="M1085" s="120" t="str">
        <f>E!V67</f>
        <v>15:00</v>
      </c>
      <c r="N1085" s="132">
        <f>F!T67</f>
        <v>23457</v>
      </c>
      <c r="O1085" s="120">
        <f>F!U67</f>
        <v>202</v>
      </c>
      <c r="P1085" s="120">
        <f>F!V67</f>
        <v>15</v>
      </c>
      <c r="Q1085" s="132">
        <f>G!T67</f>
        <v>22876</v>
      </c>
      <c r="R1085" s="120">
        <f>G!U67</f>
        <v>37812</v>
      </c>
      <c r="S1085" s="120">
        <f>G!V67</f>
        <v>15</v>
      </c>
      <c r="T1085">
        <f>YD!T67</f>
        <v>0</v>
      </c>
      <c r="U1085">
        <f>YD!U67</f>
        <v>0</v>
      </c>
      <c r="V1085">
        <f>YD!V67</f>
        <v>0</v>
      </c>
      <c r="W1085">
        <f>I!T67</f>
        <v>0</v>
      </c>
      <c r="X1085">
        <f>I!U67</f>
        <v>0</v>
      </c>
      <c r="Y1085">
        <f>I!V67</f>
        <v>0</v>
      </c>
      <c r="Z1085">
        <f>J!T67</f>
        <v>0</v>
      </c>
      <c r="AA1085">
        <f>J!U67</f>
        <v>0</v>
      </c>
      <c r="AB1085">
        <f>J!V67</f>
        <v>0</v>
      </c>
    </row>
    <row r="1086" spans="1:28">
      <c r="A1086" s="69" t="s">
        <v>108</v>
      </c>
      <c r="B1086" s="39">
        <f>B!T68</f>
        <v>32060.7</v>
      </c>
      <c r="C1086" s="49" t="str">
        <f>B!U68</f>
        <v>24-Apr</v>
      </c>
      <c r="D1086">
        <f>B!V68</f>
        <v>16</v>
      </c>
      <c r="E1086" s="131">
        <f>'C'!T68</f>
        <v>32111</v>
      </c>
      <c r="F1086" s="124">
        <f>'C'!U68</f>
        <v>37735</v>
      </c>
      <c r="G1086" s="120">
        <f>'C'!V68</f>
        <v>16</v>
      </c>
      <c r="H1086" s="135">
        <f>D!T68</f>
        <v>32065</v>
      </c>
      <c r="I1086" s="124">
        <f>D!U68</f>
        <v>38101</v>
      </c>
      <c r="J1086" s="120">
        <f>D!V68</f>
        <v>16</v>
      </c>
      <c r="K1086" s="135">
        <f>E!T68</f>
        <v>32409.297602015555</v>
      </c>
      <c r="L1086" s="120" t="str">
        <f>E!U68</f>
        <v>04/24</v>
      </c>
      <c r="M1086" s="120" t="str">
        <f>E!V68</f>
        <v>16:00</v>
      </c>
      <c r="N1086" s="132">
        <f>F!T68</f>
        <v>31981</v>
      </c>
      <c r="O1086" s="120">
        <f>F!U68</f>
        <v>115</v>
      </c>
      <c r="P1086" s="120">
        <f>F!V68</f>
        <v>16</v>
      </c>
      <c r="Q1086" s="132">
        <f>G!T68</f>
        <v>32179</v>
      </c>
      <c r="R1086" s="120">
        <f>G!U68</f>
        <v>37735</v>
      </c>
      <c r="S1086" s="120">
        <f>G!V68</f>
        <v>15</v>
      </c>
      <c r="T1086">
        <f>YD!T68</f>
        <v>0</v>
      </c>
      <c r="U1086">
        <f>YD!U68</f>
        <v>0</v>
      </c>
      <c r="V1086">
        <f>YD!V68</f>
        <v>0</v>
      </c>
      <c r="W1086">
        <f>I!T68</f>
        <v>0</v>
      </c>
      <c r="X1086">
        <f>I!U68</f>
        <v>0</v>
      </c>
      <c r="Y1086">
        <f>I!V68</f>
        <v>0</v>
      </c>
      <c r="Z1086">
        <f>J!T68</f>
        <v>0</v>
      </c>
      <c r="AA1086">
        <f>J!U68</f>
        <v>0</v>
      </c>
      <c r="AB1086">
        <f>J!V68</f>
        <v>0</v>
      </c>
    </row>
    <row r="1087" spans="1:28">
      <c r="A1087" s="69" t="s">
        <v>109</v>
      </c>
      <c r="B1087" s="39">
        <f>B!T69</f>
        <v>23277.5</v>
      </c>
      <c r="C1087" s="49" t="str">
        <f>B!U69</f>
        <v>29-Jul</v>
      </c>
      <c r="D1087">
        <f>B!V69</f>
        <v>15</v>
      </c>
      <c r="E1087" s="131">
        <f>'C'!T69</f>
        <v>23203</v>
      </c>
      <c r="F1087" s="124">
        <f>'C'!U69</f>
        <v>37457</v>
      </c>
      <c r="G1087" s="120">
        <f>'C'!V69</f>
        <v>15</v>
      </c>
      <c r="H1087" s="135">
        <f>D!T69</f>
        <v>23205</v>
      </c>
      <c r="I1087" s="124">
        <f>D!U69</f>
        <v>37457</v>
      </c>
      <c r="J1087" s="120">
        <f>D!V69</f>
        <v>15</v>
      </c>
      <c r="K1087" s="135">
        <f>E!T69</f>
        <v>23463.122178536581</v>
      </c>
      <c r="L1087" s="120" t="str">
        <f>E!U69</f>
        <v>07/20</v>
      </c>
      <c r="M1087" s="120" t="str">
        <f>E!V69</f>
        <v>15:00</v>
      </c>
      <c r="N1087" s="132">
        <f>F!T69</f>
        <v>0</v>
      </c>
      <c r="O1087" s="120">
        <f>F!U69</f>
        <v>0</v>
      </c>
      <c r="P1087" s="120">
        <f>F!V69</f>
        <v>0</v>
      </c>
      <c r="Q1087" s="132">
        <f>G!T69</f>
        <v>22877</v>
      </c>
      <c r="R1087" s="120">
        <f>G!U69</f>
        <v>37810</v>
      </c>
      <c r="S1087" s="120">
        <f>G!V69</f>
        <v>16</v>
      </c>
      <c r="T1087">
        <f>YD!T69</f>
        <v>0</v>
      </c>
      <c r="U1087">
        <f>YD!U69</f>
        <v>0</v>
      </c>
      <c r="V1087">
        <f>YD!V69</f>
        <v>0</v>
      </c>
      <c r="W1087">
        <f>I!T69</f>
        <v>0</v>
      </c>
      <c r="X1087">
        <f>I!U69</f>
        <v>0</v>
      </c>
      <c r="Y1087">
        <f>I!V69</f>
        <v>0</v>
      </c>
      <c r="Z1087">
        <f>J!T69</f>
        <v>0</v>
      </c>
      <c r="AA1087">
        <f>J!U69</f>
        <v>0</v>
      </c>
      <c r="AB1087">
        <f>J!V69</f>
        <v>0</v>
      </c>
    </row>
    <row r="1088" spans="1:28">
      <c r="A1088" s="69" t="s">
        <v>111</v>
      </c>
      <c r="B1088" s="39">
        <f>B!T70</f>
        <v>23265.7</v>
      </c>
      <c r="C1088" s="49" t="str">
        <f>B!U70</f>
        <v>10-Sep</v>
      </c>
      <c r="D1088">
        <f>B!V70</f>
        <v>16</v>
      </c>
      <c r="E1088" s="131">
        <f>'C'!T70</f>
        <v>23203</v>
      </c>
      <c r="F1088" s="124">
        <f>'C'!U70</f>
        <v>37457</v>
      </c>
      <c r="G1088" s="120">
        <f>'C'!V70</f>
        <v>15</v>
      </c>
      <c r="H1088" s="135">
        <f>D!T70</f>
        <v>23205</v>
      </c>
      <c r="I1088" s="124">
        <f>D!U70</f>
        <v>37457</v>
      </c>
      <c r="J1088" s="120">
        <f>D!V70</f>
        <v>15</v>
      </c>
      <c r="K1088" s="135">
        <f>E!T70</f>
        <v>23463.175508715001</v>
      </c>
      <c r="L1088" s="120" t="str">
        <f>E!U70</f>
        <v>07/20</v>
      </c>
      <c r="M1088" s="120" t="str">
        <f>E!V70</f>
        <v>15:00</v>
      </c>
      <c r="N1088" s="132">
        <f>F!T70</f>
        <v>0</v>
      </c>
      <c r="O1088" s="120">
        <f>F!U70</f>
        <v>0</v>
      </c>
      <c r="P1088" s="120">
        <f>F!V70</f>
        <v>0</v>
      </c>
      <c r="Q1088" s="132">
        <f>G!T70</f>
        <v>22893</v>
      </c>
      <c r="R1088" s="120">
        <f>G!U70</f>
        <v>37831</v>
      </c>
      <c r="S1088" s="120">
        <f>G!V70</f>
        <v>15</v>
      </c>
      <c r="T1088">
        <f>YD!T70</f>
        <v>0</v>
      </c>
      <c r="U1088">
        <f>YD!U70</f>
        <v>0</v>
      </c>
      <c r="V1088">
        <f>YD!V70</f>
        <v>0</v>
      </c>
      <c r="W1088">
        <f>I!T70</f>
        <v>0</v>
      </c>
      <c r="X1088">
        <f>I!U70</f>
        <v>0</v>
      </c>
      <c r="Y1088">
        <f>I!V70</f>
        <v>0</v>
      </c>
      <c r="Z1088">
        <f>J!T70</f>
        <v>0</v>
      </c>
      <c r="AA1088">
        <f>J!U70</f>
        <v>0</v>
      </c>
      <c r="AB1088">
        <f>J!V70</f>
        <v>0</v>
      </c>
    </row>
    <row r="1089" spans="1:28">
      <c r="A1089" s="69" t="s">
        <v>112</v>
      </c>
      <c r="B1089" s="39">
        <f>B!T71</f>
        <v>23277.4</v>
      </c>
      <c r="C1089" s="49" t="str">
        <f>B!U71</f>
        <v>20-Jul</v>
      </c>
      <c r="D1089">
        <f>B!V71</f>
        <v>16</v>
      </c>
      <c r="E1089" s="131">
        <f>'C'!T71</f>
        <v>23203</v>
      </c>
      <c r="F1089" s="124">
        <f>'C'!U71</f>
        <v>37457</v>
      </c>
      <c r="G1089" s="120">
        <f>'C'!V71</f>
        <v>15</v>
      </c>
      <c r="H1089" s="135">
        <f>D!T71</f>
        <v>23205</v>
      </c>
      <c r="I1089" s="124">
        <f>D!U71</f>
        <v>37457</v>
      </c>
      <c r="J1089" s="120">
        <f>D!V71</f>
        <v>15</v>
      </c>
      <c r="K1089" s="135">
        <f>E!T71</f>
        <v>23463.175508715362</v>
      </c>
      <c r="L1089" s="120" t="str">
        <f>E!U71</f>
        <v>07/20</v>
      </c>
      <c r="M1089" s="120" t="str">
        <f>E!V71</f>
        <v>15:00</v>
      </c>
      <c r="N1089" s="132">
        <f>F!T71</f>
        <v>0</v>
      </c>
      <c r="O1089" s="120">
        <f>F!U71</f>
        <v>0</v>
      </c>
      <c r="P1089" s="120">
        <f>F!V71</f>
        <v>0</v>
      </c>
      <c r="Q1089" s="132">
        <f>G!T71</f>
        <v>22893</v>
      </c>
      <c r="R1089" s="120">
        <f>G!U71</f>
        <v>37831</v>
      </c>
      <c r="S1089" s="120">
        <f>G!V71</f>
        <v>15</v>
      </c>
      <c r="T1089">
        <f>YD!T71</f>
        <v>0</v>
      </c>
      <c r="U1089">
        <f>YD!U71</f>
        <v>0</v>
      </c>
      <c r="V1089">
        <f>YD!V71</f>
        <v>0</v>
      </c>
      <c r="W1089">
        <f>I!T71</f>
        <v>0</v>
      </c>
      <c r="X1089">
        <f>I!U71</f>
        <v>0</v>
      </c>
      <c r="Y1089">
        <f>I!V71</f>
        <v>0</v>
      </c>
      <c r="Z1089">
        <f>J!T71</f>
        <v>0</v>
      </c>
      <c r="AA1089">
        <f>J!U71</f>
        <v>0</v>
      </c>
      <c r="AB1089">
        <f>J!V71</f>
        <v>0</v>
      </c>
    </row>
    <row r="1090" spans="1:28">
      <c r="A1090" s="69" t="s">
        <v>113</v>
      </c>
      <c r="B1090" s="39">
        <f>B!T72</f>
        <v>23277.4</v>
      </c>
      <c r="C1090" s="49" t="str">
        <f>B!U72</f>
        <v>20-Jul</v>
      </c>
      <c r="D1090">
        <f>B!V72</f>
        <v>16</v>
      </c>
      <c r="E1090" s="131">
        <f>'C'!T72</f>
        <v>23203</v>
      </c>
      <c r="F1090" s="124">
        <f>'C'!U72</f>
        <v>37457</v>
      </c>
      <c r="G1090" s="120">
        <f>'C'!V72</f>
        <v>15</v>
      </c>
      <c r="H1090" s="135">
        <f>D!T72</f>
        <v>23205</v>
      </c>
      <c r="I1090" s="124">
        <f>D!U72</f>
        <v>37457</v>
      </c>
      <c r="J1090" s="120">
        <f>D!V72</f>
        <v>15</v>
      </c>
      <c r="K1090" s="135">
        <f>E!T72</f>
        <v>23463.175508715834</v>
      </c>
      <c r="L1090" s="120" t="str">
        <f>E!U72</f>
        <v>07/20</v>
      </c>
      <c r="M1090" s="120" t="str">
        <f>E!V72</f>
        <v>15:00</v>
      </c>
      <c r="N1090" s="132">
        <f>F!T72</f>
        <v>0</v>
      </c>
      <c r="O1090" s="120">
        <f>F!U72</f>
        <v>0</v>
      </c>
      <c r="P1090" s="120">
        <f>F!V72</f>
        <v>0</v>
      </c>
      <c r="Q1090" s="132">
        <f>G!T72</f>
        <v>22893</v>
      </c>
      <c r="R1090" s="120">
        <f>G!U72</f>
        <v>37831</v>
      </c>
      <c r="S1090" s="120">
        <f>G!V72</f>
        <v>15</v>
      </c>
      <c r="T1090">
        <f>YD!T72</f>
        <v>0</v>
      </c>
      <c r="U1090">
        <f>YD!U72</f>
        <v>0</v>
      </c>
      <c r="V1090">
        <f>YD!V72</f>
        <v>0</v>
      </c>
      <c r="W1090">
        <f>I!T72</f>
        <v>0</v>
      </c>
      <c r="X1090">
        <f>I!U72</f>
        <v>0</v>
      </c>
      <c r="Y1090">
        <f>I!V72</f>
        <v>0</v>
      </c>
      <c r="Z1090">
        <f>J!T72</f>
        <v>0</v>
      </c>
      <c r="AA1090">
        <f>J!U72</f>
        <v>0</v>
      </c>
      <c r="AB1090">
        <f>J!V72</f>
        <v>0</v>
      </c>
    </row>
    <row r="1091" spans="1:28">
      <c r="A1091" s="69" t="s">
        <v>114</v>
      </c>
      <c r="B1091" s="39">
        <f>B!T73</f>
        <v>23277.4</v>
      </c>
      <c r="C1091" s="49" t="str">
        <f>B!U73</f>
        <v>20-Jul</v>
      </c>
      <c r="D1091">
        <f>B!V73</f>
        <v>16</v>
      </c>
      <c r="E1091" s="131">
        <f>'C'!T73</f>
        <v>23203</v>
      </c>
      <c r="F1091" s="124">
        <f>'C'!U73</f>
        <v>37457</v>
      </c>
      <c r="G1091" s="120">
        <f>'C'!V73</f>
        <v>15</v>
      </c>
      <c r="H1091" s="135">
        <f>D!T73</f>
        <v>23205</v>
      </c>
      <c r="I1091" s="124">
        <f>D!U73</f>
        <v>37457</v>
      </c>
      <c r="J1091" s="120">
        <f>D!V73</f>
        <v>15</v>
      </c>
      <c r="K1091" s="135">
        <f>E!T73</f>
        <v>23463.175508715638</v>
      </c>
      <c r="L1091" s="120" t="str">
        <f>E!U73</f>
        <v>07/20</v>
      </c>
      <c r="M1091" s="120" t="str">
        <f>E!V73</f>
        <v>15:00</v>
      </c>
      <c r="N1091" s="132">
        <f>F!T73</f>
        <v>0</v>
      </c>
      <c r="O1091" s="120">
        <f>F!U73</f>
        <v>0</v>
      </c>
      <c r="P1091" s="120">
        <f>F!V73</f>
        <v>0</v>
      </c>
      <c r="Q1091" s="132">
        <f>G!T73</f>
        <v>22875</v>
      </c>
      <c r="R1091" s="120">
        <f>G!U73</f>
        <v>37849</v>
      </c>
      <c r="S1091" s="120">
        <f>G!V73</f>
        <v>16</v>
      </c>
      <c r="T1091">
        <f>YD!T73</f>
        <v>0</v>
      </c>
      <c r="U1091">
        <f>YD!U73</f>
        <v>0</v>
      </c>
      <c r="V1091">
        <f>YD!V73</f>
        <v>0</v>
      </c>
      <c r="W1091">
        <f>I!T73</f>
        <v>0</v>
      </c>
      <c r="X1091">
        <f>I!U73</f>
        <v>0</v>
      </c>
      <c r="Y1091">
        <f>I!V73</f>
        <v>0</v>
      </c>
      <c r="Z1091">
        <f>J!T73</f>
        <v>0</v>
      </c>
      <c r="AA1091">
        <f>J!U73</f>
        <v>0</v>
      </c>
      <c r="AB1091">
        <f>J!V73</f>
        <v>0</v>
      </c>
    </row>
    <row r="1092" spans="1:28">
      <c r="A1092" s="69" t="s">
        <v>115</v>
      </c>
      <c r="B1092" s="39">
        <f>B!T74</f>
        <v>19549.2</v>
      </c>
      <c r="C1092" s="49" t="str">
        <f>B!U74</f>
        <v>28-Oct</v>
      </c>
      <c r="D1092">
        <f>B!V74</f>
        <v>15</v>
      </c>
      <c r="E1092" s="131">
        <f>'C'!T74</f>
        <v>20009</v>
      </c>
      <c r="F1092" s="124">
        <f>'C'!U74</f>
        <v>37776</v>
      </c>
      <c r="G1092" s="120">
        <f>'C'!V74</f>
        <v>16</v>
      </c>
      <c r="H1092" s="135">
        <f>D!T74</f>
        <v>20008</v>
      </c>
      <c r="I1092" s="124">
        <f>D!U74</f>
        <v>37509</v>
      </c>
      <c r="J1092" s="120">
        <f>D!V74</f>
        <v>16</v>
      </c>
      <c r="K1092" s="135">
        <f>E!T74</f>
        <v>19795.91045822786</v>
      </c>
      <c r="L1092" s="120" t="str">
        <f>E!U74</f>
        <v>07/20</v>
      </c>
      <c r="M1092" s="120" t="str">
        <f>E!V74</f>
        <v>15:00</v>
      </c>
      <c r="N1092" s="132">
        <f>F!T74</f>
        <v>18776</v>
      </c>
      <c r="O1092" s="120">
        <f>F!U74</f>
        <v>156</v>
      </c>
      <c r="P1092" s="120">
        <f>F!V74</f>
        <v>15</v>
      </c>
      <c r="Q1092" s="132">
        <f>G!T74</f>
        <v>19818</v>
      </c>
      <c r="R1092" s="120">
        <f>G!U74</f>
        <v>37831</v>
      </c>
      <c r="S1092" s="120">
        <f>G!V74</f>
        <v>15</v>
      </c>
      <c r="T1092">
        <f>YD!T74</f>
        <v>0</v>
      </c>
      <c r="U1092">
        <f>YD!U74</f>
        <v>0</v>
      </c>
      <c r="V1092">
        <f>YD!V74</f>
        <v>0</v>
      </c>
      <c r="W1092">
        <f>I!T74</f>
        <v>0</v>
      </c>
      <c r="X1092">
        <f>I!U74</f>
        <v>0</v>
      </c>
      <c r="Y1092">
        <f>I!V74</f>
        <v>0</v>
      </c>
      <c r="Z1092">
        <f>J!T74</f>
        <v>0</v>
      </c>
      <c r="AA1092">
        <f>J!U74</f>
        <v>0</v>
      </c>
      <c r="AB1092">
        <f>J!V74</f>
        <v>0</v>
      </c>
    </row>
    <row r="1093" spans="1:28">
      <c r="A1093" s="69" t="s">
        <v>121</v>
      </c>
      <c r="B1093" s="39">
        <f>B!T75</f>
        <v>21729.200000000001</v>
      </c>
      <c r="C1093" s="49" t="str">
        <f>B!U75</f>
        <v>29-Apr</v>
      </c>
      <c r="D1093">
        <f>B!V75</f>
        <v>19</v>
      </c>
      <c r="E1093" s="131">
        <f>'C'!T75</f>
        <v>22513</v>
      </c>
      <c r="F1093" s="124">
        <f>'C'!U75</f>
        <v>37448</v>
      </c>
      <c r="G1093" s="120">
        <f>'C'!V75</f>
        <v>15</v>
      </c>
      <c r="H1093" s="135">
        <f>D!T75</f>
        <v>22513</v>
      </c>
      <c r="I1093" s="124">
        <f>D!U75</f>
        <v>37813</v>
      </c>
      <c r="J1093" s="120">
        <f>D!V75</f>
        <v>15</v>
      </c>
      <c r="K1093" s="135">
        <f>E!T75</f>
        <v>22227.967030350082</v>
      </c>
      <c r="L1093" s="120" t="str">
        <f>E!U75</f>
        <v>07/20</v>
      </c>
      <c r="M1093" s="120" t="str">
        <f>E!V75</f>
        <v>16:00</v>
      </c>
      <c r="N1093" s="132">
        <f>F!T75</f>
        <v>21121</v>
      </c>
      <c r="O1093" s="120">
        <f>F!U75</f>
        <v>156</v>
      </c>
      <c r="P1093" s="120">
        <f>F!V75</f>
        <v>13</v>
      </c>
      <c r="Q1093" s="132">
        <f>G!T75</f>
        <v>22269</v>
      </c>
      <c r="R1093" s="120">
        <f>G!U75</f>
        <v>37822</v>
      </c>
      <c r="S1093" s="120">
        <f>G!V75</f>
        <v>14</v>
      </c>
      <c r="T1093">
        <f>YD!T75</f>
        <v>0</v>
      </c>
      <c r="U1093">
        <f>YD!U75</f>
        <v>0</v>
      </c>
      <c r="V1093">
        <f>YD!V75</f>
        <v>0</v>
      </c>
      <c r="W1093">
        <f>I!T75</f>
        <v>0</v>
      </c>
      <c r="X1093">
        <f>I!U75</f>
        <v>0</v>
      </c>
      <c r="Y1093">
        <f>I!V75</f>
        <v>0</v>
      </c>
      <c r="Z1093">
        <f>J!T75</f>
        <v>0</v>
      </c>
      <c r="AA1093">
        <f>J!U75</f>
        <v>0</v>
      </c>
      <c r="AB1093">
        <f>J!V75</f>
        <v>0</v>
      </c>
    </row>
    <row r="1094" spans="1:28">
      <c r="A1094" s="69" t="s">
        <v>125</v>
      </c>
      <c r="B1094" s="39">
        <f>B!T76</f>
        <v>19415.900000000001</v>
      </c>
      <c r="C1094" s="49" t="str">
        <f>B!U76</f>
        <v>28-Sep</v>
      </c>
      <c r="D1094">
        <f>B!V76</f>
        <v>15</v>
      </c>
      <c r="E1094" s="131">
        <f>'C'!T76</f>
        <v>20159</v>
      </c>
      <c r="F1094" s="124">
        <f>'C'!U76</f>
        <v>38133</v>
      </c>
      <c r="G1094" s="120">
        <f>'C'!V76</f>
        <v>16</v>
      </c>
      <c r="H1094" s="135">
        <f>D!T76</f>
        <v>20154</v>
      </c>
      <c r="I1094" s="124">
        <f>D!U76</f>
        <v>38133</v>
      </c>
      <c r="J1094" s="120">
        <f>D!V76</f>
        <v>16</v>
      </c>
      <c r="K1094" s="135">
        <f>E!T76</f>
        <v>20012.575134381084</v>
      </c>
      <c r="L1094" s="120" t="str">
        <f>E!U76</f>
        <v>07/30</v>
      </c>
      <c r="M1094" s="120" t="str">
        <f>E!V76</f>
        <v>16:00</v>
      </c>
      <c r="N1094" s="132">
        <f>F!T76</f>
        <v>18969</v>
      </c>
      <c r="O1094" s="120">
        <f>F!U76</f>
        <v>202</v>
      </c>
      <c r="P1094" s="120">
        <f>F!V76</f>
        <v>16</v>
      </c>
      <c r="Q1094" s="132">
        <f>G!T76</f>
        <v>20378</v>
      </c>
      <c r="R1094" s="120">
        <f>G!U76</f>
        <v>37764</v>
      </c>
      <c r="S1094" s="120">
        <f>G!V76</f>
        <v>15</v>
      </c>
      <c r="T1094">
        <f>YD!T76</f>
        <v>0</v>
      </c>
      <c r="U1094">
        <f>YD!U76</f>
        <v>0</v>
      </c>
      <c r="V1094">
        <f>YD!V76</f>
        <v>0</v>
      </c>
      <c r="W1094">
        <f>I!T76</f>
        <v>0</v>
      </c>
      <c r="X1094">
        <f>I!U76</f>
        <v>0</v>
      </c>
      <c r="Y1094">
        <f>I!V76</f>
        <v>0</v>
      </c>
      <c r="Z1094">
        <f>J!T76</f>
        <v>0</v>
      </c>
      <c r="AA1094">
        <f>J!U76</f>
        <v>0</v>
      </c>
      <c r="AB1094">
        <f>J!V76</f>
        <v>0</v>
      </c>
    </row>
    <row r="1095" spans="1:28">
      <c r="A1095" s="69" t="s">
        <v>127</v>
      </c>
      <c r="B1095" s="39">
        <f>B!T77</f>
        <v>19488.8</v>
      </c>
      <c r="C1095" s="49" t="str">
        <f>B!U77</f>
        <v>12-Mai</v>
      </c>
      <c r="D1095">
        <f>B!V77</f>
        <v>15</v>
      </c>
      <c r="E1095" s="131">
        <f>'C'!T77</f>
        <v>20137</v>
      </c>
      <c r="F1095" s="124">
        <f>'C'!U77</f>
        <v>37448</v>
      </c>
      <c r="G1095" s="120">
        <f>'C'!V77</f>
        <v>16</v>
      </c>
      <c r="H1095" s="135">
        <f>D!T77</f>
        <v>20135</v>
      </c>
      <c r="I1095" s="124">
        <f>D!U77</f>
        <v>37448</v>
      </c>
      <c r="J1095" s="120">
        <f>D!V77</f>
        <v>16</v>
      </c>
      <c r="K1095" s="135">
        <f>E!T77</f>
        <v>19901.871442357831</v>
      </c>
      <c r="L1095" s="120" t="str">
        <f>E!U77</f>
        <v>07/20</v>
      </c>
      <c r="M1095" s="120" t="str">
        <f>E!V77</f>
        <v>15:00</v>
      </c>
      <c r="N1095" s="132">
        <f>F!T77</f>
        <v>18785</v>
      </c>
      <c r="O1095" s="120">
        <f>F!U77</f>
        <v>156</v>
      </c>
      <c r="P1095" s="120">
        <f>F!V77</f>
        <v>15</v>
      </c>
      <c r="Q1095" s="132">
        <f>G!T77</f>
        <v>19920</v>
      </c>
      <c r="R1095" s="120">
        <f>G!U77</f>
        <v>37849</v>
      </c>
      <c r="S1095" s="120">
        <f>G!V77</f>
        <v>15</v>
      </c>
      <c r="T1095">
        <f>YD!T77</f>
        <v>0</v>
      </c>
      <c r="U1095">
        <f>YD!U77</f>
        <v>0</v>
      </c>
      <c r="V1095">
        <f>YD!V77</f>
        <v>0</v>
      </c>
      <c r="W1095">
        <f>I!T77</f>
        <v>0</v>
      </c>
      <c r="X1095">
        <f>I!U77</f>
        <v>0</v>
      </c>
      <c r="Y1095">
        <f>I!V77</f>
        <v>0</v>
      </c>
      <c r="Z1095">
        <f>J!T77</f>
        <v>0</v>
      </c>
      <c r="AA1095">
        <f>J!U77</f>
        <v>0</v>
      </c>
      <c r="AB1095">
        <f>J!V77</f>
        <v>0</v>
      </c>
    </row>
    <row r="1096" spans="1:28">
      <c r="A1096" s="69" t="s">
        <v>130</v>
      </c>
      <c r="B1096" s="39">
        <f>B!T78</f>
        <v>19702.7</v>
      </c>
      <c r="C1096" s="49" t="str">
        <f>B!U78</f>
        <v>26-Jul</v>
      </c>
      <c r="D1096">
        <f>B!V78</f>
        <v>16</v>
      </c>
      <c r="E1096" s="131">
        <f>'C'!T78</f>
        <v>19850</v>
      </c>
      <c r="F1096" s="124">
        <f>'C'!U78</f>
        <v>37370</v>
      </c>
      <c r="G1096" s="120">
        <f>'C'!V78</f>
        <v>16</v>
      </c>
      <c r="H1096" s="135">
        <f>D!T78</f>
        <v>19850</v>
      </c>
      <c r="I1096" s="124">
        <f>D!U78</f>
        <v>37370</v>
      </c>
      <c r="J1096" s="120">
        <f>D!V78</f>
        <v>16</v>
      </c>
      <c r="K1096" s="135">
        <f>E!T78</f>
        <v>19599.053827255666</v>
      </c>
      <c r="L1096" s="120" t="str">
        <f>E!U78</f>
        <v>07/20</v>
      </c>
      <c r="M1096" s="120" t="str">
        <f>E!V78</f>
        <v>15:00</v>
      </c>
      <c r="N1096" s="132">
        <f>F!T78</f>
        <v>18759</v>
      </c>
      <c r="O1096" s="120">
        <f>F!U78</f>
        <v>156</v>
      </c>
      <c r="P1096" s="120">
        <f>F!V78</f>
        <v>15</v>
      </c>
      <c r="Q1096" s="132">
        <f>G!T78</f>
        <v>19661</v>
      </c>
      <c r="R1096" s="120">
        <f>G!U78</f>
        <v>37776</v>
      </c>
      <c r="S1096" s="120">
        <f>G!V78</f>
        <v>15</v>
      </c>
      <c r="T1096">
        <f>YD!T78</f>
        <v>0</v>
      </c>
      <c r="U1096">
        <f>YD!U78</f>
        <v>0</v>
      </c>
      <c r="V1096">
        <f>YD!V78</f>
        <v>0</v>
      </c>
      <c r="W1096">
        <f>I!T78</f>
        <v>0</v>
      </c>
      <c r="X1096">
        <f>I!U78</f>
        <v>0</v>
      </c>
      <c r="Y1096">
        <f>I!V78</f>
        <v>0</v>
      </c>
      <c r="Z1096">
        <f>J!T78</f>
        <v>0</v>
      </c>
      <c r="AA1096">
        <f>J!U78</f>
        <v>0</v>
      </c>
      <c r="AB1096">
        <f>J!V78</f>
        <v>0</v>
      </c>
    </row>
    <row r="1097" spans="1:28">
      <c r="A1097" s="69" t="s">
        <v>132</v>
      </c>
      <c r="B1097" s="39">
        <f>B!T79</f>
        <v>19834.099999999999</v>
      </c>
      <c r="C1097" s="49" t="str">
        <f>B!U79</f>
        <v>29-Mai</v>
      </c>
      <c r="D1097">
        <f>B!V79</f>
        <v>15</v>
      </c>
      <c r="E1097" s="131">
        <f>'C'!T79</f>
        <v>19576</v>
      </c>
      <c r="F1097" s="124">
        <f>'C'!U79</f>
        <v>37370</v>
      </c>
      <c r="G1097" s="120">
        <f>'C'!V79</f>
        <v>16</v>
      </c>
      <c r="H1097" s="135">
        <f>D!T79</f>
        <v>19575</v>
      </c>
      <c r="I1097" s="124">
        <f>D!U79</f>
        <v>37370</v>
      </c>
      <c r="J1097" s="120">
        <f>D!V79</f>
        <v>16</v>
      </c>
      <c r="K1097" s="135">
        <f>E!T79</f>
        <v>19656.140169213584</v>
      </c>
      <c r="L1097" s="120" t="str">
        <f>E!U79</f>
        <v>07/20</v>
      </c>
      <c r="M1097" s="120" t="str">
        <f>E!V79</f>
        <v>15:00</v>
      </c>
      <c r="N1097" s="132">
        <f>F!T79</f>
        <v>18776</v>
      </c>
      <c r="O1097" s="120">
        <f>F!U79</f>
        <v>156</v>
      </c>
      <c r="P1097" s="120">
        <f>F!V79</f>
        <v>15</v>
      </c>
      <c r="Q1097" s="132">
        <f>G!T79</f>
        <v>19626</v>
      </c>
      <c r="R1097" s="120">
        <f>G!U79</f>
        <v>37810</v>
      </c>
      <c r="S1097" s="120">
        <f>G!V79</f>
        <v>15</v>
      </c>
      <c r="T1097">
        <f>YD!T79</f>
        <v>0</v>
      </c>
      <c r="U1097">
        <f>YD!U79</f>
        <v>0</v>
      </c>
      <c r="V1097">
        <f>YD!V79</f>
        <v>0</v>
      </c>
      <c r="W1097">
        <f>I!T79</f>
        <v>0</v>
      </c>
      <c r="X1097">
        <f>I!U79</f>
        <v>0</v>
      </c>
      <c r="Y1097">
        <f>I!V79</f>
        <v>0</v>
      </c>
      <c r="Z1097">
        <f>J!T79</f>
        <v>0</v>
      </c>
      <c r="AA1097">
        <f>J!U79</f>
        <v>0</v>
      </c>
      <c r="AB1097">
        <f>J!V79</f>
        <v>0</v>
      </c>
    </row>
    <row r="1098" spans="1:28">
      <c r="A1098" s="69" t="s">
        <v>135</v>
      </c>
      <c r="B1098" s="39">
        <f>B!T80</f>
        <v>19575</v>
      </c>
      <c r="C1098" s="49" t="str">
        <f>B!U80</f>
        <v>30-Aug</v>
      </c>
      <c r="D1098">
        <f>B!V80</f>
        <v>16</v>
      </c>
      <c r="E1098" s="131">
        <f>'C'!T80</f>
        <v>19766</v>
      </c>
      <c r="F1098" s="124">
        <f>'C'!U80</f>
        <v>37370</v>
      </c>
      <c r="G1098" s="120">
        <f>'C'!V80</f>
        <v>16</v>
      </c>
      <c r="H1098" s="135">
        <f>D!T80</f>
        <v>19766</v>
      </c>
      <c r="I1098" s="124">
        <f>D!U80</f>
        <v>37370</v>
      </c>
      <c r="J1098" s="120">
        <f>D!V80</f>
        <v>16</v>
      </c>
      <c r="K1098" s="135">
        <f>E!T80</f>
        <v>19812.465045646444</v>
      </c>
      <c r="L1098" s="120" t="str">
        <f>E!U80</f>
        <v>07/20</v>
      </c>
      <c r="M1098" s="120" t="str">
        <f>E!V80</f>
        <v>15:00</v>
      </c>
      <c r="N1098" s="132">
        <f>F!T80</f>
        <v>18794</v>
      </c>
      <c r="O1098" s="120">
        <f>F!U80</f>
        <v>156</v>
      </c>
      <c r="P1098" s="120">
        <f>F!V80</f>
        <v>15</v>
      </c>
      <c r="Q1098" s="132">
        <f>G!T80</f>
        <v>19799</v>
      </c>
      <c r="R1098" s="120">
        <f>G!U80</f>
        <v>37849</v>
      </c>
      <c r="S1098" s="120">
        <f>G!V80</f>
        <v>15</v>
      </c>
      <c r="T1098">
        <f>YD!T80</f>
        <v>0</v>
      </c>
      <c r="U1098">
        <f>YD!U80</f>
        <v>0</v>
      </c>
      <c r="V1098">
        <f>YD!V80</f>
        <v>0</v>
      </c>
      <c r="W1098">
        <f>I!T80</f>
        <v>0</v>
      </c>
      <c r="X1098">
        <f>I!U80</f>
        <v>0</v>
      </c>
      <c r="Y1098">
        <f>I!V80</f>
        <v>0</v>
      </c>
      <c r="Z1098">
        <f>J!T80</f>
        <v>0</v>
      </c>
      <c r="AA1098">
        <f>J!U80</f>
        <v>0</v>
      </c>
      <c r="AB1098">
        <f>J!V80</f>
        <v>0</v>
      </c>
    </row>
    <row r="1099" spans="1:28">
      <c r="A1099" s="70" t="s">
        <v>138</v>
      </c>
      <c r="B1099" s="39">
        <f>B!T81</f>
        <v>20075.2</v>
      </c>
      <c r="C1099" s="49" t="str">
        <f>B!U81</f>
        <v>17-Jun</v>
      </c>
      <c r="D1099">
        <f>B!V81</f>
        <v>16</v>
      </c>
      <c r="E1099" s="131">
        <f>'C'!T81</f>
        <v>19475</v>
      </c>
      <c r="F1099" s="124">
        <f>'C'!U81</f>
        <v>37370</v>
      </c>
      <c r="G1099" s="120">
        <f>'C'!V81</f>
        <v>16</v>
      </c>
      <c r="H1099" s="135">
        <f>D!T81</f>
        <v>19474</v>
      </c>
      <c r="I1099" s="124">
        <f>D!U81</f>
        <v>37370</v>
      </c>
      <c r="J1099" s="120">
        <f>D!V81</f>
        <v>16</v>
      </c>
      <c r="K1099" s="135">
        <f>E!T81</f>
        <v>19538.760936243307</v>
      </c>
      <c r="L1099" s="120" t="str">
        <f>E!U81</f>
        <v>07/20</v>
      </c>
      <c r="M1099" s="120" t="str">
        <f>E!V81</f>
        <v>15:00</v>
      </c>
      <c r="N1099" s="132">
        <f>F!T81</f>
        <v>18759</v>
      </c>
      <c r="O1099" s="120">
        <f>F!U81</f>
        <v>156</v>
      </c>
      <c r="P1099" s="120">
        <f>F!V81</f>
        <v>15</v>
      </c>
      <c r="Q1099" s="132">
        <f>G!T81</f>
        <v>19497</v>
      </c>
      <c r="R1099" s="120">
        <f>G!U81</f>
        <v>37776</v>
      </c>
      <c r="S1099" s="120">
        <f>G!V81</f>
        <v>15</v>
      </c>
      <c r="T1099">
        <f>YD!T81</f>
        <v>0</v>
      </c>
      <c r="U1099">
        <f>YD!U81</f>
        <v>0</v>
      </c>
      <c r="V1099">
        <f>YD!V81</f>
        <v>0</v>
      </c>
      <c r="W1099">
        <f>I!T81</f>
        <v>0</v>
      </c>
      <c r="X1099">
        <f>I!U81</f>
        <v>0</v>
      </c>
      <c r="Y1099">
        <f>I!V81</f>
        <v>0</v>
      </c>
      <c r="Z1099">
        <f>J!T81</f>
        <v>0</v>
      </c>
      <c r="AA1099">
        <f>J!U81</f>
        <v>0</v>
      </c>
      <c r="AB1099">
        <f>J!V81</f>
        <v>0</v>
      </c>
    </row>
    <row r="1100" spans="1:28">
      <c r="B1100" s="120"/>
      <c r="E1100" s="132"/>
      <c r="F1100" s="120"/>
      <c r="G1100" s="120"/>
      <c r="H1100" s="132"/>
      <c r="I1100" s="120"/>
      <c r="J1100" s="120"/>
      <c r="K1100" s="132"/>
      <c r="L1100" s="120"/>
      <c r="M1100" s="120"/>
      <c r="N1100" s="132"/>
      <c r="O1100" s="120"/>
      <c r="P1100" s="120"/>
      <c r="Q1100" s="132"/>
      <c r="R1100" s="120"/>
      <c r="S1100" s="120"/>
    </row>
    <row r="1101" spans="1:28">
      <c r="B1101" s="120"/>
      <c r="E1101" s="132"/>
      <c r="F1101" s="120"/>
      <c r="G1101" s="120"/>
      <c r="H1101" s="132"/>
      <c r="I1101" s="120"/>
      <c r="J1101" s="120"/>
      <c r="K1101" s="132"/>
      <c r="L1101" s="120"/>
      <c r="M1101" s="120"/>
      <c r="N1101" s="132"/>
      <c r="O1101" s="120"/>
      <c r="P1101" s="120"/>
      <c r="Q1101" s="132"/>
      <c r="R1101" s="120"/>
      <c r="S1101" s="120"/>
    </row>
    <row r="1102" spans="1:28">
      <c r="B1102" s="120"/>
      <c r="E1102" s="132"/>
      <c r="H1102" s="130"/>
      <c r="I1102" s="10"/>
      <c r="J1102" s="10"/>
      <c r="K1102" s="138"/>
      <c r="L1102" s="11"/>
      <c r="M1102" s="11"/>
      <c r="N1102" s="132"/>
      <c r="Q1102" s="132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E1103" s="132"/>
      <c r="H1103" s="130"/>
      <c r="I1103" s="10"/>
      <c r="J1103" s="10"/>
      <c r="K1103" s="138"/>
      <c r="L1103" s="11"/>
      <c r="M1103" s="11"/>
      <c r="N1103" s="132"/>
      <c r="Q1103" s="132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E1104" s="132"/>
      <c r="H1104" s="137"/>
      <c r="I1104" s="14"/>
      <c r="J1104" s="14"/>
      <c r="K1104" s="137"/>
      <c r="L1104" s="14"/>
      <c r="M1104" s="14"/>
      <c r="N1104" s="132"/>
      <c r="Q1104" s="132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E1105" s="132"/>
      <c r="H1105" s="137"/>
      <c r="I1105" s="14"/>
      <c r="J1105" s="14"/>
      <c r="K1105" s="137"/>
      <c r="L1105" s="14"/>
      <c r="M1105" s="14"/>
      <c r="N1105" s="132"/>
      <c r="Q1105" s="132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E1106" s="132"/>
      <c r="H1106" s="137"/>
      <c r="I1106" s="14"/>
      <c r="J1106" s="14"/>
      <c r="K1106" s="137"/>
      <c r="L1106" s="14"/>
      <c r="M1106" s="14"/>
      <c r="N1106" s="132"/>
      <c r="Q1106" s="132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242</v>
      </c>
      <c r="B1107" s="39"/>
      <c r="C1107" s="12"/>
      <c r="D1107" s="12"/>
      <c r="E1107" s="131"/>
      <c r="F1107" s="39"/>
      <c r="G1107" s="39"/>
      <c r="H1107" s="137"/>
      <c r="I1107" s="121"/>
      <c r="J1107" s="121"/>
      <c r="K1107" s="137"/>
      <c r="L1107" s="121"/>
      <c r="M1107" s="121"/>
      <c r="N1107" s="132"/>
      <c r="O1107" s="120"/>
      <c r="P1107" s="120"/>
      <c r="Q1107" s="132"/>
      <c r="R1107" s="121"/>
      <c r="S1107" s="121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F1108" s="120"/>
      <c r="G1108" s="120"/>
      <c r="H1108" s="130"/>
      <c r="I1108" s="121"/>
      <c r="J1108" s="121"/>
      <c r="K1108" s="10"/>
      <c r="L1108" s="121"/>
      <c r="M1108" s="121"/>
      <c r="N1108" s="10"/>
      <c r="O1108" s="120"/>
      <c r="P1108" s="120"/>
      <c r="Q1108" s="132"/>
      <c r="R1108" s="121"/>
      <c r="S1108" s="121"/>
      <c r="V1108" s="2"/>
      <c r="W1108" s="2"/>
      <c r="X1108" s="2"/>
      <c r="Y1108" s="2"/>
      <c r="Z1108" s="2"/>
      <c r="AA1108" s="2"/>
      <c r="AB1108" s="2"/>
    </row>
    <row r="1109" spans="1:28">
      <c r="A1109" s="2"/>
      <c r="B1109" s="10" t="s">
        <v>245</v>
      </c>
      <c r="C1109" t="s">
        <v>77</v>
      </c>
      <c r="D1109" t="s">
        <v>78</v>
      </c>
      <c r="E1109" s="10" t="s">
        <v>257</v>
      </c>
      <c r="F1109" s="120" t="s">
        <v>77</v>
      </c>
      <c r="G1109" s="120" t="s">
        <v>78</v>
      </c>
      <c r="H1109" s="10" t="s">
        <v>258</v>
      </c>
      <c r="I1109" s="120" t="s">
        <v>77</v>
      </c>
      <c r="J1109" s="120" t="s">
        <v>78</v>
      </c>
      <c r="K1109" s="10" t="s">
        <v>515</v>
      </c>
      <c r="L1109" s="120" t="s">
        <v>77</v>
      </c>
      <c r="M1109" s="120" t="s">
        <v>78</v>
      </c>
      <c r="N1109" s="10" t="s">
        <v>373</v>
      </c>
      <c r="O1109" s="120" t="s">
        <v>77</v>
      </c>
      <c r="P1109" s="120" t="s">
        <v>78</v>
      </c>
      <c r="Q1109" s="10" t="s">
        <v>482</v>
      </c>
      <c r="R1109" s="120" t="s">
        <v>77</v>
      </c>
      <c r="S1109" s="120" t="s">
        <v>78</v>
      </c>
      <c r="T1109" s="10" t="s">
        <v>516</v>
      </c>
      <c r="U1109" s="120" t="s">
        <v>77</v>
      </c>
      <c r="V1109" s="120" t="s">
        <v>78</v>
      </c>
      <c r="W1109" s="10" t="s">
        <v>517</v>
      </c>
      <c r="X1109" s="120" t="s">
        <v>77</v>
      </c>
      <c r="Y1109" s="120" t="s">
        <v>78</v>
      </c>
      <c r="Z1109" s="10" t="s">
        <v>517</v>
      </c>
      <c r="AA1109" s="120" t="s">
        <v>77</v>
      </c>
      <c r="AB1109" s="120" t="s">
        <v>78</v>
      </c>
    </row>
    <row r="1110" spans="1:28">
      <c r="A1110" s="69" t="s">
        <v>91</v>
      </c>
      <c r="B1110" s="39">
        <f>B!W62</f>
        <v>9635.7000000000007</v>
      </c>
      <c r="C1110" s="39" t="str">
        <f>B!X62</f>
        <v>03-Sep</v>
      </c>
      <c r="D1110" s="39">
        <f>B!Y62</f>
        <v>16</v>
      </c>
      <c r="E1110" s="131">
        <f>'C'!W62</f>
        <v>9304</v>
      </c>
      <c r="F1110" s="126">
        <f>'C'!X62</f>
        <v>37137</v>
      </c>
      <c r="G1110" s="39">
        <f>'C'!Y62</f>
        <v>15</v>
      </c>
      <c r="H1110" s="135">
        <f>D!W62</f>
        <v>9394</v>
      </c>
      <c r="I1110" s="126">
        <f>D!X62</f>
        <v>37137</v>
      </c>
      <c r="J1110" s="122">
        <f>D!Y62</f>
        <v>15</v>
      </c>
      <c r="K1110" s="135">
        <f>E!W62</f>
        <v>10595.085021236</v>
      </c>
      <c r="L1110" s="122" t="str">
        <f>E!X62</f>
        <v>07/10</v>
      </c>
      <c r="M1110" s="122" t="str">
        <f>E!Y62</f>
        <v>13:00</v>
      </c>
      <c r="N1110" s="132">
        <f>F!W62</f>
        <v>10375</v>
      </c>
      <c r="O1110" s="120">
        <f>F!X62</f>
        <v>247</v>
      </c>
      <c r="P1110" s="120">
        <f>F!Y62</f>
        <v>15</v>
      </c>
      <c r="Q1110" s="132">
        <f>G!W62</f>
        <v>10392</v>
      </c>
      <c r="R1110" s="120">
        <f>G!X62</f>
        <v>37867</v>
      </c>
      <c r="S1110" s="120">
        <f>G!Y62</f>
        <v>15</v>
      </c>
      <c r="T1110">
        <f>YD!W62</f>
        <v>0</v>
      </c>
      <c r="U1110">
        <f>YD!X62</f>
        <v>0</v>
      </c>
      <c r="V1110">
        <f>YD!Y62</f>
        <v>0</v>
      </c>
      <c r="W1110" s="2">
        <f>I!W62</f>
        <v>0</v>
      </c>
      <c r="X1110" s="2">
        <f>I!X62</f>
        <v>0</v>
      </c>
      <c r="Y1110" s="2">
        <f>I!Y62</f>
        <v>0</v>
      </c>
      <c r="Z1110" s="2">
        <f>J!W62</f>
        <v>0</v>
      </c>
      <c r="AA1110" s="2">
        <f>J!X62</f>
        <v>0</v>
      </c>
      <c r="AB1110" s="2">
        <f>J!Y62</f>
        <v>0</v>
      </c>
    </row>
    <row r="1111" spans="1:28">
      <c r="A1111" s="69" t="s">
        <v>96</v>
      </c>
      <c r="B1111" s="39">
        <f>B!W63</f>
        <v>15907</v>
      </c>
      <c r="C1111" s="39" t="str">
        <f>B!X63</f>
        <v>03-Sep</v>
      </c>
      <c r="D1111" s="39">
        <f>B!Y63</f>
        <v>15</v>
      </c>
      <c r="E1111" s="131">
        <f>'C'!W63</f>
        <v>15139</v>
      </c>
      <c r="F1111" s="126">
        <f>'C'!X63</f>
        <v>37137</v>
      </c>
      <c r="G1111" s="39">
        <f>'C'!Y63</f>
        <v>15</v>
      </c>
      <c r="H1111" s="135">
        <f>D!W63</f>
        <v>15270</v>
      </c>
      <c r="I1111" s="126">
        <f>D!X63</f>
        <v>37137</v>
      </c>
      <c r="J1111" s="122">
        <f>D!Y63</f>
        <v>15</v>
      </c>
      <c r="K1111" s="135">
        <f>E!W63</f>
        <v>16644.30725183864</v>
      </c>
      <c r="L1111" s="122" t="str">
        <f>E!X63</f>
        <v>08/04</v>
      </c>
      <c r="M1111" s="122" t="str">
        <f>E!Y63</f>
        <v>15:00</v>
      </c>
      <c r="N1111" s="132">
        <f>F!W63</f>
        <v>16112</v>
      </c>
      <c r="O1111" s="120">
        <f>F!X63</f>
        <v>217</v>
      </c>
      <c r="P1111" s="120">
        <f>F!Y63</f>
        <v>15</v>
      </c>
      <c r="Q1111" s="132">
        <f>G!W63</f>
        <v>16077</v>
      </c>
      <c r="R1111" s="120">
        <f>G!X63</f>
        <v>37867</v>
      </c>
      <c r="S1111" s="120">
        <f>G!Y63</f>
        <v>16</v>
      </c>
      <c r="T1111">
        <f>YD!W63</f>
        <v>0</v>
      </c>
      <c r="U1111">
        <f>YD!X63</f>
        <v>0</v>
      </c>
      <c r="V1111">
        <f>YD!Y63</f>
        <v>0</v>
      </c>
      <c r="W1111" s="2">
        <f>I!W63</f>
        <v>0</v>
      </c>
      <c r="X1111" s="2">
        <f>I!X63</f>
        <v>0</v>
      </c>
      <c r="Y1111" s="2">
        <f>I!Y63</f>
        <v>0</v>
      </c>
      <c r="Z1111" s="2">
        <f>J!W63</f>
        <v>0</v>
      </c>
      <c r="AA1111" s="2">
        <f>J!X63</f>
        <v>0</v>
      </c>
      <c r="AB1111" s="2">
        <f>J!Y63</f>
        <v>0</v>
      </c>
    </row>
    <row r="1112" spans="1:28">
      <c r="A1112" s="69" t="s">
        <v>98</v>
      </c>
      <c r="B1112" s="39">
        <f>B!W64</f>
        <v>23147.3</v>
      </c>
      <c r="C1112" s="39" t="str">
        <f>B!X64</f>
        <v>02-Oct</v>
      </c>
      <c r="D1112" s="39">
        <f>B!Y64</f>
        <v>10</v>
      </c>
      <c r="E1112" s="131">
        <f>'C'!W64</f>
        <v>31497</v>
      </c>
      <c r="F1112" s="126">
        <f>'C'!X64</f>
        <v>37531</v>
      </c>
      <c r="G1112" s="39">
        <f>'C'!Y64</f>
        <v>9</v>
      </c>
      <c r="H1112" s="135">
        <f>D!W64</f>
        <v>31503</v>
      </c>
      <c r="I1112" s="126">
        <f>D!X64</f>
        <v>37531</v>
      </c>
      <c r="J1112" s="122">
        <f>D!Y64</f>
        <v>9</v>
      </c>
      <c r="K1112" s="135">
        <f>E!W64</f>
        <v>22756.174991940276</v>
      </c>
      <c r="L1112" s="122" t="str">
        <f>E!X64</f>
        <v>10/02</v>
      </c>
      <c r="M1112" s="122" t="str">
        <f>E!Y64</f>
        <v>10:00</v>
      </c>
      <c r="N1112" s="132">
        <f>F!W64</f>
        <v>21697</v>
      </c>
      <c r="O1112" s="120">
        <f>F!X64</f>
        <v>261</v>
      </c>
      <c r="P1112" s="120">
        <f>F!Y64</f>
        <v>12</v>
      </c>
      <c r="Q1112" s="132">
        <f>G!W64</f>
        <v>21929</v>
      </c>
      <c r="R1112" s="120">
        <f>G!X64</f>
        <v>37895</v>
      </c>
      <c r="S1112" s="120">
        <f>G!Y64</f>
        <v>20</v>
      </c>
      <c r="T1112">
        <f>YD!W64</f>
        <v>0</v>
      </c>
      <c r="U1112">
        <f>YD!X64</f>
        <v>0</v>
      </c>
      <c r="V1112">
        <f>YD!Y64</f>
        <v>0</v>
      </c>
      <c r="W1112" s="2">
        <f>I!W64</f>
        <v>0</v>
      </c>
      <c r="X1112" s="2">
        <f>I!X64</f>
        <v>0</v>
      </c>
      <c r="Y1112" s="2">
        <f>I!Y64</f>
        <v>0</v>
      </c>
      <c r="Z1112" s="2">
        <f>J!W64</f>
        <v>0</v>
      </c>
      <c r="AA1112" s="2">
        <f>J!X64</f>
        <v>0</v>
      </c>
      <c r="AB1112" s="2">
        <f>J!Y64</f>
        <v>0</v>
      </c>
    </row>
    <row r="1113" spans="1:28">
      <c r="A1113" s="69" t="s">
        <v>102</v>
      </c>
      <c r="B1113" s="39">
        <f>B!W65</f>
        <v>27825.200000000001</v>
      </c>
      <c r="C1113" s="39" t="str">
        <f>B!X65</f>
        <v>18-Sep</v>
      </c>
      <c r="D1113" s="39">
        <f>B!Y65</f>
        <v>16</v>
      </c>
      <c r="E1113" s="131">
        <f>'C'!W65</f>
        <v>26941</v>
      </c>
      <c r="F1113" s="126">
        <f>'C'!X65</f>
        <v>37882</v>
      </c>
      <c r="G1113" s="39">
        <f>'C'!Y65</f>
        <v>15</v>
      </c>
      <c r="H1113" s="135">
        <f>D!W65</f>
        <v>40809</v>
      </c>
      <c r="I1113" s="126">
        <f>D!X65</f>
        <v>37531</v>
      </c>
      <c r="J1113" s="122">
        <f>D!Y65</f>
        <v>9</v>
      </c>
      <c r="K1113" s="135">
        <f>E!W65</f>
        <v>27596.700484402721</v>
      </c>
      <c r="L1113" s="122" t="str">
        <f>E!X65</f>
        <v>09/18</v>
      </c>
      <c r="M1113" s="122" t="str">
        <f>E!Y65</f>
        <v>16:00</v>
      </c>
      <c r="N1113" s="132">
        <f>F!W65</f>
        <v>28184</v>
      </c>
      <c r="O1113" s="120">
        <f>F!X65</f>
        <v>262</v>
      </c>
      <c r="P1113" s="120">
        <f>F!Y65</f>
        <v>15</v>
      </c>
      <c r="Q1113" s="132">
        <f>G!W65</f>
        <v>27488</v>
      </c>
      <c r="R1113" s="120">
        <f>G!X65</f>
        <v>37882</v>
      </c>
      <c r="S1113" s="120">
        <f>G!Y65</f>
        <v>15</v>
      </c>
      <c r="T1113">
        <f>YD!W65</f>
        <v>0</v>
      </c>
      <c r="U1113">
        <f>YD!X65</f>
        <v>0</v>
      </c>
      <c r="V1113">
        <f>YD!Y65</f>
        <v>0</v>
      </c>
      <c r="W1113" s="2">
        <f>I!W65</f>
        <v>0</v>
      </c>
      <c r="X1113" s="2">
        <f>I!X65</f>
        <v>0</v>
      </c>
      <c r="Y1113" s="2">
        <f>I!Y65</f>
        <v>0</v>
      </c>
      <c r="Z1113" s="2">
        <f>J!W65</f>
        <v>0</v>
      </c>
      <c r="AA1113" s="2">
        <f>J!X65</f>
        <v>0</v>
      </c>
      <c r="AB1113" s="2">
        <f>J!Y65</f>
        <v>0</v>
      </c>
    </row>
    <row r="1114" spans="1:28">
      <c r="A1114" s="69" t="s">
        <v>356</v>
      </c>
      <c r="B1114" s="39">
        <f>B!W66</f>
        <v>24848.3</v>
      </c>
      <c r="C1114" s="39" t="str">
        <f>B!X66</f>
        <v>02-Oct</v>
      </c>
      <c r="D1114" s="39">
        <f>B!Y66</f>
        <v>9</v>
      </c>
      <c r="E1114" s="131">
        <f>'C'!W66</f>
        <v>30451</v>
      </c>
      <c r="F1114" s="126">
        <f>'C'!X66</f>
        <v>37531</v>
      </c>
      <c r="G1114" s="39">
        <f>'C'!Y66</f>
        <v>9</v>
      </c>
      <c r="H1114" s="135">
        <f>D!W66</f>
        <v>36011</v>
      </c>
      <c r="I1114" s="126">
        <f>D!X66</f>
        <v>37531</v>
      </c>
      <c r="J1114" s="122">
        <f>D!Y66</f>
        <v>9</v>
      </c>
      <c r="K1114" s="135">
        <f>E!W66</f>
        <v>24435.765246347612</v>
      </c>
      <c r="L1114" s="122" t="str">
        <f>E!X66</f>
        <v>10/02</v>
      </c>
      <c r="M1114" s="122" t="str">
        <f>E!Y66</f>
        <v>10:00</v>
      </c>
      <c r="N1114" s="132">
        <f>F!W66</f>
        <v>24225</v>
      </c>
      <c r="O1114" s="120">
        <f>F!X66</f>
        <v>247</v>
      </c>
      <c r="P1114" s="120">
        <f>F!Y66</f>
        <v>17</v>
      </c>
      <c r="Q1114" s="132">
        <f>G!W66</f>
        <v>23794</v>
      </c>
      <c r="R1114" s="120">
        <f>G!X66</f>
        <v>37895</v>
      </c>
      <c r="S1114" s="120">
        <f>G!Y66</f>
        <v>20</v>
      </c>
      <c r="T1114">
        <f>YD!W66</f>
        <v>0</v>
      </c>
      <c r="U1114">
        <f>YD!X66</f>
        <v>0</v>
      </c>
      <c r="V1114">
        <f>YD!Y66</f>
        <v>0</v>
      </c>
      <c r="W1114" s="2">
        <f>I!W66</f>
        <v>0</v>
      </c>
      <c r="X1114" s="2">
        <f>I!X66</f>
        <v>0</v>
      </c>
      <c r="Y1114" s="2">
        <f>I!Y66</f>
        <v>0</v>
      </c>
      <c r="Z1114" s="2">
        <f>J!W66</f>
        <v>0</v>
      </c>
      <c r="AA1114" s="2">
        <f>J!X66</f>
        <v>0</v>
      </c>
      <c r="AB1114" s="2">
        <f>J!Y66</f>
        <v>0</v>
      </c>
    </row>
    <row r="1115" spans="1:28">
      <c r="A1115" s="69" t="s">
        <v>105</v>
      </c>
      <c r="B1115" s="39">
        <f>B!W67</f>
        <v>9751.26</v>
      </c>
      <c r="C1115" s="39" t="str">
        <f>B!X67</f>
        <v>01-Oct</v>
      </c>
      <c r="D1115" s="39">
        <f>B!Y67</f>
        <v>13</v>
      </c>
      <c r="E1115" s="131">
        <f>'C'!W67</f>
        <v>9303</v>
      </c>
      <c r="F1115" s="126">
        <f>'C'!X67</f>
        <v>37137</v>
      </c>
      <c r="G1115" s="39">
        <f>'C'!Y67</f>
        <v>15</v>
      </c>
      <c r="H1115" s="135">
        <f>D!W67</f>
        <v>9393</v>
      </c>
      <c r="I1115" s="126">
        <f>D!X67</f>
        <v>37137</v>
      </c>
      <c r="J1115" s="122">
        <f>D!Y67</f>
        <v>15</v>
      </c>
      <c r="K1115" s="135">
        <f>E!W67</f>
        <v>10595.642610246778</v>
      </c>
      <c r="L1115" s="122" t="str">
        <f>E!X67</f>
        <v>07/10</v>
      </c>
      <c r="M1115" s="122" t="str">
        <f>E!Y67</f>
        <v>13:00</v>
      </c>
      <c r="N1115" s="132">
        <f>F!W67</f>
        <v>10755</v>
      </c>
      <c r="O1115" s="120">
        <f>F!X67</f>
        <v>276</v>
      </c>
      <c r="P1115" s="120">
        <f>F!Y67</f>
        <v>8</v>
      </c>
      <c r="Q1115" s="132">
        <f>G!W67</f>
        <v>11603</v>
      </c>
      <c r="R1115" s="120">
        <f>G!X67</f>
        <v>37836</v>
      </c>
      <c r="S1115" s="120">
        <f>G!Y67</f>
        <v>7</v>
      </c>
      <c r="T1115">
        <f>YD!W67</f>
        <v>0</v>
      </c>
      <c r="U1115">
        <f>YD!X67</f>
        <v>0</v>
      </c>
      <c r="V1115">
        <f>YD!Y67</f>
        <v>0</v>
      </c>
      <c r="W1115" s="2">
        <f>I!W67</f>
        <v>0</v>
      </c>
      <c r="X1115" s="2">
        <f>I!X67</f>
        <v>0</v>
      </c>
      <c r="Y1115" s="2">
        <f>I!Y67</f>
        <v>0</v>
      </c>
      <c r="Z1115" s="2">
        <f>J!W67</f>
        <v>0</v>
      </c>
      <c r="AA1115" s="2">
        <f>J!X67</f>
        <v>0</v>
      </c>
      <c r="AB1115" s="2">
        <f>J!Y67</f>
        <v>0</v>
      </c>
    </row>
    <row r="1116" spans="1:28">
      <c r="A1116" s="69" t="s">
        <v>108</v>
      </c>
      <c r="B1116" s="39">
        <f>B!W68</f>
        <v>9275.16</v>
      </c>
      <c r="C1116" s="39" t="str">
        <f>B!X68</f>
        <v>02-Oct</v>
      </c>
      <c r="D1116" s="39">
        <f>B!Y68</f>
        <v>10</v>
      </c>
      <c r="E1116" s="131">
        <f>'C'!W68</f>
        <v>10026</v>
      </c>
      <c r="F1116" s="126">
        <f>'C'!X68</f>
        <v>37531</v>
      </c>
      <c r="G1116" s="39">
        <f>'C'!Y68</f>
        <v>9</v>
      </c>
      <c r="H1116" s="135">
        <f>D!W68</f>
        <v>10336</v>
      </c>
      <c r="I1116" s="126">
        <f>D!X68</f>
        <v>37531</v>
      </c>
      <c r="J1116" s="122">
        <f>D!Y68</f>
        <v>9</v>
      </c>
      <c r="K1116" s="135">
        <f>E!W68</f>
        <v>8907.2199211284442</v>
      </c>
      <c r="L1116" s="122" t="str">
        <f>E!X68</f>
        <v>10/02</v>
      </c>
      <c r="M1116" s="122" t="str">
        <f>E!Y68</f>
        <v>10:00</v>
      </c>
      <c r="N1116" s="132">
        <f>F!W68</f>
        <v>8859</v>
      </c>
      <c r="O1116" s="120">
        <f>F!X68</f>
        <v>247</v>
      </c>
      <c r="P1116" s="120">
        <f>F!Y68</f>
        <v>17</v>
      </c>
      <c r="Q1116" s="132">
        <f>G!W68</f>
        <v>8934</v>
      </c>
      <c r="R1116" s="120">
        <f>G!X68</f>
        <v>37867</v>
      </c>
      <c r="S1116" s="120">
        <f>G!Y68</f>
        <v>17</v>
      </c>
      <c r="T1116">
        <f>YD!W68</f>
        <v>0</v>
      </c>
      <c r="U1116">
        <f>YD!X68</f>
        <v>0</v>
      </c>
      <c r="V1116">
        <f>YD!Y68</f>
        <v>0</v>
      </c>
      <c r="W1116" s="2">
        <f>I!W68</f>
        <v>0</v>
      </c>
      <c r="X1116" s="2">
        <f>I!X68</f>
        <v>0</v>
      </c>
      <c r="Y1116" s="2">
        <f>I!Y68</f>
        <v>0</v>
      </c>
      <c r="Z1116" s="2">
        <f>J!W68</f>
        <v>0</v>
      </c>
      <c r="AA1116" s="2">
        <f>J!X68</f>
        <v>0</v>
      </c>
      <c r="AB1116" s="2">
        <f>J!Y68</f>
        <v>0</v>
      </c>
    </row>
    <row r="1117" spans="1:28">
      <c r="A1117" s="69" t="s">
        <v>109</v>
      </c>
      <c r="B1117" s="39">
        <f>B!W69</f>
        <v>27075.3</v>
      </c>
      <c r="C1117" s="39" t="str">
        <f>B!X69</f>
        <v>16-Sep</v>
      </c>
      <c r="D1117" s="39">
        <f>B!Y69</f>
        <v>15</v>
      </c>
      <c r="E1117" s="131">
        <f>'C'!W69</f>
        <v>25578</v>
      </c>
      <c r="F1117" s="126">
        <f>'C'!X69</f>
        <v>37517</v>
      </c>
      <c r="G1117" s="39">
        <f>'C'!Y69</f>
        <v>14</v>
      </c>
      <c r="H1117" s="135">
        <f>D!W69</f>
        <v>32396</v>
      </c>
      <c r="I1117" s="126">
        <f>D!X69</f>
        <v>37882</v>
      </c>
      <c r="J1117" s="122">
        <f>D!Y69</f>
        <v>15</v>
      </c>
      <c r="K1117" s="135">
        <f>E!W69</f>
        <v>26767.676668863169</v>
      </c>
      <c r="L1117" s="122" t="str">
        <f>E!X69</f>
        <v>09/16</v>
      </c>
      <c r="M1117" s="122" t="str">
        <f>E!Y69</f>
        <v>15:00</v>
      </c>
      <c r="N1117" s="132">
        <f>F!W69</f>
        <v>0</v>
      </c>
      <c r="O1117" s="120">
        <f>F!X69</f>
        <v>0</v>
      </c>
      <c r="P1117" s="120">
        <f>F!Y69</f>
        <v>0</v>
      </c>
      <c r="Q1117" s="132">
        <f>G!W69</f>
        <v>26645</v>
      </c>
      <c r="R1117" s="120">
        <f>G!X69</f>
        <v>37880</v>
      </c>
      <c r="S1117" s="120">
        <f>G!Y69</f>
        <v>14</v>
      </c>
      <c r="T1117">
        <f>YD!W69</f>
        <v>0</v>
      </c>
      <c r="U1117">
        <f>YD!X69</f>
        <v>0</v>
      </c>
      <c r="V1117">
        <f>YD!Y69</f>
        <v>0</v>
      </c>
      <c r="W1117" s="2">
        <f>I!W69</f>
        <v>0</v>
      </c>
      <c r="X1117" s="2">
        <f>I!X69</f>
        <v>0</v>
      </c>
      <c r="Y1117" s="2">
        <f>I!Y69</f>
        <v>0</v>
      </c>
      <c r="Z1117" s="2">
        <f>J!W69</f>
        <v>0</v>
      </c>
      <c r="AA1117" s="2">
        <f>J!X69</f>
        <v>0</v>
      </c>
      <c r="AB1117" s="2">
        <f>J!Y69</f>
        <v>0</v>
      </c>
    </row>
    <row r="1118" spans="1:28">
      <c r="A1118" s="69" t="s">
        <v>111</v>
      </c>
      <c r="B1118" s="39">
        <f>B!W70</f>
        <v>11138.9</v>
      </c>
      <c r="C1118" s="39" t="str">
        <f>B!X70</f>
        <v>16-Sep</v>
      </c>
      <c r="D1118" s="39">
        <f>B!Y70</f>
        <v>15</v>
      </c>
      <c r="E1118" s="131">
        <f>'C'!W70</f>
        <v>9304</v>
      </c>
      <c r="F1118" s="126">
        <f>'C'!X70</f>
        <v>37137</v>
      </c>
      <c r="G1118" s="39">
        <f>'C'!Y70</f>
        <v>15</v>
      </c>
      <c r="H1118" s="135">
        <f>D!W70</f>
        <v>9391</v>
      </c>
      <c r="I1118" s="126">
        <f>D!X70</f>
        <v>37867</v>
      </c>
      <c r="J1118" s="122">
        <f>D!Y70</f>
        <v>15</v>
      </c>
      <c r="K1118" s="135">
        <f>E!W70</f>
        <v>10595.085021236055</v>
      </c>
      <c r="L1118" s="122" t="str">
        <f>E!X70</f>
        <v>07/10</v>
      </c>
      <c r="M1118" s="122" t="str">
        <f>E!Y70</f>
        <v>13:00</v>
      </c>
      <c r="N1118" s="132">
        <f>F!W70</f>
        <v>0</v>
      </c>
      <c r="O1118" s="120">
        <f>F!X70</f>
        <v>0</v>
      </c>
      <c r="P1118" s="120">
        <f>F!Y70</f>
        <v>0</v>
      </c>
      <c r="Q1118" s="132">
        <f>G!W70</f>
        <v>10377</v>
      </c>
      <c r="R1118" s="120">
        <f>G!X70</f>
        <v>37873</v>
      </c>
      <c r="S1118" s="120">
        <f>G!Y70</f>
        <v>15</v>
      </c>
      <c r="T1118">
        <f>YD!W70</f>
        <v>0</v>
      </c>
      <c r="U1118">
        <f>YD!X70</f>
        <v>0</v>
      </c>
      <c r="V1118">
        <f>YD!Y70</f>
        <v>0</v>
      </c>
      <c r="W1118" s="2">
        <f>I!W70</f>
        <v>0</v>
      </c>
      <c r="X1118" s="2">
        <f>I!X70</f>
        <v>0</v>
      </c>
      <c r="Y1118" s="2">
        <f>I!Y70</f>
        <v>0</v>
      </c>
      <c r="Z1118" s="2">
        <f>J!W70</f>
        <v>0</v>
      </c>
      <c r="AA1118" s="2">
        <f>J!X70</f>
        <v>0</v>
      </c>
      <c r="AB1118" s="2">
        <f>J!Y70</f>
        <v>0</v>
      </c>
    </row>
    <row r="1119" spans="1:28">
      <c r="A1119" s="69" t="s">
        <v>112</v>
      </c>
      <c r="B1119" s="39">
        <f>B!W71</f>
        <v>9751.0400000000009</v>
      </c>
      <c r="C1119" s="39" t="str">
        <f>B!X71</f>
        <v>01-Oct</v>
      </c>
      <c r="D1119" s="39">
        <f>B!Y71</f>
        <v>13</v>
      </c>
      <c r="E1119" s="131">
        <f>'C'!W71</f>
        <v>9304</v>
      </c>
      <c r="F1119" s="126">
        <f>'C'!X71</f>
        <v>37137</v>
      </c>
      <c r="G1119" s="39">
        <f>'C'!Y71</f>
        <v>15</v>
      </c>
      <c r="H1119" s="135">
        <f>D!W71</f>
        <v>9394</v>
      </c>
      <c r="I1119" s="126">
        <f>D!X71</f>
        <v>37867</v>
      </c>
      <c r="J1119" s="122">
        <f>D!Y71</f>
        <v>15</v>
      </c>
      <c r="K1119" s="135">
        <f>E!W71</f>
        <v>10595.085021235862</v>
      </c>
      <c r="L1119" s="122" t="str">
        <f>E!X71</f>
        <v>07/10</v>
      </c>
      <c r="M1119" s="122" t="str">
        <f>E!Y71</f>
        <v>13:00</v>
      </c>
      <c r="N1119" s="132">
        <f>F!W71</f>
        <v>0</v>
      </c>
      <c r="O1119" s="120">
        <f>F!X71</f>
        <v>0</v>
      </c>
      <c r="P1119" s="120">
        <f>F!Y71</f>
        <v>0</v>
      </c>
      <c r="Q1119" s="132">
        <f>G!W71</f>
        <v>10394</v>
      </c>
      <c r="R1119" s="120">
        <f>G!X71</f>
        <v>37867</v>
      </c>
      <c r="S1119" s="120">
        <f>G!Y71</f>
        <v>15</v>
      </c>
      <c r="T1119">
        <f>YD!W71</f>
        <v>0</v>
      </c>
      <c r="U1119">
        <f>YD!X71</f>
        <v>0</v>
      </c>
      <c r="V1119">
        <f>YD!Y71</f>
        <v>0</v>
      </c>
      <c r="W1119" s="2">
        <f>I!W71</f>
        <v>0</v>
      </c>
      <c r="X1119" s="2">
        <f>I!X71</f>
        <v>0</v>
      </c>
      <c r="Y1119" s="2">
        <f>I!Y71</f>
        <v>0</v>
      </c>
      <c r="Z1119" s="2">
        <f>J!W71</f>
        <v>0</v>
      </c>
      <c r="AA1119" s="2">
        <f>J!X71</f>
        <v>0</v>
      </c>
      <c r="AB1119" s="2">
        <f>J!Y71</f>
        <v>0</v>
      </c>
    </row>
    <row r="1120" spans="1:28">
      <c r="A1120" s="69" t="s">
        <v>113</v>
      </c>
      <c r="B1120" s="39">
        <f>B!W72</f>
        <v>9635.7000000000007</v>
      </c>
      <c r="C1120" s="39" t="str">
        <f>B!X72</f>
        <v>03-Sep</v>
      </c>
      <c r="D1120" s="39">
        <f>B!Y72</f>
        <v>16</v>
      </c>
      <c r="E1120" s="131">
        <f>'C'!W72</f>
        <v>11105</v>
      </c>
      <c r="F1120" s="126">
        <f>'C'!X72</f>
        <v>38284</v>
      </c>
      <c r="G1120" s="39">
        <f>'C'!Y72</f>
        <v>14</v>
      </c>
      <c r="H1120" s="135">
        <f>D!W72</f>
        <v>11101</v>
      </c>
      <c r="I1120" s="126">
        <f>D!X72</f>
        <v>37762</v>
      </c>
      <c r="J1120" s="122">
        <f>D!Y72</f>
        <v>15</v>
      </c>
      <c r="K1120" s="135">
        <f>E!W72</f>
        <v>11375.324837683278</v>
      </c>
      <c r="L1120" s="122" t="str">
        <f>E!X72</f>
        <v>10/24</v>
      </c>
      <c r="M1120" s="122" t="str">
        <f>E!Y72</f>
        <v>13:00</v>
      </c>
      <c r="N1120" s="132">
        <f>F!W72</f>
        <v>0</v>
      </c>
      <c r="O1120" s="120">
        <f>F!X72</f>
        <v>0</v>
      </c>
      <c r="P1120" s="120">
        <f>F!Y72</f>
        <v>0</v>
      </c>
      <c r="Q1120" s="132">
        <f>G!W72</f>
        <v>10394</v>
      </c>
      <c r="R1120" s="120">
        <f>G!X72</f>
        <v>37867</v>
      </c>
      <c r="S1120" s="120">
        <f>G!Y72</f>
        <v>15</v>
      </c>
      <c r="T1120">
        <f>YD!W72</f>
        <v>0</v>
      </c>
      <c r="U1120">
        <f>YD!X72</f>
        <v>0</v>
      </c>
      <c r="V1120">
        <f>YD!Y72</f>
        <v>0</v>
      </c>
      <c r="W1120" s="2">
        <f>I!W72</f>
        <v>0</v>
      </c>
      <c r="X1120" s="2">
        <f>I!X72</f>
        <v>0</v>
      </c>
      <c r="Y1120" s="2">
        <f>I!Y72</f>
        <v>0</v>
      </c>
      <c r="Z1120" s="2">
        <f>J!W72</f>
        <v>0</v>
      </c>
      <c r="AA1120" s="2">
        <f>J!X72</f>
        <v>0</v>
      </c>
      <c r="AB1120" s="2">
        <f>J!Y72</f>
        <v>0</v>
      </c>
    </row>
    <row r="1121" spans="1:28">
      <c r="A1121" s="69" t="s">
        <v>114</v>
      </c>
      <c r="B1121" s="39">
        <f>B!W73</f>
        <v>9635.7000000000007</v>
      </c>
      <c r="C1121" s="39" t="str">
        <f>B!X73</f>
        <v>03-Sep</v>
      </c>
      <c r="D1121" s="39">
        <f>B!Y73</f>
        <v>16</v>
      </c>
      <c r="E1121" s="131">
        <f>'C'!W73</f>
        <v>9304</v>
      </c>
      <c r="F1121" s="126">
        <f>'C'!X73</f>
        <v>37137</v>
      </c>
      <c r="G1121" s="39">
        <f>'C'!Y73</f>
        <v>15</v>
      </c>
      <c r="H1121" s="135">
        <f>D!W73</f>
        <v>9391</v>
      </c>
      <c r="I1121" s="126">
        <f>D!X73</f>
        <v>37867</v>
      </c>
      <c r="J1121" s="122">
        <f>D!Y73</f>
        <v>15</v>
      </c>
      <c r="K1121" s="135">
        <f>E!W73</f>
        <v>10595.085021235916</v>
      </c>
      <c r="L1121" s="122" t="str">
        <f>E!X73</f>
        <v>07/10</v>
      </c>
      <c r="M1121" s="122" t="str">
        <f>E!Y73</f>
        <v>13:00</v>
      </c>
      <c r="N1121" s="132">
        <f>F!W73</f>
        <v>0</v>
      </c>
      <c r="O1121" s="120">
        <f>F!X73</f>
        <v>0</v>
      </c>
      <c r="P1121" s="120">
        <f>F!Y73</f>
        <v>0</v>
      </c>
      <c r="Q1121" s="132">
        <f>G!W73</f>
        <v>10139</v>
      </c>
      <c r="R1121" s="120">
        <f>G!X73</f>
        <v>37867</v>
      </c>
      <c r="S1121" s="120">
        <f>G!Y73</f>
        <v>15</v>
      </c>
      <c r="T1121">
        <f>YD!W73</f>
        <v>0</v>
      </c>
      <c r="U1121">
        <f>YD!X73</f>
        <v>0</v>
      </c>
      <c r="V1121">
        <f>YD!Y73</f>
        <v>0</v>
      </c>
      <c r="W1121" s="2">
        <f>I!W73</f>
        <v>0</v>
      </c>
      <c r="X1121" s="2">
        <f>I!X73</f>
        <v>0</v>
      </c>
      <c r="Y1121" s="2">
        <f>I!Y73</f>
        <v>0</v>
      </c>
      <c r="Z1121" s="2">
        <f>J!W73</f>
        <v>0</v>
      </c>
      <c r="AA1121" s="2">
        <f>J!X73</f>
        <v>0</v>
      </c>
      <c r="AB1121" s="2">
        <f>J!Y73</f>
        <v>0</v>
      </c>
    </row>
    <row r="1122" spans="1:28">
      <c r="A1122" s="69" t="s">
        <v>115</v>
      </c>
      <c r="B1122" s="39">
        <f>B!W74</f>
        <v>7965.46</v>
      </c>
      <c r="C1122" s="39" t="str">
        <f>B!X74</f>
        <v>06-Oct</v>
      </c>
      <c r="D1122" s="39">
        <f>B!Y74</f>
        <v>15</v>
      </c>
      <c r="E1122" s="131">
        <f>'C'!W74</f>
        <v>7733</v>
      </c>
      <c r="F1122" s="126">
        <f>'C'!X74</f>
        <v>37137</v>
      </c>
      <c r="G1122" s="39">
        <f>'C'!Y74</f>
        <v>15</v>
      </c>
      <c r="H1122" s="135">
        <f>D!W74</f>
        <v>7733</v>
      </c>
      <c r="I1122" s="126">
        <f>D!X74</f>
        <v>37137</v>
      </c>
      <c r="J1122" s="122">
        <f>D!Y74</f>
        <v>15</v>
      </c>
      <c r="K1122" s="135">
        <f>E!W74</f>
        <v>7908.957215893055</v>
      </c>
      <c r="L1122" s="122" t="str">
        <f>E!X74</f>
        <v>06/29</v>
      </c>
      <c r="M1122" s="122" t="str">
        <f>E!Y74</f>
        <v>16:00</v>
      </c>
      <c r="N1122" s="132">
        <f>F!W74</f>
        <v>7805</v>
      </c>
      <c r="O1122" s="120">
        <f>F!X74</f>
        <v>181</v>
      </c>
      <c r="P1122" s="120">
        <f>F!Y74</f>
        <v>16</v>
      </c>
      <c r="Q1122" s="132">
        <f>G!W74</f>
        <v>7762</v>
      </c>
      <c r="R1122" s="120">
        <f>G!X74</f>
        <v>37801</v>
      </c>
      <c r="S1122" s="120">
        <f>G!Y74</f>
        <v>15</v>
      </c>
      <c r="T1122">
        <f>YD!W74</f>
        <v>0</v>
      </c>
      <c r="U1122">
        <f>YD!X74</f>
        <v>0</v>
      </c>
      <c r="V1122">
        <f>YD!Y74</f>
        <v>0</v>
      </c>
      <c r="W1122" s="2">
        <f>I!W74</f>
        <v>0</v>
      </c>
      <c r="X1122" s="2">
        <f>I!X74</f>
        <v>0</v>
      </c>
      <c r="Y1122" s="2">
        <f>I!Y74</f>
        <v>0</v>
      </c>
      <c r="Z1122" s="2">
        <f>J!W74</f>
        <v>0</v>
      </c>
      <c r="AA1122" s="2">
        <f>J!X74</f>
        <v>0</v>
      </c>
      <c r="AB1122" s="2">
        <f>J!Y74</f>
        <v>0</v>
      </c>
    </row>
    <row r="1123" spans="1:28">
      <c r="A1123" s="69" t="s">
        <v>121</v>
      </c>
      <c r="B1123" s="39">
        <f>B!W75</f>
        <v>8892.56</v>
      </c>
      <c r="C1123" s="39" t="str">
        <f>B!X75</f>
        <v>15-Sep</v>
      </c>
      <c r="D1123" s="39">
        <f>B!Y75</f>
        <v>11</v>
      </c>
      <c r="E1123" s="131">
        <f>'C'!W75</f>
        <v>8723</v>
      </c>
      <c r="F1123" s="126">
        <f>'C'!X75</f>
        <v>37531</v>
      </c>
      <c r="G1123" s="39">
        <f>'C'!Y75</f>
        <v>9</v>
      </c>
      <c r="H1123" s="135">
        <f>D!W75</f>
        <v>8723</v>
      </c>
      <c r="I1123" s="126">
        <f>D!X75</f>
        <v>37896</v>
      </c>
      <c r="J1123" s="122">
        <f>D!Y75</f>
        <v>9</v>
      </c>
      <c r="K1123" s="135">
        <f>E!W75</f>
        <v>9041.0375311837779</v>
      </c>
      <c r="L1123" s="122" t="str">
        <f>E!X75</f>
        <v>06/17</v>
      </c>
      <c r="M1123" s="122" t="str">
        <f>E!Y75</f>
        <v>14:00</v>
      </c>
      <c r="N1123" s="132">
        <f>F!W75</f>
        <v>8850</v>
      </c>
      <c r="O1123" s="120">
        <f>F!X75</f>
        <v>169</v>
      </c>
      <c r="P1123" s="120">
        <f>F!Y75</f>
        <v>14</v>
      </c>
      <c r="Q1123" s="132">
        <f>G!W75</f>
        <v>8874</v>
      </c>
      <c r="R1123" s="120">
        <f>G!X75</f>
        <v>37789</v>
      </c>
      <c r="S1123" s="120">
        <f>G!Y75</f>
        <v>13</v>
      </c>
      <c r="T1123">
        <f>YD!W75</f>
        <v>0</v>
      </c>
      <c r="U1123">
        <f>YD!X75</f>
        <v>0</v>
      </c>
      <c r="V1123">
        <f>YD!Y75</f>
        <v>0</v>
      </c>
      <c r="W1123" s="2">
        <f>I!W75</f>
        <v>0</v>
      </c>
      <c r="X1123" s="2">
        <f>I!X75</f>
        <v>0</v>
      </c>
      <c r="Y1123" s="2">
        <f>I!Y75</f>
        <v>0</v>
      </c>
      <c r="Z1123" s="2">
        <f>J!W75</f>
        <v>0</v>
      </c>
      <c r="AA1123" s="2">
        <f>J!X75</f>
        <v>0</v>
      </c>
      <c r="AB1123" s="2">
        <f>J!Y75</f>
        <v>0</v>
      </c>
    </row>
    <row r="1124" spans="1:28">
      <c r="A1124" s="69" t="s">
        <v>125</v>
      </c>
      <c r="B1124" s="39">
        <f>B!W76</f>
        <v>7913.7</v>
      </c>
      <c r="C1124" s="39" t="str">
        <f>B!X76</f>
        <v>28-Sep</v>
      </c>
      <c r="D1124" s="39">
        <f>B!Y76</f>
        <v>15</v>
      </c>
      <c r="E1124" s="131">
        <f>'C'!W76</f>
        <v>7785</v>
      </c>
      <c r="F1124" s="126">
        <f>'C'!X76</f>
        <v>37137</v>
      </c>
      <c r="G1124" s="39">
        <f>'C'!Y76</f>
        <v>15</v>
      </c>
      <c r="H1124" s="135">
        <f>D!W76</f>
        <v>7785</v>
      </c>
      <c r="I1124" s="126">
        <f>D!X76</f>
        <v>37137</v>
      </c>
      <c r="J1124" s="122">
        <f>D!Y76</f>
        <v>15</v>
      </c>
      <c r="K1124" s="135">
        <f>E!W76</f>
        <v>7785.2261007561392</v>
      </c>
      <c r="L1124" s="122" t="str">
        <f>E!X76</f>
        <v>06/29</v>
      </c>
      <c r="M1124" s="122" t="str">
        <f>E!Y76</f>
        <v>16:00</v>
      </c>
      <c r="N1124" s="132">
        <f>F!W76</f>
        <v>7726</v>
      </c>
      <c r="O1124" s="120">
        <f>F!X76</f>
        <v>182</v>
      </c>
      <c r="P1124" s="120">
        <f>F!Y76</f>
        <v>16</v>
      </c>
      <c r="Q1124" s="132">
        <f>G!W76</f>
        <v>7964</v>
      </c>
      <c r="R1124" s="120">
        <f>G!X76</f>
        <v>37764</v>
      </c>
      <c r="S1124" s="120">
        <f>G!Y76</f>
        <v>15</v>
      </c>
      <c r="T1124">
        <f>YD!W76</f>
        <v>0</v>
      </c>
      <c r="U1124">
        <f>YD!X76</f>
        <v>0</v>
      </c>
      <c r="V1124">
        <f>YD!Y76</f>
        <v>0</v>
      </c>
      <c r="W1124" s="2">
        <f>I!W76</f>
        <v>0</v>
      </c>
      <c r="X1124" s="2">
        <f>I!X76</f>
        <v>0</v>
      </c>
      <c r="Y1124" s="2">
        <f>I!Y76</f>
        <v>0</v>
      </c>
      <c r="Z1124" s="2">
        <f>J!W76</f>
        <v>0</v>
      </c>
      <c r="AA1124" s="2">
        <f>J!X76</f>
        <v>0</v>
      </c>
      <c r="AB1124" s="2">
        <f>J!Y76</f>
        <v>0</v>
      </c>
    </row>
    <row r="1125" spans="1:28">
      <c r="A1125" s="69" t="s">
        <v>127</v>
      </c>
      <c r="B1125" s="39">
        <f>B!W77</f>
        <v>7906.7</v>
      </c>
      <c r="C1125" s="39" t="str">
        <f>B!X77</f>
        <v>02-Mai</v>
      </c>
      <c r="D1125" s="39">
        <f>B!Y77</f>
        <v>15</v>
      </c>
      <c r="E1125" s="131">
        <f>'C'!W77</f>
        <v>7760</v>
      </c>
      <c r="F1125" s="126">
        <f>'C'!X77</f>
        <v>37137</v>
      </c>
      <c r="G1125" s="39">
        <f>'C'!Y77</f>
        <v>15</v>
      </c>
      <c r="H1125" s="135">
        <f>D!W77</f>
        <v>7760</v>
      </c>
      <c r="I1125" s="126">
        <f>D!X77</f>
        <v>37137</v>
      </c>
      <c r="J1125" s="122">
        <f>D!Y77</f>
        <v>15</v>
      </c>
      <c r="K1125" s="135">
        <f>E!W77</f>
        <v>7850.1655950411105</v>
      </c>
      <c r="L1125" s="122" t="str">
        <f>E!X77</f>
        <v>06/29</v>
      </c>
      <c r="M1125" s="122" t="str">
        <f>E!Y77</f>
        <v>16:00</v>
      </c>
      <c r="N1125" s="132">
        <f>F!W77</f>
        <v>7743</v>
      </c>
      <c r="O1125" s="120">
        <f>F!X77</f>
        <v>181</v>
      </c>
      <c r="P1125" s="120">
        <f>F!Y77</f>
        <v>16</v>
      </c>
      <c r="Q1125" s="132">
        <f>G!W77</f>
        <v>7745</v>
      </c>
      <c r="R1125" s="120">
        <f>G!X77</f>
        <v>37801</v>
      </c>
      <c r="S1125" s="120">
        <f>G!Y77</f>
        <v>15</v>
      </c>
      <c r="T1125">
        <f>YD!W77</f>
        <v>0</v>
      </c>
      <c r="U1125">
        <f>YD!X77</f>
        <v>0</v>
      </c>
      <c r="V1125">
        <f>YD!Y77</f>
        <v>0</v>
      </c>
      <c r="W1125" s="2">
        <f>I!W77</f>
        <v>0</v>
      </c>
      <c r="X1125" s="2">
        <f>I!X77</f>
        <v>0</v>
      </c>
      <c r="Y1125" s="2">
        <f>I!Y77</f>
        <v>0</v>
      </c>
      <c r="Z1125" s="2">
        <f>J!W77</f>
        <v>0</v>
      </c>
      <c r="AA1125" s="2">
        <f>J!X77</f>
        <v>0</v>
      </c>
      <c r="AB1125" s="2">
        <f>J!Y77</f>
        <v>0</v>
      </c>
    </row>
    <row r="1126" spans="1:28">
      <c r="A1126" s="69" t="s">
        <v>130</v>
      </c>
      <c r="B1126" s="39">
        <f>B!W78</f>
        <v>8037.07</v>
      </c>
      <c r="C1126" s="39" t="str">
        <f>B!X78</f>
        <v>26-Jul</v>
      </c>
      <c r="D1126" s="39">
        <f>B!Y78</f>
        <v>16</v>
      </c>
      <c r="E1126" s="131">
        <f>'C'!W78</f>
        <v>7663</v>
      </c>
      <c r="F1126" s="126">
        <f>'C'!X78</f>
        <v>37137</v>
      </c>
      <c r="G1126" s="39">
        <f>'C'!Y78</f>
        <v>15</v>
      </c>
      <c r="H1126" s="135">
        <f>D!W78</f>
        <v>7663</v>
      </c>
      <c r="I1126" s="126">
        <f>D!X78</f>
        <v>37137</v>
      </c>
      <c r="J1126" s="122">
        <f>D!Y78</f>
        <v>15</v>
      </c>
      <c r="K1126" s="135">
        <f>E!W78</f>
        <v>8006.3954937051394</v>
      </c>
      <c r="L1126" s="122" t="str">
        <f>E!X78</f>
        <v>06/29</v>
      </c>
      <c r="M1126" s="122" t="str">
        <f>E!Y78</f>
        <v>16:00</v>
      </c>
      <c r="N1126" s="132">
        <f>F!W78</f>
        <v>7938</v>
      </c>
      <c r="O1126" s="120">
        <f>F!X78</f>
        <v>181</v>
      </c>
      <c r="P1126" s="120">
        <f>F!Y78</f>
        <v>16</v>
      </c>
      <c r="Q1126" s="132">
        <f>G!W78</f>
        <v>7820</v>
      </c>
      <c r="R1126" s="120">
        <f>G!X78</f>
        <v>37801</v>
      </c>
      <c r="S1126" s="120">
        <f>G!Y78</f>
        <v>15</v>
      </c>
      <c r="T1126">
        <f>YD!W78</f>
        <v>0</v>
      </c>
      <c r="U1126">
        <f>YD!X78</f>
        <v>0</v>
      </c>
      <c r="V1126">
        <f>YD!Y78</f>
        <v>0</v>
      </c>
      <c r="W1126" s="2">
        <f>I!W78</f>
        <v>0</v>
      </c>
      <c r="X1126" s="2">
        <f>I!X78</f>
        <v>0</v>
      </c>
      <c r="Y1126" s="2">
        <f>I!Y78</f>
        <v>0</v>
      </c>
      <c r="Z1126" s="2">
        <f>J!W78</f>
        <v>0</v>
      </c>
      <c r="AA1126" s="2">
        <f>J!X78</f>
        <v>0</v>
      </c>
      <c r="AB1126" s="2">
        <f>J!Y78</f>
        <v>0</v>
      </c>
    </row>
    <row r="1127" spans="1:28">
      <c r="A1127" s="69" t="s">
        <v>132</v>
      </c>
      <c r="B1127" s="39">
        <f>B!W79</f>
        <v>1.6431299999999999E-11</v>
      </c>
      <c r="C1127" s="39" t="str">
        <f>B!X79</f>
        <v>18-Jun</v>
      </c>
      <c r="D1127" s="39">
        <f>B!Y79</f>
        <v>16</v>
      </c>
      <c r="E1127" s="131">
        <f>'C'!W79</f>
        <v>0</v>
      </c>
      <c r="F1127" s="126">
        <f>'C'!X79</f>
        <v>0</v>
      </c>
      <c r="G1127" s="39">
        <f>'C'!Y79</f>
        <v>0</v>
      </c>
      <c r="H1127" s="135">
        <f>D!W79</f>
        <v>0</v>
      </c>
      <c r="I1127" s="126">
        <f>D!X79</f>
        <v>0</v>
      </c>
      <c r="J1127" s="122">
        <f>D!Y79</f>
        <v>0</v>
      </c>
      <c r="K1127" s="135">
        <f>E!W79</f>
        <v>110.17833767868278</v>
      </c>
      <c r="L1127" s="122" t="str">
        <f>E!X79</f>
        <v>03/16</v>
      </c>
      <c r="M1127" s="122" t="str">
        <f>E!Y79</f>
        <v>10:00</v>
      </c>
      <c r="N1127" s="132">
        <f>F!W79</f>
        <v>179</v>
      </c>
      <c r="O1127" s="120">
        <f>F!X79</f>
        <v>71</v>
      </c>
      <c r="P1127" s="120">
        <f>F!Y79</f>
        <v>11</v>
      </c>
      <c r="Q1127" s="132">
        <f>G!W79</f>
        <v>35.9</v>
      </c>
      <c r="R1127" s="120">
        <f>G!X79</f>
        <v>37926</v>
      </c>
      <c r="S1127" s="120">
        <f>G!Y79</f>
        <v>20</v>
      </c>
      <c r="T1127">
        <f>YD!W79</f>
        <v>0</v>
      </c>
      <c r="U1127">
        <f>YD!X79</f>
        <v>0</v>
      </c>
      <c r="V1127">
        <f>YD!Y79</f>
        <v>0</v>
      </c>
      <c r="W1127" s="2">
        <f>I!W79</f>
        <v>0</v>
      </c>
      <c r="X1127" s="2">
        <f>I!X79</f>
        <v>0</v>
      </c>
      <c r="Y1127" s="2">
        <f>I!Y79</f>
        <v>0</v>
      </c>
      <c r="Z1127" s="2">
        <f>J!W79</f>
        <v>0</v>
      </c>
      <c r="AA1127" s="2">
        <f>J!X79</f>
        <v>0</v>
      </c>
      <c r="AB1127" s="2">
        <f>J!Y79</f>
        <v>0</v>
      </c>
    </row>
    <row r="1128" spans="1:28">
      <c r="A1128" s="69" t="s">
        <v>135</v>
      </c>
      <c r="B1128" s="39">
        <f>B!W80</f>
        <v>627.18600000000004</v>
      </c>
      <c r="C1128" s="39" t="str">
        <f>B!X80</f>
        <v>11-Mar</v>
      </c>
      <c r="D1128" s="39">
        <f>B!Y80</f>
        <v>10</v>
      </c>
      <c r="E1128" s="131">
        <f>'C'!W80</f>
        <v>0</v>
      </c>
      <c r="F1128" s="126">
        <f>'C'!X80</f>
        <v>0</v>
      </c>
      <c r="G1128" s="39">
        <f>'C'!Y80</f>
        <v>0</v>
      </c>
      <c r="H1128" s="135">
        <f>D!W80</f>
        <v>0</v>
      </c>
      <c r="I1128" s="126">
        <f>D!X80</f>
        <v>0</v>
      </c>
      <c r="J1128" s="122">
        <f>D!Y80</f>
        <v>0</v>
      </c>
      <c r="K1128" s="135">
        <f>E!W80</f>
        <v>1636.3589513277166</v>
      </c>
      <c r="L1128" s="122" t="str">
        <f>E!X80</f>
        <v>03/11</v>
      </c>
      <c r="M1128" s="122" t="str">
        <f>E!Y80</f>
        <v>10:00</v>
      </c>
      <c r="N1128" s="132">
        <f>F!W80</f>
        <v>845</v>
      </c>
      <c r="O1128" s="120">
        <f>F!X80</f>
        <v>71</v>
      </c>
      <c r="P1128" s="120">
        <f>F!Y80</f>
        <v>10</v>
      </c>
      <c r="Q1128" s="132">
        <f>G!W80</f>
        <v>1181</v>
      </c>
      <c r="R1128" s="120">
        <f>G!X80</f>
        <v>37691</v>
      </c>
      <c r="S1128" s="120">
        <f>G!Y80</f>
        <v>10</v>
      </c>
      <c r="T1128">
        <f>YD!W80</f>
        <v>0</v>
      </c>
      <c r="U1128">
        <f>YD!X80</f>
        <v>0</v>
      </c>
      <c r="V1128">
        <f>YD!Y80</f>
        <v>0</v>
      </c>
      <c r="W1128" s="2">
        <f>I!W80</f>
        <v>0</v>
      </c>
      <c r="X1128" s="2">
        <f>I!X80</f>
        <v>0</v>
      </c>
      <c r="Y1128" s="2">
        <f>I!Y80</f>
        <v>0</v>
      </c>
      <c r="Z1128" s="2">
        <f>J!W80</f>
        <v>0</v>
      </c>
      <c r="AA1128" s="2">
        <f>J!X80</f>
        <v>0</v>
      </c>
      <c r="AB1128" s="2">
        <f>J!Y80</f>
        <v>0</v>
      </c>
    </row>
    <row r="1129" spans="1:28">
      <c r="A1129" s="70" t="s">
        <v>138</v>
      </c>
      <c r="B1129" s="39">
        <f>B!W81</f>
        <v>1.81188E-11</v>
      </c>
      <c r="C1129" s="39" t="str">
        <f>B!X81</f>
        <v>01-Jul</v>
      </c>
      <c r="D1129" s="39">
        <f>B!Y81</f>
        <v>16</v>
      </c>
      <c r="E1129" s="131">
        <f>'C'!W81</f>
        <v>0</v>
      </c>
      <c r="F1129" s="126">
        <f>'C'!X81</f>
        <v>0</v>
      </c>
      <c r="G1129" s="39">
        <f>'C'!Y81</f>
        <v>0</v>
      </c>
      <c r="H1129" s="135">
        <f>D!W81</f>
        <v>0</v>
      </c>
      <c r="I1129" s="126">
        <f>D!X81</f>
        <v>0</v>
      </c>
      <c r="J1129" s="122">
        <f>D!Y81</f>
        <v>0</v>
      </c>
      <c r="K1129" s="135">
        <f>E!W81</f>
        <v>8.2784228854709169E-12</v>
      </c>
      <c r="L1129" s="122" t="str">
        <f>E!X81</f>
        <v>05/29</v>
      </c>
      <c r="M1129" s="122" t="str">
        <f>E!Y81</f>
        <v>13:00</v>
      </c>
      <c r="N1129" s="132">
        <f>F!W81</f>
        <v>4</v>
      </c>
      <c r="O1129" s="120">
        <f>F!X81</f>
        <v>202</v>
      </c>
      <c r="P1129" s="120">
        <f>F!Y81</f>
        <v>15</v>
      </c>
      <c r="Q1129" s="132">
        <f>G!W81</f>
        <v>0</v>
      </c>
      <c r="R1129" s="120">
        <f>G!X81</f>
        <v>37622</v>
      </c>
      <c r="S1129" s="120">
        <f>G!Y81</f>
        <v>1</v>
      </c>
      <c r="T1129">
        <f>YD!W81</f>
        <v>0</v>
      </c>
      <c r="U1129">
        <f>YD!X81</f>
        <v>0</v>
      </c>
      <c r="V1129">
        <f>YD!Y81</f>
        <v>0</v>
      </c>
      <c r="W1129" s="2">
        <f>I!W81</f>
        <v>0</v>
      </c>
      <c r="X1129" s="2">
        <f>I!X81</f>
        <v>0</v>
      </c>
      <c r="Y1129" s="2">
        <f>I!Y81</f>
        <v>0</v>
      </c>
      <c r="Z1129" s="2">
        <f>J!W81</f>
        <v>0</v>
      </c>
      <c r="AA1129" s="2">
        <f>J!X81</f>
        <v>0</v>
      </c>
      <c r="AB1129" s="2">
        <f>J!Y81</f>
        <v>0</v>
      </c>
    </row>
    <row r="1130" spans="1:28">
      <c r="E1130" s="132"/>
      <c r="H1130" s="136"/>
      <c r="I1130" s="15"/>
      <c r="J1130" s="15"/>
      <c r="K1130" s="136"/>
      <c r="L1130" s="15"/>
      <c r="M1130" s="15"/>
      <c r="N1130" s="132"/>
      <c r="Q1130" s="132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E1131" s="132"/>
      <c r="H1131" s="136"/>
      <c r="I1131" s="15"/>
      <c r="J1131" s="15"/>
      <c r="K1131" s="136"/>
      <c r="L1131" s="15"/>
      <c r="M1131" s="15"/>
      <c r="N1131" s="132"/>
      <c r="Q1131" s="132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E1132" s="132"/>
      <c r="H1132" s="136"/>
      <c r="I1132" s="15"/>
      <c r="J1132" s="15"/>
      <c r="K1132" s="136"/>
      <c r="L1132" s="15"/>
      <c r="M1132" s="15"/>
      <c r="N1132" s="132"/>
      <c r="Q1132" s="132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E1133" s="132"/>
      <c r="H1133" s="136"/>
      <c r="I1133" s="15"/>
      <c r="J1133" s="15"/>
      <c r="K1133" s="136"/>
      <c r="L1133" s="15"/>
      <c r="M1133" s="15"/>
      <c r="N1133" s="132"/>
      <c r="Q1133" s="132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E1134" s="132"/>
      <c r="H1134" s="136"/>
      <c r="I1134" s="15"/>
      <c r="J1134" s="15"/>
      <c r="K1134" s="136"/>
      <c r="L1134" s="15"/>
      <c r="M1134" s="15"/>
      <c r="N1134" s="132"/>
      <c r="Q1134" s="132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E1135" s="132"/>
      <c r="H1135" s="136"/>
      <c r="I1135" s="15"/>
      <c r="J1135" s="15"/>
      <c r="K1135" s="136"/>
      <c r="L1135" s="15"/>
      <c r="M1135" s="15"/>
      <c r="N1135" s="132"/>
      <c r="Q1135" s="132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E1136" s="132"/>
      <c r="H1136" s="136"/>
      <c r="I1136" s="15"/>
      <c r="J1136" s="15"/>
      <c r="K1136" s="136"/>
      <c r="L1136" s="15"/>
      <c r="M1136" s="15"/>
      <c r="N1136" s="132"/>
      <c r="Q1136" s="132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247</v>
      </c>
      <c r="B1137" s="39"/>
      <c r="C1137" s="12"/>
      <c r="D1137" s="12"/>
      <c r="E1137" s="131"/>
      <c r="F1137" s="39"/>
      <c r="G1137" s="39"/>
      <c r="H1137" s="137"/>
      <c r="I1137" s="121"/>
      <c r="J1137" s="121"/>
      <c r="K1137" s="137"/>
      <c r="L1137" s="121"/>
      <c r="M1137" s="121"/>
      <c r="N1137" s="132"/>
      <c r="O1137" s="120"/>
      <c r="P1137" s="120"/>
      <c r="Q1137" s="132"/>
      <c r="R1137" s="121"/>
      <c r="S1137" s="121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F1138" s="120"/>
      <c r="G1138" s="120"/>
      <c r="H1138" s="130"/>
      <c r="I1138" s="121"/>
      <c r="J1138" s="121"/>
      <c r="K1138" s="10"/>
      <c r="L1138" s="121"/>
      <c r="M1138" s="121"/>
      <c r="N1138" s="10"/>
      <c r="O1138" s="120"/>
      <c r="P1138" s="120"/>
      <c r="Q1138" s="132"/>
      <c r="R1138" s="121"/>
      <c r="S1138" s="121"/>
    </row>
    <row r="1139" spans="1:28">
      <c r="A1139" s="2"/>
      <c r="B1139" s="10" t="s">
        <v>245</v>
      </c>
      <c r="C1139" t="s">
        <v>77</v>
      </c>
      <c r="D1139" t="s">
        <v>78</v>
      </c>
      <c r="E1139" s="10" t="s">
        <v>257</v>
      </c>
      <c r="F1139" s="120" t="s">
        <v>77</v>
      </c>
      <c r="G1139" s="120" t="s">
        <v>78</v>
      </c>
      <c r="H1139" s="10" t="s">
        <v>258</v>
      </c>
      <c r="I1139" s="120" t="s">
        <v>77</v>
      </c>
      <c r="J1139" s="120" t="s">
        <v>78</v>
      </c>
      <c r="K1139" s="10" t="s">
        <v>515</v>
      </c>
      <c r="L1139" s="120" t="s">
        <v>77</v>
      </c>
      <c r="M1139" s="120" t="s">
        <v>78</v>
      </c>
      <c r="N1139" s="10" t="s">
        <v>373</v>
      </c>
      <c r="O1139" s="120" t="s">
        <v>77</v>
      </c>
      <c r="P1139" s="120" t="s">
        <v>78</v>
      </c>
      <c r="Q1139" s="10" t="s">
        <v>482</v>
      </c>
      <c r="R1139" s="120" t="s">
        <v>77</v>
      </c>
      <c r="S1139" s="120" t="s">
        <v>78</v>
      </c>
      <c r="T1139" s="10" t="s">
        <v>516</v>
      </c>
      <c r="U1139" s="120" t="s">
        <v>77</v>
      </c>
      <c r="V1139" s="120" t="s">
        <v>78</v>
      </c>
      <c r="W1139" s="10" t="s">
        <v>517</v>
      </c>
      <c r="X1139" s="120" t="s">
        <v>77</v>
      </c>
      <c r="Y1139" s="120" t="s">
        <v>78</v>
      </c>
      <c r="Z1139" s="10" t="s">
        <v>517</v>
      </c>
      <c r="AA1139" s="120" t="s">
        <v>77</v>
      </c>
      <c r="AB1139" s="120" t="s">
        <v>78</v>
      </c>
    </row>
    <row r="1140" spans="1:28">
      <c r="A1140" s="69" t="s">
        <v>91</v>
      </c>
      <c r="B1140" s="39">
        <f>B!Z62</f>
        <v>32174.05</v>
      </c>
      <c r="C1140" s="39" t="str">
        <f>B!AA62</f>
        <v>08-Jul</v>
      </c>
      <c r="D1140" s="39">
        <f>B!AB62</f>
        <v>15</v>
      </c>
      <c r="E1140" s="131">
        <f>'C'!Z62</f>
        <v>31401</v>
      </c>
      <c r="F1140" s="126">
        <f>'C'!AA62</f>
        <v>37092</v>
      </c>
      <c r="G1140" s="39">
        <f>'C'!AB62</f>
        <v>15</v>
      </c>
      <c r="H1140" s="135">
        <f>D!Z62</f>
        <v>31455</v>
      </c>
      <c r="I1140" s="126">
        <f>D!AA62</f>
        <v>37092</v>
      </c>
      <c r="J1140" s="122">
        <f>D!AB62</f>
        <v>15</v>
      </c>
      <c r="K1140" s="135">
        <f>E!Z62</f>
        <v>33057.473802984721</v>
      </c>
      <c r="L1140" s="122" t="str">
        <f>E!AA62</f>
        <v>07/20</v>
      </c>
      <c r="M1140" s="122" t="str">
        <f>E!AB62</f>
        <v>15:00</v>
      </c>
      <c r="N1140" s="132">
        <f>F!Z62</f>
        <v>32502</v>
      </c>
      <c r="O1140" s="120">
        <f>F!AA62</f>
        <v>202</v>
      </c>
      <c r="P1140" s="120">
        <f>F!AB62</f>
        <v>15</v>
      </c>
      <c r="Q1140" s="132">
        <f>G!Z62</f>
        <v>32072</v>
      </c>
      <c r="R1140" s="120">
        <f>G!AA62</f>
        <v>37822</v>
      </c>
      <c r="S1140" s="120">
        <f>G!AB62</f>
        <v>15</v>
      </c>
      <c r="T1140">
        <f>YD!Z62</f>
        <v>0</v>
      </c>
      <c r="U1140">
        <f>YD!AA62</f>
        <v>0</v>
      </c>
      <c r="V1140">
        <f>YD!AB62</f>
        <v>0</v>
      </c>
      <c r="W1140" s="2">
        <f>I!Z62</f>
        <v>0</v>
      </c>
      <c r="X1140" s="2">
        <f>I!AA62</f>
        <v>0</v>
      </c>
      <c r="Y1140" s="2">
        <f>I!AB62</f>
        <v>0</v>
      </c>
      <c r="Z1140" s="2">
        <f>J!Z62</f>
        <v>0</v>
      </c>
      <c r="AA1140" s="2">
        <f>J!AA62</f>
        <v>0</v>
      </c>
      <c r="AB1140" s="2">
        <f>J!AB62</f>
        <v>0</v>
      </c>
    </row>
    <row r="1141" spans="1:28">
      <c r="A1141" s="69" t="s">
        <v>96</v>
      </c>
      <c r="B1141" s="39">
        <f>B!Z63</f>
        <v>37328</v>
      </c>
      <c r="C1141" s="39" t="str">
        <f>B!AA63</f>
        <v>03-Sep</v>
      </c>
      <c r="D1141" s="39">
        <f>B!AB63</f>
        <v>15</v>
      </c>
      <c r="E1141" s="131">
        <f>'C'!Z63</f>
        <v>36750</v>
      </c>
      <c r="F1141" s="126">
        <f>'C'!AA63</f>
        <v>38233</v>
      </c>
      <c r="G1141" s="39">
        <f>'C'!AB63</f>
        <v>16</v>
      </c>
      <c r="H1141" s="135">
        <f>D!Z63</f>
        <v>37033</v>
      </c>
      <c r="I1141" s="126">
        <f>D!AA63</f>
        <v>38233</v>
      </c>
      <c r="J1141" s="122">
        <f>D!AB63</f>
        <v>16</v>
      </c>
      <c r="K1141" s="135">
        <f>E!Z63</f>
        <v>37372.520867808336</v>
      </c>
      <c r="L1141" s="122" t="str">
        <f>E!AA63</f>
        <v>09/17</v>
      </c>
      <c r="M1141" s="122" t="str">
        <f>E!AB63</f>
        <v>15:00</v>
      </c>
      <c r="N1141" s="132">
        <f>F!Z63</f>
        <v>37261</v>
      </c>
      <c r="O1141" s="120">
        <f>F!AA63</f>
        <v>247</v>
      </c>
      <c r="P1141" s="120">
        <f>F!AB63</f>
        <v>15</v>
      </c>
      <c r="Q1141" s="132">
        <f>G!Z63</f>
        <v>36991</v>
      </c>
      <c r="R1141" s="120">
        <f>G!AA63</f>
        <v>37867</v>
      </c>
      <c r="S1141" s="120">
        <f>G!AB63</f>
        <v>16</v>
      </c>
      <c r="T1141">
        <f>YD!Z63</f>
        <v>0</v>
      </c>
      <c r="U1141">
        <f>YD!AA63</f>
        <v>0</v>
      </c>
      <c r="V1141">
        <f>YD!AB63</f>
        <v>0</v>
      </c>
      <c r="W1141" s="2">
        <f>I!Z63</f>
        <v>0</v>
      </c>
      <c r="X1141" s="2">
        <f>I!AA63</f>
        <v>0</v>
      </c>
      <c r="Y1141" s="2">
        <f>I!AB63</f>
        <v>0</v>
      </c>
      <c r="Z1141" s="2">
        <f>J!Z63</f>
        <v>0</v>
      </c>
      <c r="AA1141" s="2">
        <f>J!AA63</f>
        <v>0</v>
      </c>
      <c r="AB1141" s="2">
        <f>J!AB63</f>
        <v>0</v>
      </c>
    </row>
    <row r="1142" spans="1:28">
      <c r="A1142" s="69" t="s">
        <v>98</v>
      </c>
      <c r="B1142" s="39">
        <f>B!Z64</f>
        <v>40317.599999999999</v>
      </c>
      <c r="C1142" s="39" t="str">
        <f>B!AA64</f>
        <v>03-Sep</v>
      </c>
      <c r="D1142" s="39">
        <f>B!AB64</f>
        <v>16</v>
      </c>
      <c r="E1142" s="131">
        <f>'C'!Z64</f>
        <v>53813</v>
      </c>
      <c r="F1142" s="126">
        <f>'C'!AA64</f>
        <v>37531</v>
      </c>
      <c r="G1142" s="39">
        <f>'C'!AB64</f>
        <v>9</v>
      </c>
      <c r="H1142" s="135">
        <f>D!Z64</f>
        <v>53823</v>
      </c>
      <c r="I1142" s="126">
        <f>D!AA64</f>
        <v>37531</v>
      </c>
      <c r="J1142" s="122">
        <f>D!AB64</f>
        <v>9</v>
      </c>
      <c r="K1142" s="135">
        <f>E!Z64</f>
        <v>40097.015442985277</v>
      </c>
      <c r="L1142" s="122" t="str">
        <f>E!AA64</f>
        <v>10/02</v>
      </c>
      <c r="M1142" s="122" t="str">
        <f>E!AB64</f>
        <v>10:00</v>
      </c>
      <c r="N1142" s="132">
        <f>F!Z64</f>
        <v>39904</v>
      </c>
      <c r="O1142" s="120">
        <f>F!AA64</f>
        <v>247</v>
      </c>
      <c r="P1142" s="120">
        <f>F!AB64</f>
        <v>16</v>
      </c>
      <c r="Q1142" s="132">
        <f>G!Z64</f>
        <v>39920</v>
      </c>
      <c r="R1142" s="120">
        <f>G!AA64</f>
        <v>37867</v>
      </c>
      <c r="S1142" s="120">
        <f>G!AB64</f>
        <v>16</v>
      </c>
      <c r="T1142">
        <f>YD!Z64</f>
        <v>0</v>
      </c>
      <c r="U1142">
        <f>YD!AA64</f>
        <v>0</v>
      </c>
      <c r="V1142">
        <f>YD!AB64</f>
        <v>0</v>
      </c>
      <c r="W1142" s="2">
        <f>I!Z64</f>
        <v>0</v>
      </c>
      <c r="X1142" s="2">
        <f>I!AA64</f>
        <v>0</v>
      </c>
      <c r="Y1142" s="2">
        <f>I!AB64</f>
        <v>0</v>
      </c>
      <c r="Z1142" s="2">
        <f>J!Z64</f>
        <v>0</v>
      </c>
      <c r="AA1142" s="2">
        <f>J!AA64</f>
        <v>0</v>
      </c>
      <c r="AB1142" s="2">
        <f>J!AB64</f>
        <v>0</v>
      </c>
    </row>
    <row r="1143" spans="1:28">
      <c r="A1143" s="69" t="s">
        <v>102</v>
      </c>
      <c r="B1143" s="39">
        <f>B!Z65</f>
        <v>43492</v>
      </c>
      <c r="C1143" s="39" t="str">
        <f>B!AA65</f>
        <v>02-Oct</v>
      </c>
      <c r="D1143" s="39">
        <f>B!AB65</f>
        <v>9</v>
      </c>
      <c r="E1143" s="131">
        <f>'C'!Z65</f>
        <v>43628</v>
      </c>
      <c r="F1143" s="126">
        <f>'C'!AA65</f>
        <v>37531</v>
      </c>
      <c r="G1143" s="39">
        <f>'C'!AB65</f>
        <v>9</v>
      </c>
      <c r="H1143" s="135">
        <f>D!Z65</f>
        <v>64572</v>
      </c>
      <c r="I1143" s="126">
        <f>D!AA65</f>
        <v>37531</v>
      </c>
      <c r="J1143" s="122">
        <f>D!AB65</f>
        <v>9</v>
      </c>
      <c r="K1143" s="135">
        <f>E!Z65</f>
        <v>43597.944904315278</v>
      </c>
      <c r="L1143" s="122" t="str">
        <f>E!AA65</f>
        <v>10/02</v>
      </c>
      <c r="M1143" s="122" t="str">
        <f>E!AB65</f>
        <v>09:00</v>
      </c>
      <c r="N1143" s="132">
        <f>F!Z65</f>
        <v>43978</v>
      </c>
      <c r="O1143" s="120">
        <f>F!AA65</f>
        <v>276</v>
      </c>
      <c r="P1143" s="120">
        <f>F!AB65</f>
        <v>9</v>
      </c>
      <c r="Q1143" s="132">
        <f>G!Z65</f>
        <v>42415</v>
      </c>
      <c r="R1143" s="120">
        <f>G!AA65</f>
        <v>37812</v>
      </c>
      <c r="S1143" s="120">
        <f>G!AB65</f>
        <v>11</v>
      </c>
      <c r="T1143">
        <f>YD!Z65</f>
        <v>0</v>
      </c>
      <c r="U1143">
        <f>YD!AA65</f>
        <v>0</v>
      </c>
      <c r="V1143">
        <f>YD!AB65</f>
        <v>0</v>
      </c>
      <c r="W1143" s="2">
        <f>I!Z65</f>
        <v>0</v>
      </c>
      <c r="X1143" s="2">
        <f>I!AA65</f>
        <v>0</v>
      </c>
      <c r="Y1143" s="2">
        <f>I!AB65</f>
        <v>0</v>
      </c>
      <c r="Z1143" s="2">
        <f>J!Z65</f>
        <v>0</v>
      </c>
      <c r="AA1143" s="2">
        <f>J!AA65</f>
        <v>0</v>
      </c>
      <c r="AB1143" s="2">
        <f>J!AB65</f>
        <v>0</v>
      </c>
    </row>
    <row r="1144" spans="1:28">
      <c r="A1144" s="69" t="s">
        <v>356</v>
      </c>
      <c r="B1144" s="39">
        <f>B!Z66</f>
        <v>41651.699999999997</v>
      </c>
      <c r="C1144" s="39" t="str">
        <f>B!AA66</f>
        <v>02-Oct</v>
      </c>
      <c r="D1144" s="39">
        <f>B!AB66</f>
        <v>10</v>
      </c>
      <c r="E1144" s="131">
        <f>'C'!Z66</f>
        <v>50819</v>
      </c>
      <c r="F1144" s="126">
        <f>'C'!AA66</f>
        <v>37531</v>
      </c>
      <c r="G1144" s="39">
        <f>'C'!AB66</f>
        <v>9</v>
      </c>
      <c r="H1144" s="135">
        <f>D!Z66</f>
        <v>59549</v>
      </c>
      <c r="I1144" s="126">
        <f>D!AA66</f>
        <v>37531</v>
      </c>
      <c r="J1144" s="122">
        <f>D!AB66</f>
        <v>9</v>
      </c>
      <c r="K1144" s="135">
        <f>E!Z66</f>
        <v>41608.473712680003</v>
      </c>
      <c r="L1144" s="122" t="str">
        <f>E!AA66</f>
        <v>10/02</v>
      </c>
      <c r="M1144" s="122" t="str">
        <f>E!AB66</f>
        <v>10:00</v>
      </c>
      <c r="N1144" s="132">
        <f>F!Z66</f>
        <v>41366</v>
      </c>
      <c r="O1144" s="120">
        <f>F!AA66</f>
        <v>247</v>
      </c>
      <c r="P1144" s="120">
        <f>F!AB66</f>
        <v>15</v>
      </c>
      <c r="Q1144" s="132">
        <f>G!Z66</f>
        <v>41132</v>
      </c>
      <c r="R1144" s="120">
        <f>G!AA66</f>
        <v>37867</v>
      </c>
      <c r="S1144" s="120">
        <f>G!AB66</f>
        <v>16</v>
      </c>
      <c r="T1144">
        <f>YD!Z66</f>
        <v>0</v>
      </c>
      <c r="U1144">
        <f>YD!AA66</f>
        <v>0</v>
      </c>
      <c r="V1144">
        <f>YD!AB66</f>
        <v>0</v>
      </c>
      <c r="W1144" s="2">
        <f>I!Z66</f>
        <v>0</v>
      </c>
      <c r="X1144" s="2">
        <f>I!AA66</f>
        <v>0</v>
      </c>
      <c r="Y1144" s="2">
        <f>I!AB66</f>
        <v>0</v>
      </c>
      <c r="Z1144" s="2">
        <f>J!Z66</f>
        <v>0</v>
      </c>
      <c r="AA1144" s="2">
        <f>J!AA66</f>
        <v>0</v>
      </c>
      <c r="AB1144" s="2">
        <f>J!AB66</f>
        <v>0</v>
      </c>
    </row>
    <row r="1145" spans="1:28">
      <c r="A1145" s="69" t="s">
        <v>105</v>
      </c>
      <c r="B1145" s="39">
        <f>B!Z67</f>
        <v>32091.73</v>
      </c>
      <c r="C1145" s="39" t="str">
        <f>B!AA67</f>
        <v>08-Jul</v>
      </c>
      <c r="D1145" s="39">
        <f>B!AB67</f>
        <v>15</v>
      </c>
      <c r="E1145" s="131">
        <f>'C'!Z67</f>
        <v>31401</v>
      </c>
      <c r="F1145" s="126">
        <f>'C'!AA67</f>
        <v>37092</v>
      </c>
      <c r="G1145" s="39">
        <f>'C'!AB67</f>
        <v>15</v>
      </c>
      <c r="H1145" s="135">
        <f>D!Z67</f>
        <v>31454</v>
      </c>
      <c r="I1145" s="126">
        <f>D!AA67</f>
        <v>37092</v>
      </c>
      <c r="J1145" s="122">
        <f>D!AB67</f>
        <v>15</v>
      </c>
      <c r="K1145" s="135">
        <f>E!Z67</f>
        <v>33057.448725815004</v>
      </c>
      <c r="L1145" s="122" t="str">
        <f>E!AA67</f>
        <v>07/20</v>
      </c>
      <c r="M1145" s="122" t="str">
        <f>E!AB67</f>
        <v>15:00</v>
      </c>
      <c r="N1145" s="132">
        <f>F!Z67</f>
        <v>32502</v>
      </c>
      <c r="O1145" s="120">
        <f>F!AA67</f>
        <v>202</v>
      </c>
      <c r="P1145" s="120">
        <f>F!AB67</f>
        <v>15</v>
      </c>
      <c r="Q1145" s="132">
        <f>G!Z67</f>
        <v>32077</v>
      </c>
      <c r="R1145" s="120">
        <f>G!AA67</f>
        <v>37822</v>
      </c>
      <c r="S1145" s="120">
        <f>G!AB67</f>
        <v>15</v>
      </c>
      <c r="T1145">
        <f>YD!Z67</f>
        <v>0</v>
      </c>
      <c r="U1145">
        <f>YD!AA67</f>
        <v>0</v>
      </c>
      <c r="V1145">
        <f>YD!AB67</f>
        <v>0</v>
      </c>
      <c r="W1145" s="2">
        <f>I!Z67</f>
        <v>0</v>
      </c>
      <c r="X1145" s="2">
        <f>I!AA67</f>
        <v>0</v>
      </c>
      <c r="Y1145" s="2">
        <f>I!AB67</f>
        <v>0</v>
      </c>
      <c r="Z1145" s="2">
        <f>J!Z67</f>
        <v>0</v>
      </c>
      <c r="AA1145" s="2">
        <f>J!AA67</f>
        <v>0</v>
      </c>
      <c r="AB1145" s="2">
        <f>J!AB67</f>
        <v>0</v>
      </c>
    </row>
    <row r="1146" spans="1:28">
      <c r="A1146" s="69" t="s">
        <v>108</v>
      </c>
      <c r="B1146" s="39">
        <f>B!Z68</f>
        <v>38857.160000000003</v>
      </c>
      <c r="C1146" s="39" t="str">
        <f>B!AA68</f>
        <v>02-Oct</v>
      </c>
      <c r="D1146" s="39">
        <f>B!AB68</f>
        <v>10</v>
      </c>
      <c r="E1146" s="131">
        <f>'C'!Z68</f>
        <v>40613</v>
      </c>
      <c r="F1146" s="126">
        <f>'C'!AA68</f>
        <v>37531</v>
      </c>
      <c r="G1146" s="39">
        <f>'C'!AB68</f>
        <v>9</v>
      </c>
      <c r="H1146" s="135">
        <f>D!Z68</f>
        <v>41019</v>
      </c>
      <c r="I1146" s="126">
        <f>D!AA68</f>
        <v>37531</v>
      </c>
      <c r="J1146" s="122">
        <f>D!AB68</f>
        <v>9</v>
      </c>
      <c r="K1146" s="135">
        <f>E!Z68</f>
        <v>38691.48626768306</v>
      </c>
      <c r="L1146" s="122" t="str">
        <f>E!AA68</f>
        <v>10/02</v>
      </c>
      <c r="M1146" s="122" t="str">
        <f>E!AB68</f>
        <v>11:00</v>
      </c>
      <c r="N1146" s="132">
        <f>F!Z68</f>
        <v>38322</v>
      </c>
      <c r="O1146" s="120">
        <f>F!AA68</f>
        <v>276</v>
      </c>
      <c r="P1146" s="120">
        <f>F!AB68</f>
        <v>10</v>
      </c>
      <c r="Q1146" s="132">
        <f>G!Z68</f>
        <v>38451</v>
      </c>
      <c r="R1146" s="120">
        <f>G!AA68</f>
        <v>37896</v>
      </c>
      <c r="S1146" s="120">
        <f>G!AB68</f>
        <v>10</v>
      </c>
      <c r="T1146">
        <f>YD!Z68</f>
        <v>0</v>
      </c>
      <c r="U1146">
        <f>YD!AA68</f>
        <v>0</v>
      </c>
      <c r="V1146">
        <f>YD!AB68</f>
        <v>0</v>
      </c>
      <c r="W1146" s="2">
        <f>I!Z68</f>
        <v>0</v>
      </c>
      <c r="X1146" s="2">
        <f>I!AA68</f>
        <v>0</v>
      </c>
      <c r="Y1146" s="2">
        <f>I!AB68</f>
        <v>0</v>
      </c>
      <c r="Z1146" s="2">
        <f>J!Z68</f>
        <v>0</v>
      </c>
      <c r="AA1146" s="2">
        <f>J!AA68</f>
        <v>0</v>
      </c>
      <c r="AB1146" s="2">
        <f>J!AB68</f>
        <v>0</v>
      </c>
    </row>
    <row r="1147" spans="1:28">
      <c r="A1147" s="69" t="s">
        <v>109</v>
      </c>
      <c r="B1147" s="39">
        <f>B!Z69</f>
        <v>41178.6</v>
      </c>
      <c r="C1147" s="39" t="str">
        <f>B!AA69</f>
        <v>16-Sep</v>
      </c>
      <c r="D1147" s="39">
        <f>B!AB69</f>
        <v>15</v>
      </c>
      <c r="E1147" s="131">
        <f>'C'!Z69</f>
        <v>40543</v>
      </c>
      <c r="F1147" s="126">
        <f>'C'!AA69</f>
        <v>37517</v>
      </c>
      <c r="G1147" s="39">
        <f>'C'!AB69</f>
        <v>14</v>
      </c>
      <c r="H1147" s="135">
        <f>D!Z69</f>
        <v>49838</v>
      </c>
      <c r="I1147" s="126">
        <f>D!AA69</f>
        <v>37882</v>
      </c>
      <c r="J1147" s="122">
        <f>D!AB69</f>
        <v>15</v>
      </c>
      <c r="K1147" s="135">
        <f>E!Z69</f>
        <v>41112.205984313332</v>
      </c>
      <c r="L1147" s="122" t="str">
        <f>E!AA69</f>
        <v>09/16</v>
      </c>
      <c r="M1147" s="122" t="str">
        <f>E!AB69</f>
        <v>15:00</v>
      </c>
      <c r="N1147" s="132">
        <f>F!Z69</f>
        <v>0</v>
      </c>
      <c r="O1147" s="120">
        <f>F!AA69</f>
        <v>0</v>
      </c>
      <c r="P1147" s="120">
        <f>F!AB69</f>
        <v>0</v>
      </c>
      <c r="Q1147" s="132">
        <f>G!Z69</f>
        <v>40774</v>
      </c>
      <c r="R1147" s="120">
        <f>G!AA69</f>
        <v>37880</v>
      </c>
      <c r="S1147" s="120">
        <f>G!AB69</f>
        <v>14</v>
      </c>
      <c r="T1147">
        <f>YD!Z69</f>
        <v>0</v>
      </c>
      <c r="U1147">
        <f>YD!AA69</f>
        <v>0</v>
      </c>
      <c r="V1147">
        <f>YD!AB69</f>
        <v>0</v>
      </c>
      <c r="W1147" s="2">
        <f>I!Z69</f>
        <v>0</v>
      </c>
      <c r="X1147" s="2">
        <f>I!AA69</f>
        <v>0</v>
      </c>
      <c r="Y1147" s="2">
        <f>I!AB69</f>
        <v>0</v>
      </c>
      <c r="Z1147" s="2">
        <f>J!Z69</f>
        <v>0</v>
      </c>
      <c r="AA1147" s="2">
        <f>J!AA69</f>
        <v>0</v>
      </c>
      <c r="AB1147" s="2">
        <f>J!AB69</f>
        <v>0</v>
      </c>
    </row>
    <row r="1148" spans="1:28">
      <c r="A1148" s="69" t="s">
        <v>111</v>
      </c>
      <c r="B1148" s="39">
        <f>B!Z70</f>
        <v>32091.73</v>
      </c>
      <c r="C1148" s="39" t="str">
        <f>B!AA70</f>
        <v>08-Jul</v>
      </c>
      <c r="D1148" s="39">
        <f>B!AB70</f>
        <v>15</v>
      </c>
      <c r="E1148" s="131">
        <f>'C'!Z70</f>
        <v>31401</v>
      </c>
      <c r="F1148" s="126">
        <f>'C'!AA70</f>
        <v>37092</v>
      </c>
      <c r="G1148" s="39">
        <f>'C'!AB70</f>
        <v>15</v>
      </c>
      <c r="H1148" s="135">
        <f>D!Z70</f>
        <v>31455</v>
      </c>
      <c r="I1148" s="126">
        <f>D!AA70</f>
        <v>37092</v>
      </c>
      <c r="J1148" s="122">
        <f>D!AB70</f>
        <v>15</v>
      </c>
      <c r="K1148" s="135">
        <f>E!Z70</f>
        <v>33057.473802984721</v>
      </c>
      <c r="L1148" s="122" t="str">
        <f>E!AA70</f>
        <v>07/20</v>
      </c>
      <c r="M1148" s="122" t="str">
        <f>E!AB70</f>
        <v>15:00</v>
      </c>
      <c r="N1148" s="132">
        <f>F!Z70</f>
        <v>0</v>
      </c>
      <c r="O1148" s="120">
        <f>F!AA70</f>
        <v>0</v>
      </c>
      <c r="P1148" s="120">
        <f>F!AB70</f>
        <v>0</v>
      </c>
      <c r="Q1148" s="132">
        <f>G!Z70</f>
        <v>32073</v>
      </c>
      <c r="R1148" s="120">
        <f>G!AA70</f>
        <v>37822</v>
      </c>
      <c r="S1148" s="120">
        <f>G!AB70</f>
        <v>15</v>
      </c>
      <c r="T1148">
        <f>YD!Z70</f>
        <v>0</v>
      </c>
      <c r="U1148">
        <f>YD!AA70</f>
        <v>0</v>
      </c>
      <c r="V1148">
        <f>YD!AB70</f>
        <v>0</v>
      </c>
      <c r="W1148" s="2">
        <f>I!Z70</f>
        <v>0</v>
      </c>
      <c r="X1148" s="2">
        <f>I!AA70</f>
        <v>0</v>
      </c>
      <c r="Y1148" s="2">
        <f>I!AB70</f>
        <v>0</v>
      </c>
      <c r="Z1148" s="2">
        <f>J!Z70</f>
        <v>0</v>
      </c>
      <c r="AA1148" s="2">
        <f>J!AA70</f>
        <v>0</v>
      </c>
      <c r="AB1148" s="2">
        <f>J!AB70</f>
        <v>0</v>
      </c>
    </row>
    <row r="1149" spans="1:28">
      <c r="A1149" s="69" t="s">
        <v>112</v>
      </c>
      <c r="B1149" s="39">
        <f>B!Z71</f>
        <v>32174.05</v>
      </c>
      <c r="C1149" s="39" t="str">
        <f>B!AA71</f>
        <v>08-Jul</v>
      </c>
      <c r="D1149" s="39">
        <f>B!AB71</f>
        <v>15</v>
      </c>
      <c r="E1149" s="131">
        <f>'C'!Z71</f>
        <v>31401</v>
      </c>
      <c r="F1149" s="126">
        <f>'C'!AA71</f>
        <v>37092</v>
      </c>
      <c r="G1149" s="39">
        <f>'C'!AB71</f>
        <v>15</v>
      </c>
      <c r="H1149" s="135">
        <f>D!Z71</f>
        <v>31455</v>
      </c>
      <c r="I1149" s="126">
        <f>D!AA71</f>
        <v>37092</v>
      </c>
      <c r="J1149" s="122">
        <f>D!AB71</f>
        <v>15</v>
      </c>
      <c r="K1149" s="135">
        <f>E!Z71</f>
        <v>33057.473802984721</v>
      </c>
      <c r="L1149" s="122" t="str">
        <f>E!AA71</f>
        <v>07/20</v>
      </c>
      <c r="M1149" s="122" t="str">
        <f>E!AB71</f>
        <v>15:00</v>
      </c>
      <c r="N1149" s="132">
        <f>F!Z71</f>
        <v>0</v>
      </c>
      <c r="O1149" s="120">
        <f>F!AA71</f>
        <v>0</v>
      </c>
      <c r="P1149" s="120">
        <f>F!AB71</f>
        <v>0</v>
      </c>
      <c r="Q1149" s="132">
        <f>G!Z71</f>
        <v>32072</v>
      </c>
      <c r="R1149" s="120">
        <f>G!AA71</f>
        <v>37822</v>
      </c>
      <c r="S1149" s="120">
        <f>G!AB71</f>
        <v>15</v>
      </c>
      <c r="T1149">
        <f>YD!Z71</f>
        <v>0</v>
      </c>
      <c r="U1149">
        <f>YD!AA71</f>
        <v>0</v>
      </c>
      <c r="V1149">
        <f>YD!AB71</f>
        <v>0</v>
      </c>
      <c r="W1149" s="2">
        <f>I!Z71</f>
        <v>0</v>
      </c>
      <c r="X1149" s="2">
        <f>I!AA71</f>
        <v>0</v>
      </c>
      <c r="Y1149" s="2">
        <f>I!AB71</f>
        <v>0</v>
      </c>
      <c r="Z1149" s="2">
        <f>J!Z71</f>
        <v>0</v>
      </c>
      <c r="AA1149" s="2">
        <f>J!AA71</f>
        <v>0</v>
      </c>
      <c r="AB1149" s="2">
        <f>J!AB71</f>
        <v>0</v>
      </c>
    </row>
    <row r="1150" spans="1:28">
      <c r="A1150" s="69" t="s">
        <v>113</v>
      </c>
      <c r="B1150" s="39">
        <f>B!Z72</f>
        <v>32174.05</v>
      </c>
      <c r="C1150" s="39" t="str">
        <f>B!AA72</f>
        <v>08-Jul</v>
      </c>
      <c r="D1150" s="39">
        <f>B!AB72</f>
        <v>15</v>
      </c>
      <c r="E1150" s="131">
        <f>'C'!Z72</f>
        <v>31401</v>
      </c>
      <c r="F1150" s="126">
        <f>'C'!AA72</f>
        <v>37092</v>
      </c>
      <c r="G1150" s="39">
        <f>'C'!AB72</f>
        <v>15</v>
      </c>
      <c r="H1150" s="135">
        <f>D!Z72</f>
        <v>31455</v>
      </c>
      <c r="I1150" s="126">
        <f>D!AA72</f>
        <v>37092</v>
      </c>
      <c r="J1150" s="122">
        <f>D!AB72</f>
        <v>15</v>
      </c>
      <c r="K1150" s="135">
        <f>E!Z72</f>
        <v>33057.473802984998</v>
      </c>
      <c r="L1150" s="122" t="str">
        <f>E!AA72</f>
        <v>07/20</v>
      </c>
      <c r="M1150" s="122" t="str">
        <f>E!AB72</f>
        <v>15:00</v>
      </c>
      <c r="N1150" s="132">
        <f>F!Z72</f>
        <v>0</v>
      </c>
      <c r="O1150" s="120">
        <f>F!AA72</f>
        <v>0</v>
      </c>
      <c r="P1150" s="120">
        <f>F!AB72</f>
        <v>0</v>
      </c>
      <c r="Q1150" s="132">
        <f>G!Z72</f>
        <v>32072</v>
      </c>
      <c r="R1150" s="120">
        <f>G!AA72</f>
        <v>37822</v>
      </c>
      <c r="S1150" s="120">
        <f>G!AB72</f>
        <v>15</v>
      </c>
      <c r="T1150">
        <f>YD!Z72</f>
        <v>0</v>
      </c>
      <c r="U1150">
        <f>YD!AA72</f>
        <v>0</v>
      </c>
      <c r="V1150">
        <f>YD!AB72</f>
        <v>0</v>
      </c>
      <c r="W1150" s="2">
        <f>I!Z72</f>
        <v>0</v>
      </c>
      <c r="X1150" s="2">
        <f>I!AA72</f>
        <v>0</v>
      </c>
      <c r="Y1150" s="2">
        <f>I!AB72</f>
        <v>0</v>
      </c>
      <c r="Z1150" s="2">
        <f>J!Z72</f>
        <v>0</v>
      </c>
      <c r="AA1150" s="2">
        <f>J!AA72</f>
        <v>0</v>
      </c>
      <c r="AB1150" s="2">
        <f>J!AB72</f>
        <v>0</v>
      </c>
    </row>
    <row r="1151" spans="1:28">
      <c r="A1151" s="69" t="s">
        <v>114</v>
      </c>
      <c r="B1151" s="39">
        <f>B!Z73</f>
        <v>32174.05</v>
      </c>
      <c r="C1151" s="39" t="str">
        <f>B!AA73</f>
        <v>08-Jul</v>
      </c>
      <c r="D1151" s="39">
        <f>B!AB73</f>
        <v>15</v>
      </c>
      <c r="E1151" s="131">
        <f>'C'!Z73</f>
        <v>31401</v>
      </c>
      <c r="F1151" s="126">
        <f>'C'!AA73</f>
        <v>37092</v>
      </c>
      <c r="G1151" s="39">
        <f>'C'!AB73</f>
        <v>15</v>
      </c>
      <c r="H1151" s="135">
        <f>D!Z73</f>
        <v>31455</v>
      </c>
      <c r="I1151" s="126">
        <f>D!AA73</f>
        <v>37822</v>
      </c>
      <c r="J1151" s="122">
        <f>D!AB73</f>
        <v>15</v>
      </c>
      <c r="K1151" s="135">
        <f>E!Z73</f>
        <v>33057.473802984998</v>
      </c>
      <c r="L1151" s="122" t="str">
        <f>E!AA73</f>
        <v>07/20</v>
      </c>
      <c r="M1151" s="122" t="str">
        <f>E!AB73</f>
        <v>15:00</v>
      </c>
      <c r="N1151" s="132">
        <f>F!Z73</f>
        <v>0</v>
      </c>
      <c r="O1151" s="120">
        <f>F!AA73</f>
        <v>0</v>
      </c>
      <c r="P1151" s="120">
        <f>F!AB73</f>
        <v>0</v>
      </c>
      <c r="Q1151" s="132">
        <f>G!Z73</f>
        <v>31777</v>
      </c>
      <c r="R1151" s="120">
        <f>G!AA73</f>
        <v>37810</v>
      </c>
      <c r="S1151" s="120">
        <f>G!AB73</f>
        <v>16</v>
      </c>
      <c r="T1151">
        <f>YD!Z73</f>
        <v>0</v>
      </c>
      <c r="U1151">
        <f>YD!AA73</f>
        <v>0</v>
      </c>
      <c r="V1151">
        <f>YD!AB73</f>
        <v>0</v>
      </c>
      <c r="W1151" s="2">
        <f>I!Z73</f>
        <v>0</v>
      </c>
      <c r="X1151" s="2">
        <f>I!AA73</f>
        <v>0</v>
      </c>
      <c r="Y1151" s="2">
        <f>I!AB73</f>
        <v>0</v>
      </c>
      <c r="Z1151" s="2">
        <f>J!Z73</f>
        <v>0</v>
      </c>
      <c r="AA1151" s="2">
        <f>J!AA73</f>
        <v>0</v>
      </c>
      <c r="AB1151" s="2">
        <f>J!AB73</f>
        <v>0</v>
      </c>
    </row>
    <row r="1152" spans="1:28">
      <c r="A1152" s="69" t="s">
        <v>115</v>
      </c>
      <c r="B1152" s="39">
        <f>B!Z74</f>
        <v>27485.51</v>
      </c>
      <c r="C1152" s="39" t="str">
        <f>B!AA74</f>
        <v>28-Oct</v>
      </c>
      <c r="D1152" s="39">
        <f>B!AB74</f>
        <v>15</v>
      </c>
      <c r="E1152" s="131">
        <f>'C'!Z74</f>
        <v>27707</v>
      </c>
      <c r="F1152" s="126">
        <f>'C'!AA74</f>
        <v>37119</v>
      </c>
      <c r="G1152" s="39">
        <f>'C'!AB74</f>
        <v>16</v>
      </c>
      <c r="H1152" s="135">
        <f>D!Z74</f>
        <v>27706</v>
      </c>
      <c r="I1152" s="126">
        <f>D!AA74</f>
        <v>37119</v>
      </c>
      <c r="J1152" s="122">
        <f>D!AB74</f>
        <v>16</v>
      </c>
      <c r="K1152" s="135">
        <f>E!Z74</f>
        <v>27656.420100725223</v>
      </c>
      <c r="L1152" s="122" t="str">
        <f>E!AA74</f>
        <v>06/29</v>
      </c>
      <c r="M1152" s="122" t="str">
        <f>E!AB74</f>
        <v>16:00</v>
      </c>
      <c r="N1152" s="132">
        <f>F!Z74</f>
        <v>26567</v>
      </c>
      <c r="O1152" s="120">
        <f>F!AA74</f>
        <v>181</v>
      </c>
      <c r="P1152" s="120">
        <f>F!AB74</f>
        <v>16</v>
      </c>
      <c r="Q1152" s="132">
        <f>G!Z74</f>
        <v>27555</v>
      </c>
      <c r="R1152" s="120">
        <f>G!AA74</f>
        <v>37801</v>
      </c>
      <c r="S1152" s="120">
        <f>G!AB74</f>
        <v>15</v>
      </c>
      <c r="T1152">
        <f>YD!Z74</f>
        <v>0</v>
      </c>
      <c r="U1152">
        <f>YD!AA74</f>
        <v>0</v>
      </c>
      <c r="V1152">
        <f>YD!AB74</f>
        <v>0</v>
      </c>
      <c r="W1152" s="2">
        <f>I!Z74</f>
        <v>0</v>
      </c>
      <c r="X1152" s="2">
        <f>I!AA74</f>
        <v>0</v>
      </c>
      <c r="Y1152" s="2">
        <f>I!AB74</f>
        <v>0</v>
      </c>
      <c r="Z1152" s="2">
        <f>J!Z74</f>
        <v>0</v>
      </c>
      <c r="AA1152" s="2">
        <f>J!AA74</f>
        <v>0</v>
      </c>
      <c r="AB1152" s="2">
        <f>J!AB74</f>
        <v>0</v>
      </c>
    </row>
    <row r="1153" spans="1:28">
      <c r="A1153" s="69" t="s">
        <v>121</v>
      </c>
      <c r="B1153" s="39">
        <f>B!Z75</f>
        <v>30593.05</v>
      </c>
      <c r="C1153" s="39" t="str">
        <f>B!AA75</f>
        <v>29-Apr</v>
      </c>
      <c r="D1153" s="39">
        <f>B!AB75</f>
        <v>19</v>
      </c>
      <c r="E1153" s="131">
        <f>'C'!Z75</f>
        <v>31188</v>
      </c>
      <c r="F1153" s="126">
        <f>'C'!AA75</f>
        <v>37092</v>
      </c>
      <c r="G1153" s="39">
        <f>'C'!AB75</f>
        <v>15</v>
      </c>
      <c r="H1153" s="135">
        <f>D!Z75</f>
        <v>31188</v>
      </c>
      <c r="I1153" s="126">
        <f>D!AA75</f>
        <v>37092</v>
      </c>
      <c r="J1153" s="122">
        <f>D!AB75</f>
        <v>15</v>
      </c>
      <c r="K1153" s="135">
        <f>E!Z75</f>
        <v>31194.549336175001</v>
      </c>
      <c r="L1153" s="122" t="str">
        <f>E!AA75</f>
        <v>06/17</v>
      </c>
      <c r="M1153" s="122" t="str">
        <f>E!AB75</f>
        <v>14:00</v>
      </c>
      <c r="N1153" s="132">
        <f>F!Z75</f>
        <v>29948</v>
      </c>
      <c r="O1153" s="120">
        <f>F!AA75</f>
        <v>169</v>
      </c>
      <c r="P1153" s="120">
        <f>F!AB75</f>
        <v>14</v>
      </c>
      <c r="Q1153" s="132">
        <f>G!Z75</f>
        <v>31097</v>
      </c>
      <c r="R1153" s="120">
        <f>G!AA75</f>
        <v>37789</v>
      </c>
      <c r="S1153" s="120">
        <f>G!AB75</f>
        <v>13</v>
      </c>
      <c r="T1153">
        <f>YD!Z75</f>
        <v>0</v>
      </c>
      <c r="U1153">
        <f>YD!AA75</f>
        <v>0</v>
      </c>
      <c r="V1153">
        <f>YD!AB75</f>
        <v>0</v>
      </c>
      <c r="W1153" s="2">
        <f>I!Z75</f>
        <v>0</v>
      </c>
      <c r="X1153" s="2">
        <f>I!AA75</f>
        <v>0</v>
      </c>
      <c r="Y1153" s="2">
        <f>I!AB75</f>
        <v>0</v>
      </c>
      <c r="Z1153" s="2">
        <f>J!Z75</f>
        <v>0</v>
      </c>
      <c r="AA1153" s="2">
        <f>J!AA75</f>
        <v>0</v>
      </c>
      <c r="AB1153" s="2">
        <f>J!AB75</f>
        <v>0</v>
      </c>
    </row>
    <row r="1154" spans="1:28">
      <c r="A1154" s="69" t="s">
        <v>125</v>
      </c>
      <c r="B1154" s="39">
        <f>B!Z76</f>
        <v>27329.599999999999</v>
      </c>
      <c r="C1154" s="39" t="str">
        <f>B!AA76</f>
        <v>28-Sep</v>
      </c>
      <c r="D1154" s="39">
        <f>B!AB76</f>
        <v>15</v>
      </c>
      <c r="E1154" s="131">
        <f>'C'!Z76</f>
        <v>27878</v>
      </c>
      <c r="F1154" s="126">
        <f>'C'!AA76</f>
        <v>38213</v>
      </c>
      <c r="G1154" s="39">
        <f>'C'!AB76</f>
        <v>16</v>
      </c>
      <c r="H1154" s="135">
        <f>D!Z76</f>
        <v>27878</v>
      </c>
      <c r="I1154" s="126">
        <f>D!AA76</f>
        <v>38191</v>
      </c>
      <c r="J1154" s="122">
        <f>D!AB76</f>
        <v>16</v>
      </c>
      <c r="K1154" s="135">
        <f>E!Z76</f>
        <v>27731.07105767736</v>
      </c>
      <c r="L1154" s="122" t="str">
        <f>E!AA76</f>
        <v>06/29</v>
      </c>
      <c r="M1154" s="122" t="str">
        <f>E!AB76</f>
        <v>16:00</v>
      </c>
      <c r="N1154" s="132">
        <f>F!Z76</f>
        <v>26675</v>
      </c>
      <c r="O1154" s="120">
        <f>F!AA76</f>
        <v>202</v>
      </c>
      <c r="P1154" s="120">
        <f>F!AB76</f>
        <v>16</v>
      </c>
      <c r="Q1154" s="132">
        <f>G!Z76</f>
        <v>28343</v>
      </c>
      <c r="R1154" s="120">
        <f>G!AA76</f>
        <v>37764</v>
      </c>
      <c r="S1154" s="120">
        <f>G!AB76</f>
        <v>15</v>
      </c>
      <c r="T1154">
        <f>YD!Z76</f>
        <v>0</v>
      </c>
      <c r="U1154">
        <f>YD!AA76</f>
        <v>0</v>
      </c>
      <c r="V1154">
        <f>YD!AB76</f>
        <v>0</v>
      </c>
      <c r="W1154" s="2">
        <f>I!Z76</f>
        <v>0</v>
      </c>
      <c r="X1154" s="2">
        <f>I!AA76</f>
        <v>0</v>
      </c>
      <c r="Y1154" s="2">
        <f>I!AB76</f>
        <v>0</v>
      </c>
      <c r="Z1154" s="2">
        <f>J!Z76</f>
        <v>0</v>
      </c>
      <c r="AA1154" s="2">
        <f>J!AA76</f>
        <v>0</v>
      </c>
      <c r="AB1154" s="2">
        <f>J!AB76</f>
        <v>0</v>
      </c>
    </row>
    <row r="1155" spans="1:28">
      <c r="A1155" s="69" t="s">
        <v>127</v>
      </c>
      <c r="B1155" s="39">
        <f>B!Z77</f>
        <v>27383.59</v>
      </c>
      <c r="C1155" s="39" t="str">
        <f>B!AA77</f>
        <v>12-Mai</v>
      </c>
      <c r="D1155" s="39">
        <f>B!AB77</f>
        <v>15</v>
      </c>
      <c r="E1155" s="131">
        <f>'C'!Z77</f>
        <v>27868</v>
      </c>
      <c r="F1155" s="126">
        <f>'C'!AA77</f>
        <v>37484</v>
      </c>
      <c r="G1155" s="39">
        <f>'C'!AB77</f>
        <v>16</v>
      </c>
      <c r="H1155" s="135">
        <f>D!Z77</f>
        <v>27866</v>
      </c>
      <c r="I1155" s="126">
        <f>D!AA77</f>
        <v>37484</v>
      </c>
      <c r="J1155" s="122">
        <f>D!AB77</f>
        <v>16</v>
      </c>
      <c r="K1155" s="135">
        <f>E!Z77</f>
        <v>27698.162017040719</v>
      </c>
      <c r="L1155" s="122" t="str">
        <f>E!AA77</f>
        <v>06/29</v>
      </c>
      <c r="M1155" s="122" t="str">
        <f>E!AB77</f>
        <v>16:00</v>
      </c>
      <c r="N1155" s="132">
        <f>F!Z77</f>
        <v>26514</v>
      </c>
      <c r="O1155" s="120">
        <f>F!AA77</f>
        <v>181</v>
      </c>
      <c r="P1155" s="120">
        <f>F!AB77</f>
        <v>16</v>
      </c>
      <c r="Q1155" s="132">
        <f>G!Z77</f>
        <v>27636</v>
      </c>
      <c r="R1155" s="120">
        <f>G!AA77</f>
        <v>37801</v>
      </c>
      <c r="S1155" s="120">
        <f>G!AB77</f>
        <v>15</v>
      </c>
      <c r="T1155">
        <f>YD!Z77</f>
        <v>0</v>
      </c>
      <c r="U1155">
        <f>YD!AA77</f>
        <v>0</v>
      </c>
      <c r="V1155">
        <f>YD!AB77</f>
        <v>0</v>
      </c>
      <c r="W1155" s="2">
        <f>I!Z77</f>
        <v>0</v>
      </c>
      <c r="X1155" s="2">
        <f>I!AA77</f>
        <v>0</v>
      </c>
      <c r="Y1155" s="2">
        <f>I!AB77</f>
        <v>0</v>
      </c>
      <c r="Z1155" s="2">
        <f>J!Z77</f>
        <v>0</v>
      </c>
      <c r="AA1155" s="2">
        <f>J!AA77</f>
        <v>0</v>
      </c>
      <c r="AB1155" s="2">
        <f>J!AB77</f>
        <v>0</v>
      </c>
    </row>
    <row r="1156" spans="1:28">
      <c r="A1156" s="69" t="s">
        <v>130</v>
      </c>
      <c r="B1156" s="39">
        <f>B!Z78</f>
        <v>27739.77</v>
      </c>
      <c r="C1156" s="39" t="str">
        <f>B!AA78</f>
        <v>26-Jul</v>
      </c>
      <c r="D1156" s="39">
        <f>B!AB78</f>
        <v>16</v>
      </c>
      <c r="E1156" s="131">
        <f>'C'!Z78</f>
        <v>27466</v>
      </c>
      <c r="F1156" s="126">
        <f>'C'!AA78</f>
        <v>37445</v>
      </c>
      <c r="G1156" s="39">
        <f>'C'!AB78</f>
        <v>16</v>
      </c>
      <c r="H1156" s="135">
        <f>D!Z78</f>
        <v>27466</v>
      </c>
      <c r="I1156" s="126">
        <f>D!AA78</f>
        <v>37445</v>
      </c>
      <c r="J1156" s="122">
        <f>D!AB78</f>
        <v>16</v>
      </c>
      <c r="K1156" s="135">
        <f>E!Z78</f>
        <v>27564.341467625833</v>
      </c>
      <c r="L1156" s="122" t="str">
        <f>E!AA78</f>
        <v>06/29</v>
      </c>
      <c r="M1156" s="122" t="str">
        <f>E!AB78</f>
        <v>16:00</v>
      </c>
      <c r="N1156" s="132">
        <f>F!Z78</f>
        <v>26683</v>
      </c>
      <c r="O1156" s="120">
        <f>F!AA78</f>
        <v>181</v>
      </c>
      <c r="P1156" s="120">
        <f>F!AB78</f>
        <v>16</v>
      </c>
      <c r="Q1156" s="132">
        <f>G!Z78</f>
        <v>27462</v>
      </c>
      <c r="R1156" s="120">
        <f>G!AA78</f>
        <v>37801</v>
      </c>
      <c r="S1156" s="120">
        <f>G!AB78</f>
        <v>15</v>
      </c>
      <c r="T1156">
        <f>YD!Z78</f>
        <v>0</v>
      </c>
      <c r="U1156">
        <f>YD!AA78</f>
        <v>0</v>
      </c>
      <c r="V1156">
        <f>YD!AB78</f>
        <v>0</v>
      </c>
      <c r="W1156" s="2">
        <f>I!Z78</f>
        <v>0</v>
      </c>
      <c r="X1156" s="2">
        <f>I!AA78</f>
        <v>0</v>
      </c>
      <c r="Y1156" s="2">
        <f>I!AB78</f>
        <v>0</v>
      </c>
      <c r="Z1156" s="2">
        <f>J!Z78</f>
        <v>0</v>
      </c>
      <c r="AA1156" s="2">
        <f>J!AA78</f>
        <v>0</v>
      </c>
      <c r="AB1156" s="2">
        <f>J!AB78</f>
        <v>0</v>
      </c>
    </row>
    <row r="1157" spans="1:28">
      <c r="A1157" s="69" t="s">
        <v>132</v>
      </c>
      <c r="B1157" s="39">
        <f>B!Z79</f>
        <v>19834.099999999999</v>
      </c>
      <c r="C1157" s="39" t="str">
        <f>B!AA79</f>
        <v>29-Mai</v>
      </c>
      <c r="D1157" s="39">
        <f>B!AB79</f>
        <v>15</v>
      </c>
      <c r="E1157" s="131">
        <f>'C'!Z79</f>
        <v>19576</v>
      </c>
      <c r="F1157" s="126">
        <f>'C'!AA79</f>
        <v>37370</v>
      </c>
      <c r="G1157" s="39">
        <f>'C'!AB79</f>
        <v>16</v>
      </c>
      <c r="H1157" s="135">
        <f>D!Z79</f>
        <v>19575</v>
      </c>
      <c r="I1157" s="126">
        <f>D!AA79</f>
        <v>37370</v>
      </c>
      <c r="J1157" s="122">
        <f>D!AB79</f>
        <v>16</v>
      </c>
      <c r="K1157" s="135">
        <f>E!Z79</f>
        <v>19656.140169213584</v>
      </c>
      <c r="L1157" s="122" t="str">
        <f>E!AA79</f>
        <v>07/20</v>
      </c>
      <c r="M1157" s="122" t="str">
        <f>E!AB79</f>
        <v>15:00</v>
      </c>
      <c r="N1157" s="132">
        <f>F!Z79</f>
        <v>18776</v>
      </c>
      <c r="O1157" s="120">
        <f>F!AA79</f>
        <v>156</v>
      </c>
      <c r="P1157" s="120">
        <f>F!AB79</f>
        <v>15</v>
      </c>
      <c r="Q1157" s="132">
        <f>G!Z79</f>
        <v>19626</v>
      </c>
      <c r="R1157" s="120">
        <f>G!AA79</f>
        <v>37810</v>
      </c>
      <c r="S1157" s="120">
        <f>G!AB79</f>
        <v>15</v>
      </c>
      <c r="T1157">
        <f>YD!Z79</f>
        <v>0</v>
      </c>
      <c r="U1157">
        <f>YD!AA79</f>
        <v>0</v>
      </c>
      <c r="V1157">
        <f>YD!AB79</f>
        <v>0</v>
      </c>
      <c r="W1157" s="2">
        <f>I!Z79</f>
        <v>0</v>
      </c>
      <c r="X1157" s="2">
        <f>I!AA79</f>
        <v>0</v>
      </c>
      <c r="Y1157" s="2">
        <f>I!AB79</f>
        <v>0</v>
      </c>
      <c r="Z1157" s="2">
        <f>J!Z79</f>
        <v>0</v>
      </c>
      <c r="AA1157" s="2">
        <f>J!AA79</f>
        <v>0</v>
      </c>
      <c r="AB1157" s="2">
        <f>J!AB79</f>
        <v>0</v>
      </c>
    </row>
    <row r="1158" spans="1:28">
      <c r="A1158" s="69" t="s">
        <v>135</v>
      </c>
      <c r="B1158" s="39">
        <f>B!Z80</f>
        <v>19575</v>
      </c>
      <c r="C1158" s="39" t="str">
        <f>B!AA80</f>
        <v>30-Aug</v>
      </c>
      <c r="D1158" s="39">
        <f>B!AB80</f>
        <v>16</v>
      </c>
      <c r="E1158" s="131">
        <f>'C'!Z80</f>
        <v>19766</v>
      </c>
      <c r="F1158" s="126">
        <f>'C'!AA80</f>
        <v>37370</v>
      </c>
      <c r="G1158" s="39">
        <f>'C'!AB80</f>
        <v>16</v>
      </c>
      <c r="H1158" s="135">
        <f>D!Z80</f>
        <v>19766</v>
      </c>
      <c r="I1158" s="126">
        <f>D!AA80</f>
        <v>37370</v>
      </c>
      <c r="J1158" s="122">
        <f>D!AB80</f>
        <v>16</v>
      </c>
      <c r="K1158" s="135">
        <f>E!Z80</f>
        <v>19812.465045646444</v>
      </c>
      <c r="L1158" s="122" t="str">
        <f>E!AA80</f>
        <v>07/20</v>
      </c>
      <c r="M1158" s="122" t="str">
        <f>E!AB80</f>
        <v>15:00</v>
      </c>
      <c r="N1158" s="132">
        <f>F!Z80</f>
        <v>18794</v>
      </c>
      <c r="O1158" s="120">
        <f>F!AA80</f>
        <v>156</v>
      </c>
      <c r="P1158" s="120">
        <f>F!AB80</f>
        <v>15</v>
      </c>
      <c r="Q1158" s="132">
        <f>G!Z80</f>
        <v>19799</v>
      </c>
      <c r="R1158" s="120">
        <f>G!AA80</f>
        <v>37849</v>
      </c>
      <c r="S1158" s="120">
        <f>G!AB80</f>
        <v>15</v>
      </c>
      <c r="T1158">
        <f>YD!Z80</f>
        <v>0</v>
      </c>
      <c r="U1158">
        <f>YD!AA80</f>
        <v>0</v>
      </c>
      <c r="V1158">
        <f>YD!AB80</f>
        <v>0</v>
      </c>
      <c r="W1158" s="2">
        <f>I!Z80</f>
        <v>0</v>
      </c>
      <c r="X1158" s="2">
        <f>I!AA80</f>
        <v>0</v>
      </c>
      <c r="Y1158" s="2">
        <f>I!AB80</f>
        <v>0</v>
      </c>
      <c r="Z1158" s="2">
        <f>J!Z80</f>
        <v>0</v>
      </c>
      <c r="AA1158" s="2">
        <f>J!AA80</f>
        <v>0</v>
      </c>
      <c r="AB1158" s="2">
        <f>J!AB80</f>
        <v>0</v>
      </c>
    </row>
    <row r="1159" spans="1:28">
      <c r="A1159" s="70" t="s">
        <v>138</v>
      </c>
      <c r="B1159" s="39">
        <f>B!Z81</f>
        <v>20075.2</v>
      </c>
      <c r="C1159" s="39" t="str">
        <f>B!AA81</f>
        <v>17-Jun</v>
      </c>
      <c r="D1159" s="39">
        <f>B!AB81</f>
        <v>16</v>
      </c>
      <c r="E1159" s="131">
        <f>'C'!Z81</f>
        <v>19475</v>
      </c>
      <c r="F1159" s="126">
        <f>'C'!AA81</f>
        <v>37370</v>
      </c>
      <c r="G1159" s="39">
        <f>'C'!AB81</f>
        <v>16</v>
      </c>
      <c r="H1159" s="135">
        <f>D!Z81</f>
        <v>19474</v>
      </c>
      <c r="I1159" s="126">
        <f>D!AA81</f>
        <v>37370</v>
      </c>
      <c r="J1159" s="122">
        <f>D!AB81</f>
        <v>16</v>
      </c>
      <c r="K1159" s="135">
        <f>E!Z81</f>
        <v>19538.760936243307</v>
      </c>
      <c r="L1159" s="122" t="str">
        <f>E!AA81</f>
        <v>07/20</v>
      </c>
      <c r="M1159" s="122" t="str">
        <f>E!AB81</f>
        <v>15:00</v>
      </c>
      <c r="N1159" s="132">
        <f>F!Z81</f>
        <v>18764</v>
      </c>
      <c r="O1159" s="120">
        <f>F!AA81</f>
        <v>202</v>
      </c>
      <c r="P1159" s="120">
        <f>F!AB81</f>
        <v>15</v>
      </c>
      <c r="Q1159" s="132">
        <f>G!Z81</f>
        <v>19497</v>
      </c>
      <c r="R1159" s="120">
        <f>G!AA81</f>
        <v>37776</v>
      </c>
      <c r="S1159" s="120">
        <f>G!AB81</f>
        <v>15</v>
      </c>
      <c r="T1159">
        <f>YD!Z81</f>
        <v>0</v>
      </c>
      <c r="U1159">
        <f>YD!AA81</f>
        <v>0</v>
      </c>
      <c r="V1159">
        <f>YD!AB81</f>
        <v>0</v>
      </c>
      <c r="W1159" s="2">
        <f>I!Z81</f>
        <v>0</v>
      </c>
      <c r="X1159" s="2">
        <f>I!AA81</f>
        <v>0</v>
      </c>
      <c r="Y1159" s="2">
        <f>I!AB81</f>
        <v>0</v>
      </c>
      <c r="Z1159" s="2">
        <f>J!Z81</f>
        <v>0</v>
      </c>
      <c r="AA1159" s="2">
        <f>J!AA81</f>
        <v>0</v>
      </c>
      <c r="AB1159" s="2">
        <f>J!AB81</f>
        <v>0</v>
      </c>
    </row>
    <row r="1160" spans="1:28">
      <c r="E1160" s="132"/>
      <c r="H1160" s="132"/>
      <c r="K1160" s="132"/>
      <c r="N1160" s="132"/>
      <c r="Q1160" s="132"/>
    </row>
    <row r="1161" spans="1:28">
      <c r="E1161" s="132"/>
      <c r="H1161" s="132"/>
      <c r="K1161" s="132"/>
      <c r="N1161" s="132"/>
      <c r="Q1161" s="132"/>
    </row>
    <row r="1162" spans="1:28">
      <c r="E1162" s="132"/>
      <c r="H1162" s="132"/>
      <c r="K1162" s="132"/>
      <c r="N1162" s="132"/>
      <c r="Q1162" s="132"/>
    </row>
    <row r="1163" spans="1:28">
      <c r="E1163" s="132"/>
      <c r="H1163" s="132"/>
      <c r="K1163" s="132"/>
      <c r="N1163" s="132"/>
      <c r="Q1163" s="132"/>
    </row>
    <row r="1164" spans="1:28">
      <c r="E1164" s="132"/>
      <c r="H1164" s="132"/>
      <c r="K1164" s="132"/>
      <c r="N1164" s="132"/>
      <c r="Q1164" s="132"/>
    </row>
    <row r="1165" spans="1:28">
      <c r="E1165" s="132"/>
      <c r="H1165" s="132"/>
      <c r="K1165" s="132"/>
      <c r="N1165" s="132"/>
      <c r="Q1165" s="132"/>
    </row>
    <row r="1166" spans="1:28" ht="15.75">
      <c r="A1166" s="58" t="s">
        <v>420</v>
      </c>
      <c r="E1166" s="132"/>
      <c r="H1166" s="132"/>
      <c r="K1166" s="132"/>
      <c r="N1166" s="132"/>
      <c r="Q1166" s="132"/>
    </row>
    <row r="1167" spans="1:28">
      <c r="E1167" s="132"/>
      <c r="H1167" s="132"/>
      <c r="K1167" s="132"/>
      <c r="N1167" s="132"/>
      <c r="Q1167" s="132"/>
    </row>
    <row r="1168" spans="1:28">
      <c r="B1168" s="10"/>
      <c r="E1168" s="10"/>
      <c r="F1168" s="120"/>
      <c r="G1168" s="120"/>
      <c r="H1168" s="130"/>
      <c r="I1168" s="121"/>
      <c r="J1168" s="121"/>
      <c r="K1168" s="10"/>
      <c r="L1168" s="121"/>
      <c r="M1168" s="121"/>
      <c r="N1168" s="10"/>
      <c r="O1168" s="120"/>
      <c r="P1168" s="120"/>
      <c r="Q1168" s="132"/>
      <c r="R1168" s="121"/>
      <c r="S1168" s="121"/>
    </row>
    <row r="1169" spans="1:28">
      <c r="B1169" s="10" t="s">
        <v>245</v>
      </c>
      <c r="C1169" t="s">
        <v>77</v>
      </c>
      <c r="D1169" t="s">
        <v>78</v>
      </c>
      <c r="E1169" s="10" t="s">
        <v>257</v>
      </c>
      <c r="F1169" s="120" t="s">
        <v>77</v>
      </c>
      <c r="G1169" s="120" t="s">
        <v>78</v>
      </c>
      <c r="H1169" s="10" t="s">
        <v>258</v>
      </c>
      <c r="I1169" s="120" t="s">
        <v>77</v>
      </c>
      <c r="J1169" s="120" t="s">
        <v>78</v>
      </c>
      <c r="K1169" s="10" t="s">
        <v>515</v>
      </c>
      <c r="L1169" s="120" t="s">
        <v>77</v>
      </c>
      <c r="M1169" s="120" t="s">
        <v>78</v>
      </c>
      <c r="N1169" s="10" t="s">
        <v>373</v>
      </c>
      <c r="O1169" s="120" t="s">
        <v>77</v>
      </c>
      <c r="P1169" s="120" t="s">
        <v>78</v>
      </c>
      <c r="Q1169" s="10" t="s">
        <v>482</v>
      </c>
      <c r="R1169" s="120" t="s">
        <v>77</v>
      </c>
      <c r="S1169" s="120" t="s">
        <v>78</v>
      </c>
      <c r="T1169" s="10" t="s">
        <v>516</v>
      </c>
      <c r="U1169" s="120" t="s">
        <v>77</v>
      </c>
      <c r="V1169" s="120" t="s">
        <v>78</v>
      </c>
      <c r="W1169" s="10" t="s">
        <v>517</v>
      </c>
      <c r="X1169" s="120" t="s">
        <v>77</v>
      </c>
      <c r="Y1169" s="120" t="s">
        <v>78</v>
      </c>
      <c r="Z1169" s="10" t="s">
        <v>517</v>
      </c>
      <c r="AA1169" s="120" t="s">
        <v>77</v>
      </c>
      <c r="AB1169" s="120" t="s">
        <v>78</v>
      </c>
    </row>
    <row r="1170" spans="1:28">
      <c r="A1170" t="s">
        <v>151</v>
      </c>
      <c r="B1170" s="95">
        <f>B!AC62</f>
        <v>34.700000000000003</v>
      </c>
      <c r="C1170" t="str">
        <f>B!AD62</f>
        <v>20-Jul</v>
      </c>
      <c r="D1170">
        <f>B!AE62</f>
        <v>15</v>
      </c>
      <c r="E1170" s="349">
        <f>'C'!AC62</f>
        <v>35</v>
      </c>
      <c r="F1170" s="106">
        <f>'C'!AD62</f>
        <v>37457</v>
      </c>
      <c r="G1170">
        <f>'C'!AE62</f>
        <v>15</v>
      </c>
      <c r="H1170" s="132">
        <f>D!AC62</f>
        <v>35</v>
      </c>
      <c r="I1170">
        <f>D!AD62</f>
        <v>37457</v>
      </c>
      <c r="J1170" s="106">
        <f>D!AE62</f>
        <v>15</v>
      </c>
      <c r="K1170" s="132">
        <f>E!AC62</f>
        <v>34.774999999999999</v>
      </c>
      <c r="L1170" t="str">
        <f>E!AD62</f>
        <v>07/20</v>
      </c>
      <c r="M1170" t="str">
        <f>E!AE62</f>
        <v>15:00</v>
      </c>
      <c r="N1170" s="132">
        <f>F!AC62</f>
        <v>35</v>
      </c>
      <c r="O1170">
        <f>F!AD62</f>
        <v>202</v>
      </c>
      <c r="P1170">
        <f>F!AE62</f>
        <v>15</v>
      </c>
      <c r="Q1170" s="132">
        <f>G!AC62</f>
        <v>35</v>
      </c>
      <c r="R1170">
        <f>G!AD62</f>
        <v>37822</v>
      </c>
      <c r="S1170">
        <f>G!AE62</f>
        <v>15</v>
      </c>
      <c r="T1170">
        <f>YD!AC62</f>
        <v>0</v>
      </c>
      <c r="U1170">
        <f>YD!AD62</f>
        <v>0</v>
      </c>
      <c r="V1170">
        <f>YD!AE62</f>
        <v>0</v>
      </c>
      <c r="W1170">
        <f>I!AC62</f>
        <v>0</v>
      </c>
      <c r="X1170">
        <f>I!AD62</f>
        <v>0</v>
      </c>
      <c r="Y1170">
        <f>I!AE62</f>
        <v>0</v>
      </c>
      <c r="Z1170">
        <f>J!AC62</f>
        <v>0</v>
      </c>
      <c r="AA1170">
        <f>J!AD62</f>
        <v>0</v>
      </c>
      <c r="AB1170">
        <f>J!AE62</f>
        <v>0</v>
      </c>
    </row>
    <row r="1171" spans="1:28">
      <c r="A1171" t="s">
        <v>223</v>
      </c>
      <c r="B1171">
        <f>B!AF62</f>
        <v>2.1877500000000001E-2</v>
      </c>
      <c r="C1171" t="str">
        <f>B!AG62</f>
        <v>02-Oct</v>
      </c>
      <c r="D1171">
        <f>B!AH62</f>
        <v>9</v>
      </c>
      <c r="E1171" s="132">
        <f>'C'!AF62</f>
        <v>2.2499999999999999E-2</v>
      </c>
      <c r="F1171" s="106">
        <f>'C'!AG62</f>
        <v>37531</v>
      </c>
      <c r="G1171">
        <f>'C'!AH62</f>
        <v>9</v>
      </c>
      <c r="H1171" s="132">
        <f>D!AF62</f>
        <v>2.2499999999999999E-2</v>
      </c>
      <c r="I1171" s="106">
        <f>'C'!AG62</f>
        <v>37531</v>
      </c>
      <c r="J1171" s="106">
        <f>D!AH62</f>
        <v>9</v>
      </c>
      <c r="K1171" s="132">
        <f>E!AF62</f>
        <v>2.1867908064606201E-2</v>
      </c>
      <c r="L1171" s="116">
        <f>D!AG62</f>
        <v>37531</v>
      </c>
      <c r="M1171" t="str">
        <f>E!AH62</f>
        <v>09:00</v>
      </c>
      <c r="N1171" s="132">
        <f>F!AF62</f>
        <v>2.2405999999999999E-2</v>
      </c>
      <c r="O1171" t="str">
        <f>E!AG62</f>
        <v>10/02</v>
      </c>
      <c r="P1171">
        <f>F!AH62</f>
        <v>9</v>
      </c>
      <c r="Q1171">
        <f>G!AF62</f>
        <v>2.23E-2</v>
      </c>
      <c r="R1171">
        <f>F!AG62</f>
        <v>276</v>
      </c>
      <c r="S1171">
        <f>G!AH62</f>
        <v>9</v>
      </c>
      <c r="T1171">
        <f>YD!AF62</f>
        <v>0</v>
      </c>
      <c r="U1171">
        <f>YD!AG62</f>
        <v>0</v>
      </c>
      <c r="V1171">
        <f>YD!AH62</f>
        <v>0</v>
      </c>
      <c r="W1171">
        <f>I!AF62</f>
        <v>0</v>
      </c>
      <c r="X1171">
        <f>I!AG62</f>
        <v>0</v>
      </c>
      <c r="Y1171">
        <f>I!AH62</f>
        <v>0</v>
      </c>
      <c r="Z1171">
        <f>J!AF62</f>
        <v>0</v>
      </c>
      <c r="AA1171">
        <f>J!AG62</f>
        <v>0</v>
      </c>
      <c r="AB1171">
        <f>J!AH62</f>
        <v>0</v>
      </c>
    </row>
    <row r="1172" spans="1:28">
      <c r="E1172" s="132"/>
      <c r="H1172" s="132"/>
      <c r="K1172" s="132"/>
      <c r="N1172" s="132"/>
      <c r="Q1172" s="132"/>
    </row>
    <row r="1173" spans="1:28">
      <c r="E1173" s="132"/>
      <c r="H1173" s="132"/>
      <c r="K1173" s="132"/>
      <c r="N1173" s="132"/>
      <c r="Q1173" s="132"/>
    </row>
    <row r="1174" spans="1:28">
      <c r="E1174" s="132"/>
      <c r="H1174" s="132"/>
      <c r="K1174" s="132"/>
      <c r="N1174" s="132"/>
      <c r="Q1174" s="132"/>
    </row>
    <row r="1175" spans="1:28">
      <c r="E1175" s="132"/>
      <c r="H1175" s="132"/>
      <c r="K1175" s="132"/>
      <c r="N1175" s="132"/>
      <c r="Q1175" s="132"/>
    </row>
    <row r="1176" spans="1:28">
      <c r="E1176" s="132"/>
      <c r="H1176" s="132"/>
      <c r="K1176" s="132"/>
      <c r="N1176" s="132"/>
      <c r="Q1176" s="132"/>
    </row>
    <row r="1177" spans="1:28">
      <c r="E1177" s="132"/>
      <c r="H1177" s="132"/>
      <c r="K1177" s="132"/>
      <c r="N1177" s="132"/>
      <c r="Q1177" s="132"/>
    </row>
    <row r="1178" spans="1:28">
      <c r="E1178" s="132"/>
      <c r="H1178" s="132"/>
      <c r="K1178" s="132"/>
      <c r="N1178" s="132"/>
      <c r="Q1178" s="132"/>
    </row>
    <row r="1179" spans="1:28">
      <c r="E1179" s="132"/>
      <c r="H1179" s="132"/>
      <c r="K1179" s="132"/>
      <c r="N1179" s="132"/>
      <c r="Q1179" s="132"/>
    </row>
    <row r="1180" spans="1:28">
      <c r="E1180" s="132"/>
      <c r="H1180" s="132"/>
      <c r="K1180" s="132"/>
      <c r="N1180" s="132"/>
      <c r="Q1180" s="132"/>
    </row>
    <row r="1181" spans="1:28">
      <c r="E1181" s="132"/>
      <c r="H1181" s="132"/>
      <c r="K1181" s="132"/>
      <c r="N1181" s="132"/>
      <c r="Q1181" s="132"/>
    </row>
    <row r="1182" spans="1:28">
      <c r="E1182" s="132"/>
      <c r="H1182" s="134"/>
      <c r="I1182" s="16"/>
      <c r="J1182" s="16"/>
      <c r="K1182" s="134"/>
      <c r="L1182" s="16"/>
      <c r="M1182" s="16"/>
      <c r="N1182" s="132"/>
      <c r="Q1182" s="13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>
      <c r="A1183" s="58" t="s">
        <v>248</v>
      </c>
      <c r="E1183" s="132"/>
      <c r="H1183" s="134"/>
      <c r="I1183" s="16"/>
      <c r="J1183" s="16"/>
      <c r="K1183" s="134"/>
      <c r="L1183" s="16"/>
      <c r="M1183" s="16"/>
      <c r="N1183" s="132"/>
      <c r="Q1183" s="13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E1184" s="132"/>
      <c r="H1184" s="134"/>
      <c r="I1184" s="16"/>
      <c r="J1184" s="16"/>
      <c r="K1184" s="134"/>
      <c r="L1184" s="16"/>
      <c r="M1184" s="16"/>
      <c r="N1184" s="132"/>
      <c r="Q1184" s="13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E1185" s="132"/>
      <c r="H1185" s="134"/>
      <c r="I1185" s="16"/>
      <c r="J1185" s="16"/>
      <c r="K1185" s="134"/>
      <c r="L1185" s="16"/>
      <c r="M1185" s="16"/>
      <c r="N1185" s="132"/>
      <c r="Q1185" s="13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E1186" s="132"/>
      <c r="H1186" s="134"/>
      <c r="I1186" s="16"/>
      <c r="J1186" s="16"/>
      <c r="K1186" s="134"/>
      <c r="L1186" s="16"/>
      <c r="M1186" s="16"/>
      <c r="N1186" s="132"/>
      <c r="Q1186" s="13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249</v>
      </c>
      <c r="B1187" s="39"/>
      <c r="C1187" s="12"/>
      <c r="D1187" s="12"/>
      <c r="E1187" s="131"/>
      <c r="F1187" s="39"/>
      <c r="G1187" s="39"/>
      <c r="H1187" s="137"/>
      <c r="I1187" s="121"/>
      <c r="J1187" s="121"/>
      <c r="K1187" s="137"/>
      <c r="L1187" s="121"/>
      <c r="M1187" s="121"/>
      <c r="N1187" s="132"/>
      <c r="O1187" s="120"/>
      <c r="P1187" s="120"/>
      <c r="Q1187" s="132"/>
      <c r="R1187" s="121"/>
      <c r="S1187" s="121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20"/>
      <c r="G1188" s="120"/>
      <c r="H1188" s="130"/>
      <c r="I1188" s="121"/>
      <c r="J1188" s="121"/>
      <c r="K1188" s="10"/>
      <c r="L1188" s="121"/>
      <c r="M1188" s="121"/>
      <c r="N1188" s="10"/>
      <c r="O1188" s="120"/>
      <c r="P1188" s="120"/>
      <c r="Q1188" s="132"/>
      <c r="R1188" s="121"/>
      <c r="S1188" s="121"/>
      <c r="V1188" s="2"/>
      <c r="W1188" s="2"/>
      <c r="X1188" s="2"/>
      <c r="Y1188" s="2"/>
      <c r="Z1188" s="2"/>
      <c r="AA1188" s="2"/>
      <c r="AB1188" s="2"/>
    </row>
    <row r="1189" spans="1:28">
      <c r="A1189" s="2"/>
      <c r="B1189" s="10" t="s">
        <v>245</v>
      </c>
      <c r="C1189" t="s">
        <v>77</v>
      </c>
      <c r="D1189" t="s">
        <v>78</v>
      </c>
      <c r="E1189" s="10" t="s">
        <v>257</v>
      </c>
      <c r="F1189" s="120" t="s">
        <v>77</v>
      </c>
      <c r="G1189" s="120" t="s">
        <v>78</v>
      </c>
      <c r="H1189" s="10" t="s">
        <v>258</v>
      </c>
      <c r="I1189" s="120" t="s">
        <v>77</v>
      </c>
      <c r="J1189" s="120" t="s">
        <v>78</v>
      </c>
      <c r="K1189" s="10" t="s">
        <v>515</v>
      </c>
      <c r="L1189" s="120" t="s">
        <v>77</v>
      </c>
      <c r="M1189" s="120" t="s">
        <v>78</v>
      </c>
      <c r="N1189" s="10" t="s">
        <v>373</v>
      </c>
      <c r="O1189" s="120" t="s">
        <v>77</v>
      </c>
      <c r="P1189" s="120" t="s">
        <v>78</v>
      </c>
      <c r="Q1189" s="10" t="s">
        <v>482</v>
      </c>
      <c r="R1189" s="120" t="s">
        <v>77</v>
      </c>
      <c r="S1189" s="120" t="s">
        <v>78</v>
      </c>
      <c r="T1189" s="10" t="s">
        <v>516</v>
      </c>
      <c r="U1189" s="120" t="s">
        <v>77</v>
      </c>
      <c r="V1189" s="120" t="s">
        <v>78</v>
      </c>
      <c r="W1189" s="10" t="s">
        <v>517</v>
      </c>
      <c r="X1189" s="120" t="s">
        <v>77</v>
      </c>
      <c r="Y1189" s="120" t="s">
        <v>78</v>
      </c>
      <c r="Z1189" s="10" t="s">
        <v>517</v>
      </c>
      <c r="AA1189" s="120" t="s">
        <v>77</v>
      </c>
      <c r="AB1189" s="120" t="s">
        <v>78</v>
      </c>
    </row>
    <row r="1190" spans="1:28">
      <c r="A1190" s="69" t="s">
        <v>91</v>
      </c>
      <c r="B1190" s="127">
        <f>B!Q89</f>
        <v>4.1683375374401095</v>
      </c>
      <c r="C1190" s="39" t="str">
        <f>B!R89</f>
        <v>16-Apr</v>
      </c>
      <c r="D1190" s="39">
        <f>B!S89</f>
        <v>3</v>
      </c>
      <c r="E1190" s="133">
        <f>'C'!Q89</f>
        <v>3.8690000000000002</v>
      </c>
      <c r="F1190" s="126">
        <f>'C'!R89</f>
        <v>37376</v>
      </c>
      <c r="G1190" s="39">
        <f>'C'!S89</f>
        <v>16</v>
      </c>
      <c r="H1190" s="133">
        <f>D!Q89</f>
        <v>3.8570000000000002</v>
      </c>
      <c r="I1190" s="126">
        <f>D!R89</f>
        <v>37376</v>
      </c>
      <c r="J1190" s="122">
        <f>D!S89</f>
        <v>16</v>
      </c>
      <c r="K1190" s="133">
        <f>E!Q89</f>
        <v>3.9231737320058229</v>
      </c>
      <c r="L1190" s="122" t="str">
        <f>E!R89</f>
        <v>04/30</v>
      </c>
      <c r="M1190" s="122" t="str">
        <f>E!S89</f>
        <v>15:00</v>
      </c>
      <c r="N1190" s="139">
        <f>F!Q89</f>
        <v>3.8706106870229005</v>
      </c>
      <c r="O1190" s="120">
        <f>F!R89</f>
        <v>121</v>
      </c>
      <c r="P1190" s="120">
        <f>F!S89</f>
        <v>16</v>
      </c>
      <c r="Q1190" s="139">
        <f>G!Q89</f>
        <v>3.88</v>
      </c>
      <c r="R1190" s="120">
        <f>G!R89</f>
        <v>37741</v>
      </c>
      <c r="S1190" s="120">
        <f>G!S89</f>
        <v>16</v>
      </c>
      <c r="T1190" s="119">
        <f>YD!Q89</f>
        <v>0</v>
      </c>
      <c r="U1190">
        <f>YD!R89</f>
        <v>0</v>
      </c>
      <c r="V1190">
        <f>YD!S89</f>
        <v>0</v>
      </c>
      <c r="W1190" s="112">
        <f>I!Q89</f>
        <v>0</v>
      </c>
      <c r="X1190" s="2">
        <f>I!R89</f>
        <v>0</v>
      </c>
      <c r="Y1190" s="2">
        <f>I!S89</f>
        <v>0</v>
      </c>
      <c r="Z1190" s="112">
        <f>J!Q89</f>
        <v>0</v>
      </c>
      <c r="AA1190" s="2">
        <f>J!R89</f>
        <v>0</v>
      </c>
      <c r="AB1190" s="2">
        <f>J!S89</f>
        <v>0</v>
      </c>
    </row>
    <row r="1191" spans="1:28">
      <c r="A1191" s="69" t="s">
        <v>96</v>
      </c>
      <c r="B1191" s="127">
        <f>B!Q90</f>
        <v>4.1433004323979068</v>
      </c>
      <c r="C1191" s="39" t="str">
        <f>B!R90</f>
        <v>30-Apr</v>
      </c>
      <c r="D1191" s="39">
        <f>B!S90</f>
        <v>15</v>
      </c>
      <c r="E1191" s="133">
        <f>'C'!Q90</f>
        <v>4.141</v>
      </c>
      <c r="F1191" s="126">
        <f>'C'!R90</f>
        <v>37376</v>
      </c>
      <c r="G1191" s="39">
        <f>'C'!S90</f>
        <v>16</v>
      </c>
      <c r="H1191" s="133">
        <f>D!Q90</f>
        <v>4.1280000000000001</v>
      </c>
      <c r="I1191" s="126">
        <f>D!R90</f>
        <v>37376</v>
      </c>
      <c r="J1191" s="122">
        <f>D!S90</f>
        <v>16</v>
      </c>
      <c r="K1191" s="133">
        <f>E!Q90</f>
        <v>4.195435399687848</v>
      </c>
      <c r="L1191" s="122" t="str">
        <f>E!R90</f>
        <v>04/30</v>
      </c>
      <c r="M1191" s="122" t="str">
        <f>E!S90</f>
        <v>15:00</v>
      </c>
      <c r="N1191" s="139">
        <f>F!Q90</f>
        <v>4.1276400367309449</v>
      </c>
      <c r="O1191" s="120">
        <f>F!R90</f>
        <v>121</v>
      </c>
      <c r="P1191" s="120">
        <f>F!S90</f>
        <v>15</v>
      </c>
      <c r="Q1191" s="139">
        <f>G!Q90</f>
        <v>4.12</v>
      </c>
      <c r="R1191" s="120">
        <f>G!R90</f>
        <v>37741</v>
      </c>
      <c r="S1191" s="120">
        <f>G!S90</f>
        <v>15</v>
      </c>
      <c r="T1191" s="119">
        <f>YD!Q90</f>
        <v>0</v>
      </c>
      <c r="U1191">
        <f>YD!R90</f>
        <v>0</v>
      </c>
      <c r="V1191">
        <f>YD!S90</f>
        <v>0</v>
      </c>
      <c r="W1191" s="112">
        <f>I!Q90</f>
        <v>0</v>
      </c>
      <c r="X1191" s="2">
        <f>I!R90</f>
        <v>0</v>
      </c>
      <c r="Y1191" s="2">
        <f>I!S90</f>
        <v>0</v>
      </c>
      <c r="Z1191" s="112">
        <f>J!Q90</f>
        <v>0</v>
      </c>
      <c r="AA1191" s="2">
        <f>J!R90</f>
        <v>0</v>
      </c>
      <c r="AB1191" s="2">
        <f>J!S90</f>
        <v>0</v>
      </c>
    </row>
    <row r="1192" spans="1:28">
      <c r="A1192" s="69" t="s">
        <v>98</v>
      </c>
      <c r="B1192" s="127">
        <f>B!Q91</f>
        <v>4.1683375374401095</v>
      </c>
      <c r="C1192" s="39" t="str">
        <f>B!R91</f>
        <v>16-Apr</v>
      </c>
      <c r="D1192" s="39">
        <f>B!S91</f>
        <v>3</v>
      </c>
      <c r="E1192" s="133">
        <f>'C'!Q91</f>
        <v>5.1429999999999998</v>
      </c>
      <c r="F1192" s="126">
        <f>'C'!R91</f>
        <v>37531</v>
      </c>
      <c r="G1192" s="39">
        <f>'C'!S91</f>
        <v>9</v>
      </c>
      <c r="H1192" s="133">
        <f>D!Q91</f>
        <v>4.9669999999999996</v>
      </c>
      <c r="I1192" s="126">
        <f>D!R91</f>
        <v>37531</v>
      </c>
      <c r="J1192" s="122">
        <f>D!S91</f>
        <v>9</v>
      </c>
      <c r="K1192" s="133">
        <f>E!Q91</f>
        <v>3.9647699712209121</v>
      </c>
      <c r="L1192" s="122" t="str">
        <f>E!R91</f>
        <v>09/16</v>
      </c>
      <c r="M1192" s="122" t="str">
        <f>E!S91</f>
        <v>15:00</v>
      </c>
      <c r="N1192" s="139">
        <f>F!Q91</f>
        <v>3.9433046993431025</v>
      </c>
      <c r="O1192" s="120">
        <f>F!R91</f>
        <v>260</v>
      </c>
      <c r="P1192" s="120">
        <f>F!S91</f>
        <v>15</v>
      </c>
      <c r="Q1192" s="139">
        <f>G!Q91</f>
        <v>4.38</v>
      </c>
      <c r="R1192" s="120">
        <f>G!R91</f>
        <v>37973</v>
      </c>
      <c r="S1192" s="120">
        <f>G!S91</f>
        <v>3</v>
      </c>
      <c r="T1192" s="119">
        <f>YD!Q91</f>
        <v>0</v>
      </c>
      <c r="U1192">
        <f>YD!R91</f>
        <v>0</v>
      </c>
      <c r="V1192">
        <f>YD!S91</f>
        <v>0</v>
      </c>
      <c r="W1192" s="112">
        <f>I!Q91</f>
        <v>0</v>
      </c>
      <c r="X1192" s="2">
        <f>I!R91</f>
        <v>0</v>
      </c>
      <c r="Y1192" s="2">
        <f>I!S91</f>
        <v>0</v>
      </c>
      <c r="Z1192" s="112">
        <f>J!Q91</f>
        <v>0</v>
      </c>
      <c r="AA1192" s="2">
        <f>J!R91</f>
        <v>0</v>
      </c>
      <c r="AB1192" s="2">
        <f>J!S91</f>
        <v>0</v>
      </c>
    </row>
    <row r="1193" spans="1:28">
      <c r="A1193" s="69" t="s">
        <v>102</v>
      </c>
      <c r="B1193" s="127">
        <f>B!Q92</f>
        <v>4.1683375374401095</v>
      </c>
      <c r="C1193" s="39" t="str">
        <f>B!R92</f>
        <v>16-Apr</v>
      </c>
      <c r="D1193" s="39">
        <f>B!S92</f>
        <v>3</v>
      </c>
      <c r="E1193" s="133">
        <f>'C'!Q92</f>
        <v>4.109</v>
      </c>
      <c r="F1193" s="126">
        <f>'C'!R92</f>
        <v>37789</v>
      </c>
      <c r="G1193" s="39">
        <f>'C'!S92</f>
        <v>16</v>
      </c>
      <c r="H1193" s="133">
        <f>D!Q92</f>
        <v>5.5949999999999998</v>
      </c>
      <c r="I1193" s="126">
        <f>D!R92</f>
        <v>37531</v>
      </c>
      <c r="J1193" s="122">
        <f>D!S92</f>
        <v>9</v>
      </c>
      <c r="K1193" s="133">
        <f>E!Q92</f>
        <v>4.0961621106407797</v>
      </c>
      <c r="L1193" s="122" t="str">
        <f>E!R92</f>
        <v>09/16</v>
      </c>
      <c r="M1193" s="122" t="str">
        <f>E!S92</f>
        <v>14:00</v>
      </c>
      <c r="N1193" s="139">
        <f>F!Q92</f>
        <v>4.1219461046450672</v>
      </c>
      <c r="O1193" s="120">
        <f>F!R92</f>
        <v>169</v>
      </c>
      <c r="P1193" s="120">
        <f>F!S92</f>
        <v>16</v>
      </c>
      <c r="Q1193" s="139">
        <f>G!Q92</f>
        <v>4.05</v>
      </c>
      <c r="R1193" s="120">
        <f>G!R92</f>
        <v>37789</v>
      </c>
      <c r="S1193" s="120">
        <f>G!S92</f>
        <v>16</v>
      </c>
      <c r="T1193" s="119">
        <f>YD!Q92</f>
        <v>0</v>
      </c>
      <c r="U1193">
        <f>YD!R92</f>
        <v>0</v>
      </c>
      <c r="V1193">
        <f>YD!S92</f>
        <v>0</v>
      </c>
      <c r="W1193" s="112">
        <f>I!Q92</f>
        <v>0</v>
      </c>
      <c r="X1193" s="2">
        <f>I!R92</f>
        <v>0</v>
      </c>
      <c r="Y1193" s="2">
        <f>I!S92</f>
        <v>0</v>
      </c>
      <c r="Z1193" s="112">
        <f>J!Q92</f>
        <v>0</v>
      </c>
      <c r="AA1193" s="2">
        <f>J!R92</f>
        <v>0</v>
      </c>
      <c r="AB1193" s="2">
        <f>J!S92</f>
        <v>0</v>
      </c>
    </row>
    <row r="1194" spans="1:28">
      <c r="A1194" s="69" t="s">
        <v>356</v>
      </c>
      <c r="B1194" s="127">
        <f>B!Q93</f>
        <v>4.1683375374401095</v>
      </c>
      <c r="C1194" s="39" t="str">
        <f>B!R93</f>
        <v>16-Apr</v>
      </c>
      <c r="D1194" s="39">
        <f>B!S93</f>
        <v>3</v>
      </c>
      <c r="E1194" s="133">
        <f>'C'!Q93</f>
        <v>4.6210000000000004</v>
      </c>
      <c r="F1194" s="126">
        <f>'C'!R93</f>
        <v>37531</v>
      </c>
      <c r="G1194" s="39">
        <f>'C'!S93</f>
        <v>9</v>
      </c>
      <c r="H1194" s="133">
        <f>D!Q93</f>
        <v>5.3390000000000004</v>
      </c>
      <c r="I1194" s="126">
        <f>D!R93</f>
        <v>37531</v>
      </c>
      <c r="J1194" s="122">
        <f>D!S93</f>
        <v>9</v>
      </c>
      <c r="K1194" s="133">
        <f>E!Q93</f>
        <v>4.0146960787866481</v>
      </c>
      <c r="L1194" s="122" t="str">
        <f>E!R93</f>
        <v>09/16</v>
      </c>
      <c r="M1194" s="122" t="str">
        <f>E!S93</f>
        <v>15:00</v>
      </c>
      <c r="N1194" s="139">
        <f>F!Q93</f>
        <v>4.0171608448415927</v>
      </c>
      <c r="O1194" s="120">
        <f>F!R93</f>
        <v>260</v>
      </c>
      <c r="P1194" s="120">
        <f>F!S93</f>
        <v>16</v>
      </c>
      <c r="Q1194" s="139">
        <f>G!Q93</f>
        <v>3.95</v>
      </c>
      <c r="R1194" s="120">
        <f>G!R93</f>
        <v>37880</v>
      </c>
      <c r="S1194" s="120">
        <f>G!S93</f>
        <v>16</v>
      </c>
      <c r="T1194" s="119">
        <f>YD!Q93</f>
        <v>0</v>
      </c>
      <c r="U1194">
        <f>YD!R93</f>
        <v>0</v>
      </c>
      <c r="V1194">
        <f>YD!S93</f>
        <v>0</v>
      </c>
      <c r="W1194" s="112">
        <f>I!Q93</f>
        <v>0</v>
      </c>
      <c r="X1194" s="2">
        <f>I!R93</f>
        <v>0</v>
      </c>
      <c r="Y1194" s="2">
        <f>I!S93</f>
        <v>0</v>
      </c>
      <c r="Z1194" s="112">
        <f>J!Q93</f>
        <v>0</v>
      </c>
      <c r="AA1194" s="2">
        <f>J!R93</f>
        <v>0</v>
      </c>
      <c r="AB1194" s="2">
        <f>J!S93</f>
        <v>0</v>
      </c>
    </row>
    <row r="1195" spans="1:28">
      <c r="A1195" s="69" t="s">
        <v>105</v>
      </c>
      <c r="B1195" s="127">
        <f>B!Q94</f>
        <v>4.1683375374401095</v>
      </c>
      <c r="C1195" s="39" t="str">
        <f>B!R94</f>
        <v>16-Apr</v>
      </c>
      <c r="D1195" s="39">
        <f>B!S94</f>
        <v>3</v>
      </c>
      <c r="E1195" s="133">
        <f>'C'!Q94</f>
        <v>3.8889999999999998</v>
      </c>
      <c r="F1195" s="126">
        <f>'C'!R94</f>
        <v>37738</v>
      </c>
      <c r="G1195" s="39">
        <f>'C'!S94</f>
        <v>5</v>
      </c>
      <c r="H1195" s="133">
        <f>D!Q94</f>
        <v>3.863</v>
      </c>
      <c r="I1195" s="126">
        <f>D!R94</f>
        <v>38265</v>
      </c>
      <c r="J1195" s="122">
        <f>D!S94</f>
        <v>3</v>
      </c>
      <c r="K1195" s="133">
        <f>E!Q94</f>
        <v>4.3453326669500596</v>
      </c>
      <c r="L1195" s="122" t="str">
        <f>E!R94</f>
        <v>10/13</v>
      </c>
      <c r="M1195" s="122" t="str">
        <f>E!S94</f>
        <v>01:00</v>
      </c>
      <c r="N1195" s="139">
        <f>F!Q94</f>
        <v>3.9320987654320994</v>
      </c>
      <c r="O1195" s="120">
        <f>F!R94</f>
        <v>278</v>
      </c>
      <c r="P1195" s="120">
        <f>F!S94</f>
        <v>24</v>
      </c>
      <c r="Q1195" s="139">
        <f>G!Q94</f>
        <v>3.88</v>
      </c>
      <c r="R1195" s="120">
        <f>G!R94</f>
        <v>37741</v>
      </c>
      <c r="S1195" s="120">
        <f>G!S94</f>
        <v>16</v>
      </c>
      <c r="T1195" s="119">
        <f>YD!Q94</f>
        <v>0</v>
      </c>
      <c r="U1195">
        <f>YD!R94</f>
        <v>0</v>
      </c>
      <c r="V1195">
        <f>YD!S94</f>
        <v>0</v>
      </c>
      <c r="W1195" s="112">
        <f>I!Q94</f>
        <v>0</v>
      </c>
      <c r="X1195" s="2">
        <f>I!R94</f>
        <v>0</v>
      </c>
      <c r="Y1195" s="2">
        <f>I!S94</f>
        <v>0</v>
      </c>
      <c r="Z1195" s="112">
        <f>J!Q94</f>
        <v>0</v>
      </c>
      <c r="AA1195" s="2">
        <f>J!R94</f>
        <v>0</v>
      </c>
      <c r="AB1195" s="2">
        <f>J!S94</f>
        <v>0</v>
      </c>
    </row>
    <row r="1196" spans="1:28">
      <c r="A1196" s="69" t="s">
        <v>108</v>
      </c>
      <c r="B1196" s="127">
        <f>B!Q95</f>
        <v>4.4009649556697976</v>
      </c>
      <c r="C1196" s="39" t="str">
        <f>B!R95</f>
        <v>05-Oct</v>
      </c>
      <c r="D1196" s="39">
        <f>B!S95</f>
        <v>1</v>
      </c>
      <c r="E1196" s="133">
        <f>'C'!Q95</f>
        <v>4.4279999999999999</v>
      </c>
      <c r="F1196" s="126">
        <f>'C'!R95</f>
        <v>37533</v>
      </c>
      <c r="G1196" s="39">
        <f>'C'!S95</f>
        <v>24</v>
      </c>
      <c r="H1196" s="133">
        <f>D!Q95</f>
        <v>4.4269999999999996</v>
      </c>
      <c r="I1196" s="126">
        <f>D!R95</f>
        <v>37533</v>
      </c>
      <c r="J1196" s="122">
        <f>D!S95</f>
        <v>24</v>
      </c>
      <c r="K1196" s="133">
        <f>E!Q95</f>
        <v>4.4307544621454715</v>
      </c>
      <c r="L1196" s="122" t="str">
        <f>E!R95</f>
        <v>10/04</v>
      </c>
      <c r="M1196" s="122" t="str">
        <f>E!S95</f>
        <v>24:00</v>
      </c>
      <c r="N1196" s="139">
        <f>F!Q95</f>
        <v>4.4320100031259768</v>
      </c>
      <c r="O1196" s="120">
        <f>F!R95</f>
        <v>278</v>
      </c>
      <c r="P1196" s="120">
        <f>F!S95</f>
        <v>24</v>
      </c>
      <c r="Q1196" s="139">
        <f>G!Q95</f>
        <v>4.4400000000000004</v>
      </c>
      <c r="R1196" s="120">
        <f>G!R95</f>
        <v>37898</v>
      </c>
      <c r="S1196" s="120">
        <f>G!S95</f>
        <v>24</v>
      </c>
      <c r="T1196" s="119">
        <f>YD!Q95</f>
        <v>0</v>
      </c>
      <c r="U1196">
        <f>YD!R95</f>
        <v>0</v>
      </c>
      <c r="V1196">
        <f>YD!S95</f>
        <v>0</v>
      </c>
      <c r="W1196" s="112">
        <f>I!Q95</f>
        <v>0</v>
      </c>
      <c r="X1196" s="2">
        <f>I!R95</f>
        <v>0</v>
      </c>
      <c r="Y1196" s="2">
        <f>I!S95</f>
        <v>0</v>
      </c>
      <c r="Z1196" s="112">
        <f>J!Q95</f>
        <v>0</v>
      </c>
      <c r="AA1196" s="2">
        <f>J!R95</f>
        <v>0</v>
      </c>
      <c r="AB1196" s="2">
        <f>J!S95</f>
        <v>0</v>
      </c>
    </row>
    <row r="1197" spans="1:28">
      <c r="A1197" s="69" t="s">
        <v>109</v>
      </c>
      <c r="B1197" s="127">
        <f>B!Q96</f>
        <v>4.0769395929961423</v>
      </c>
      <c r="C1197" s="39" t="str">
        <f>B!R96</f>
        <v>16-Sep</v>
      </c>
      <c r="D1197" s="39">
        <f>B!S96</f>
        <v>15</v>
      </c>
      <c r="E1197" s="133">
        <f>'C'!Q96</f>
        <v>4.0880000000000001</v>
      </c>
      <c r="F1197" s="126">
        <f>'C'!R96</f>
        <v>37789</v>
      </c>
      <c r="G1197" s="39">
        <f>'C'!S96</f>
        <v>16</v>
      </c>
      <c r="H1197" s="133">
        <f>D!Q96</f>
        <v>4.7759999999999998</v>
      </c>
      <c r="I1197" s="126">
        <f>D!R96</f>
        <v>37882</v>
      </c>
      <c r="J1197" s="122">
        <f>D!S96</f>
        <v>15</v>
      </c>
      <c r="K1197" s="133">
        <f>E!Q96</f>
        <v>4.0961436736490233</v>
      </c>
      <c r="L1197" s="122" t="str">
        <f>E!R96</f>
        <v>09/16</v>
      </c>
      <c r="M1197" s="122" t="str">
        <f>E!S96</f>
        <v>14:00</v>
      </c>
      <c r="N1197" s="139">
        <f>F!Q96</f>
        <v>0</v>
      </c>
      <c r="O1197" s="120">
        <f>F!R96</f>
        <v>0</v>
      </c>
      <c r="P1197" s="120">
        <f>F!S96</f>
        <v>0</v>
      </c>
      <c r="Q1197" s="139">
        <f>G!Q96</f>
        <v>4.05</v>
      </c>
      <c r="R1197" s="120">
        <f>G!R96</f>
        <v>37789</v>
      </c>
      <c r="S1197" s="120">
        <f>G!S96</f>
        <v>16</v>
      </c>
      <c r="T1197" s="119">
        <f>YD!Q96</f>
        <v>0</v>
      </c>
      <c r="U1197">
        <f>YD!R96</f>
        <v>0</v>
      </c>
      <c r="V1197">
        <f>YD!S96</f>
        <v>0</v>
      </c>
      <c r="W1197" s="112">
        <f>I!Q96</f>
        <v>0</v>
      </c>
      <c r="X1197" s="2">
        <f>I!R96</f>
        <v>0</v>
      </c>
      <c r="Y1197" s="2">
        <f>I!S96</f>
        <v>0</v>
      </c>
      <c r="Z1197" s="112">
        <f>J!Q96</f>
        <v>0</v>
      </c>
      <c r="AA1197" s="2">
        <f>J!R96</f>
        <v>0</v>
      </c>
      <c r="AB1197" s="2">
        <f>J!S96</f>
        <v>0</v>
      </c>
    </row>
    <row r="1198" spans="1:28">
      <c r="A1198" s="69" t="s">
        <v>111</v>
      </c>
      <c r="B1198" s="127">
        <f>B!Q97</f>
        <v>3.8879096164892295</v>
      </c>
      <c r="C1198" s="39" t="str">
        <f>B!R97</f>
        <v>30-Apr</v>
      </c>
      <c r="D1198" s="39">
        <f>B!S97</f>
        <v>15</v>
      </c>
      <c r="E1198" s="133">
        <f>'C'!Q97</f>
        <v>3.903</v>
      </c>
      <c r="F1198" s="126">
        <f>'C'!R97</f>
        <v>37376</v>
      </c>
      <c r="G1198" s="39">
        <f>'C'!S97</f>
        <v>15</v>
      </c>
      <c r="H1198" s="133">
        <f>D!Q97</f>
        <v>3.855</v>
      </c>
      <c r="I1198" s="126">
        <f>D!R97</f>
        <v>37376</v>
      </c>
      <c r="J1198" s="122">
        <f>D!S97</f>
        <v>16</v>
      </c>
      <c r="K1198" s="133">
        <f>E!Q97</f>
        <v>4.0403457040827488</v>
      </c>
      <c r="L1198" s="122" t="str">
        <f>E!R97</f>
        <v>04/30</v>
      </c>
      <c r="M1198" s="122" t="str">
        <f>E!S97</f>
        <v>15:00</v>
      </c>
      <c r="N1198" s="139">
        <f>F!Q97</f>
        <v>0</v>
      </c>
      <c r="O1198" s="120">
        <f>F!R97</f>
        <v>0</v>
      </c>
      <c r="P1198" s="120">
        <f>F!S97</f>
        <v>0</v>
      </c>
      <c r="Q1198" s="139">
        <f>G!Q97</f>
        <v>3.84</v>
      </c>
      <c r="R1198" s="120">
        <f>G!R97</f>
        <v>37762</v>
      </c>
      <c r="S1198" s="120">
        <f>G!S97</f>
        <v>15</v>
      </c>
      <c r="T1198" s="119">
        <f>YD!Q97</f>
        <v>0</v>
      </c>
      <c r="U1198">
        <f>YD!R97</f>
        <v>0</v>
      </c>
      <c r="V1198">
        <f>YD!S97</f>
        <v>0</v>
      </c>
      <c r="W1198" s="112">
        <f>I!Q97</f>
        <v>0</v>
      </c>
      <c r="X1198" s="2">
        <f>I!R97</f>
        <v>0</v>
      </c>
      <c r="Y1198" s="2">
        <f>I!S97</f>
        <v>0</v>
      </c>
      <c r="Z1198" s="112">
        <f>J!Q97</f>
        <v>0</v>
      </c>
      <c r="AA1198" s="2">
        <f>J!R97</f>
        <v>0</v>
      </c>
      <c r="AB1198" s="2">
        <f>J!S97</f>
        <v>0</v>
      </c>
    </row>
    <row r="1199" spans="1:28">
      <c r="A1199" s="69" t="s">
        <v>112</v>
      </c>
      <c r="B1199" s="127">
        <f>B!Q98</f>
        <v>3.7812884390914867</v>
      </c>
      <c r="C1199" s="39" t="str">
        <f>B!R98</f>
        <v>27-Sep</v>
      </c>
      <c r="D1199" s="39">
        <f>B!S98</f>
        <v>16</v>
      </c>
      <c r="E1199" s="133">
        <f>'C'!Q98</f>
        <v>3.8069999999999999</v>
      </c>
      <c r="F1199" s="126">
        <f>'C'!R98</f>
        <v>37762</v>
      </c>
      <c r="G1199" s="39">
        <f>'C'!S98</f>
        <v>15</v>
      </c>
      <c r="H1199" s="133">
        <f>D!Q98</f>
        <v>3.7589999999999999</v>
      </c>
      <c r="I1199" s="126">
        <f>D!R98</f>
        <v>37891</v>
      </c>
      <c r="J1199" s="122">
        <f>D!S98</f>
        <v>15</v>
      </c>
      <c r="K1199" s="133">
        <f>E!Q98</f>
        <v>3.84461438738307</v>
      </c>
      <c r="L1199" s="122" t="str">
        <f>E!R98</f>
        <v>05/21</v>
      </c>
      <c r="M1199" s="122" t="str">
        <f>E!S98</f>
        <v>15:00</v>
      </c>
      <c r="N1199" s="139">
        <f>F!Q98</f>
        <v>0</v>
      </c>
      <c r="O1199" s="120">
        <f>F!R98</f>
        <v>0</v>
      </c>
      <c r="P1199" s="120">
        <f>F!S98</f>
        <v>0</v>
      </c>
      <c r="Q1199" s="139">
        <f>G!Q98</f>
        <v>3.94</v>
      </c>
      <c r="R1199" s="120">
        <f>G!R98</f>
        <v>37762</v>
      </c>
      <c r="S1199" s="120">
        <f>G!S98</f>
        <v>13</v>
      </c>
      <c r="T1199" s="119">
        <f>YD!Q98</f>
        <v>0</v>
      </c>
      <c r="U1199">
        <f>YD!R98</f>
        <v>0</v>
      </c>
      <c r="V1199">
        <f>YD!S98</f>
        <v>0</v>
      </c>
      <c r="W1199" s="112">
        <f>I!Q98</f>
        <v>0</v>
      </c>
      <c r="X1199" s="2">
        <f>I!R98</f>
        <v>0</v>
      </c>
      <c r="Y1199" s="2">
        <f>I!S98</f>
        <v>0</v>
      </c>
      <c r="Z1199" s="112">
        <f>J!Q98</f>
        <v>0</v>
      </c>
      <c r="AA1199" s="2">
        <f>J!R98</f>
        <v>0</v>
      </c>
      <c r="AB1199" s="2">
        <f>J!S98</f>
        <v>0</v>
      </c>
    </row>
    <row r="1200" spans="1:28">
      <c r="A1200" s="69" t="s">
        <v>113</v>
      </c>
      <c r="B1200" s="127">
        <f>B!Q99</f>
        <v>3.7812884390914867</v>
      </c>
      <c r="C1200" s="39" t="str">
        <f>B!R99</f>
        <v>27-Sep</v>
      </c>
      <c r="D1200" s="39">
        <f>B!S99</f>
        <v>16</v>
      </c>
      <c r="E1200" s="133">
        <f>'C'!Q99</f>
        <v>3.8050000000000002</v>
      </c>
      <c r="F1200" s="126">
        <f>'C'!R99</f>
        <v>37918</v>
      </c>
      <c r="G1200" s="39">
        <f>'C'!S99</f>
        <v>15</v>
      </c>
      <c r="H1200" s="133">
        <f>D!Q99</f>
        <v>3.7589999999999999</v>
      </c>
      <c r="I1200" s="126">
        <f>D!R99</f>
        <v>37891</v>
      </c>
      <c r="J1200" s="122">
        <f>D!S99</f>
        <v>15</v>
      </c>
      <c r="K1200" s="133">
        <f>E!Q99</f>
        <v>3.8044053392820052</v>
      </c>
      <c r="L1200" s="122" t="str">
        <f>E!R99</f>
        <v>05/21</v>
      </c>
      <c r="M1200" s="122" t="str">
        <f>E!S99</f>
        <v>15:00</v>
      </c>
      <c r="N1200" s="139">
        <f>F!Q99</f>
        <v>0</v>
      </c>
      <c r="O1200" s="120">
        <f>F!R99</f>
        <v>0</v>
      </c>
      <c r="P1200" s="120">
        <f>F!S99</f>
        <v>0</v>
      </c>
      <c r="Q1200" s="139">
        <f>G!Q99</f>
        <v>3.93</v>
      </c>
      <c r="R1200" s="120">
        <f>G!R99</f>
        <v>37741</v>
      </c>
      <c r="S1200" s="120">
        <f>G!S99</f>
        <v>13</v>
      </c>
      <c r="T1200" s="119">
        <f>YD!Q99</f>
        <v>0</v>
      </c>
      <c r="U1200">
        <f>YD!R99</f>
        <v>0</v>
      </c>
      <c r="V1200">
        <f>YD!S99</f>
        <v>0</v>
      </c>
      <c r="W1200" s="112">
        <f>I!Q99</f>
        <v>0</v>
      </c>
      <c r="X1200" s="2">
        <f>I!R99</f>
        <v>0</v>
      </c>
      <c r="Y1200" s="2">
        <f>I!S99</f>
        <v>0</v>
      </c>
      <c r="Z1200" s="112">
        <f>J!Q99</f>
        <v>0</v>
      </c>
      <c r="AA1200" s="2">
        <f>J!R99</f>
        <v>0</v>
      </c>
      <c r="AB1200" s="2">
        <f>J!S99</f>
        <v>0</v>
      </c>
    </row>
    <row r="1201" spans="1:28">
      <c r="A1201" s="69" t="s">
        <v>114</v>
      </c>
      <c r="B1201" s="127">
        <f>B!Q100</f>
        <v>3.8834748713994482</v>
      </c>
      <c r="C1201" s="39" t="str">
        <f>B!R100</f>
        <v>12-Dez</v>
      </c>
      <c r="D1201" s="39">
        <f>B!S100</f>
        <v>7</v>
      </c>
      <c r="E1201" s="133">
        <f>'C'!Q100</f>
        <v>3.774</v>
      </c>
      <c r="F1201" s="126">
        <f>'C'!R100</f>
        <v>37526</v>
      </c>
      <c r="G1201" s="39">
        <f>'C'!S100</f>
        <v>15</v>
      </c>
      <c r="H1201" s="133">
        <f>D!Q100</f>
        <v>3.7589999999999999</v>
      </c>
      <c r="I1201" s="126">
        <f>D!R100</f>
        <v>37526</v>
      </c>
      <c r="J1201" s="122">
        <f>D!S100</f>
        <v>15</v>
      </c>
      <c r="K1201" s="133">
        <f>E!Q100</f>
        <v>3.8044053392820021</v>
      </c>
      <c r="L1201" s="122" t="str">
        <f>E!R100</f>
        <v>05/21</v>
      </c>
      <c r="M1201" s="122" t="str">
        <f>E!S100</f>
        <v>15:00</v>
      </c>
      <c r="N1201" s="139">
        <f>F!Q100</f>
        <v>0</v>
      </c>
      <c r="O1201" s="120">
        <f>F!R100</f>
        <v>0</v>
      </c>
      <c r="P1201" s="120">
        <f>F!S100</f>
        <v>0</v>
      </c>
      <c r="Q1201" s="139">
        <f>G!Q100</f>
        <v>3.81</v>
      </c>
      <c r="R1201" s="120">
        <f>G!R100</f>
        <v>37741</v>
      </c>
      <c r="S1201" s="120">
        <f>G!S100</f>
        <v>15</v>
      </c>
      <c r="T1201" s="119">
        <f>YD!Q100</f>
        <v>0</v>
      </c>
      <c r="U1201">
        <f>YD!R100</f>
        <v>0</v>
      </c>
      <c r="V1201">
        <f>YD!S100</f>
        <v>0</v>
      </c>
      <c r="W1201" s="112">
        <f>I!Q100</f>
        <v>0</v>
      </c>
      <c r="X1201" s="2">
        <f>I!R100</f>
        <v>0</v>
      </c>
      <c r="Y1201" s="2">
        <f>I!S100</f>
        <v>0</v>
      </c>
      <c r="Z1201" s="112">
        <f>J!Q100</f>
        <v>0</v>
      </c>
      <c r="AA1201" s="2">
        <f>J!R100</f>
        <v>0</v>
      </c>
      <c r="AB1201" s="2">
        <f>J!S100</f>
        <v>0</v>
      </c>
    </row>
    <row r="1202" spans="1:28">
      <c r="A1202" s="69" t="s">
        <v>115</v>
      </c>
      <c r="B1202" s="127">
        <f>B!Q101</f>
        <v>4.2751401713091282</v>
      </c>
      <c r="C1202" s="39" t="str">
        <f>B!R101</f>
        <v>13-Oct</v>
      </c>
      <c r="D1202" s="39">
        <f>B!S101</f>
        <v>1</v>
      </c>
      <c r="E1202" s="133">
        <f>'C'!Q101</f>
        <v>7.367</v>
      </c>
      <c r="F1202" s="126">
        <f>'C'!R101</f>
        <v>38057</v>
      </c>
      <c r="G1202" s="39">
        <f>'C'!S101</f>
        <v>10</v>
      </c>
      <c r="H1202" s="133">
        <f>D!Q101</f>
        <v>5.3010000000000002</v>
      </c>
      <c r="I1202" s="126">
        <f>D!R101</f>
        <v>38273</v>
      </c>
      <c r="J1202" s="122">
        <f>D!S101</f>
        <v>9</v>
      </c>
      <c r="K1202" s="133">
        <f>E!Q101</f>
        <v>4.2343046633347674</v>
      </c>
      <c r="L1202" s="122" t="str">
        <f>E!R101</f>
        <v>03/16</v>
      </c>
      <c r="M1202" s="122" t="str">
        <f>E!S101</f>
        <v>10:00</v>
      </c>
      <c r="N1202" s="139">
        <f>F!Q101</f>
        <v>4.1846218842416558</v>
      </c>
      <c r="O1202" s="120">
        <f>F!R101</f>
        <v>76</v>
      </c>
      <c r="P1202" s="120">
        <f>F!S101</f>
        <v>10</v>
      </c>
      <c r="Q1202" s="139">
        <f>G!Q101</f>
        <v>4.1399999999999997</v>
      </c>
      <c r="R1202" s="120">
        <f>G!R101</f>
        <v>37741</v>
      </c>
      <c r="S1202" s="120">
        <f>G!S101</f>
        <v>16</v>
      </c>
      <c r="T1202" s="119">
        <f>YD!Q101</f>
        <v>0</v>
      </c>
      <c r="U1202">
        <f>YD!R101</f>
        <v>0</v>
      </c>
      <c r="V1202">
        <f>YD!S101</f>
        <v>0</v>
      </c>
      <c r="W1202" s="112">
        <f>I!Q101</f>
        <v>0</v>
      </c>
      <c r="X1202" s="2">
        <f>I!R101</f>
        <v>0</v>
      </c>
      <c r="Y1202" s="2">
        <f>I!S101</f>
        <v>0</v>
      </c>
      <c r="Z1202" s="112">
        <f>J!Q101</f>
        <v>0</v>
      </c>
      <c r="AA1202" s="2">
        <f>J!R101</f>
        <v>0</v>
      </c>
      <c r="AB1202" s="2">
        <f>J!S101</f>
        <v>0</v>
      </c>
    </row>
    <row r="1203" spans="1:28">
      <c r="A1203" s="69" t="s">
        <v>121</v>
      </c>
      <c r="B1203" s="127">
        <f>B!Q102</f>
        <v>4.6925417995477332</v>
      </c>
      <c r="C1203" s="39" t="str">
        <f>B!R102</f>
        <v>05-Oct</v>
      </c>
      <c r="D1203" s="39">
        <f>B!S102</f>
        <v>1</v>
      </c>
      <c r="E1203" s="133">
        <f>'C'!Q102</f>
        <v>7.367</v>
      </c>
      <c r="F1203" s="126">
        <f>'C'!R102</f>
        <v>38057</v>
      </c>
      <c r="G1203" s="39">
        <f>'C'!S102</f>
        <v>10</v>
      </c>
      <c r="H1203" s="133">
        <f>D!Q102</f>
        <v>5.3010000000000002</v>
      </c>
      <c r="I1203" s="126">
        <f>D!R102</f>
        <v>38273</v>
      </c>
      <c r="J1203" s="122">
        <f>D!S102</f>
        <v>9</v>
      </c>
      <c r="K1203" s="133">
        <f>E!Q102</f>
        <v>4.7068960244008551</v>
      </c>
      <c r="L1203" s="122" t="str">
        <f>E!R102</f>
        <v>10/05</v>
      </c>
      <c r="M1203" s="122" t="str">
        <f>E!S102</f>
        <v>01:00</v>
      </c>
      <c r="N1203" s="139">
        <f>F!Q102</f>
        <v>4.6895843211632684</v>
      </c>
      <c r="O1203" s="120">
        <f>F!R102</f>
        <v>278</v>
      </c>
      <c r="P1203" s="120">
        <f>F!S102</f>
        <v>24</v>
      </c>
      <c r="Q1203" s="139">
        <f>G!Q102</f>
        <v>4.53</v>
      </c>
      <c r="R1203" s="120">
        <f>G!R102</f>
        <v>37745</v>
      </c>
      <c r="S1203" s="120">
        <f>G!S102</f>
        <v>3</v>
      </c>
      <c r="T1203" s="119">
        <f>YD!Q102</f>
        <v>0</v>
      </c>
      <c r="U1203">
        <f>YD!R102</f>
        <v>0</v>
      </c>
      <c r="V1203">
        <f>YD!S102</f>
        <v>0</v>
      </c>
      <c r="W1203" s="112">
        <f>I!Q102</f>
        <v>0</v>
      </c>
      <c r="X1203" s="2">
        <f>I!R102</f>
        <v>0</v>
      </c>
      <c r="Y1203" s="2">
        <f>I!S102</f>
        <v>0</v>
      </c>
      <c r="Z1203" s="112">
        <f>J!Q102</f>
        <v>0</v>
      </c>
      <c r="AA1203" s="2">
        <f>J!R102</f>
        <v>0</v>
      </c>
      <c r="AB1203" s="2">
        <f>J!S102</f>
        <v>0</v>
      </c>
    </row>
    <row r="1204" spans="1:28">
      <c r="A1204" s="69" t="s">
        <v>125</v>
      </c>
      <c r="B1204" s="127">
        <f>B!Q103</f>
        <v>3.8137362627521112</v>
      </c>
      <c r="C1204" s="39" t="str">
        <f>B!R103</f>
        <v>30-Apr</v>
      </c>
      <c r="D1204" s="39">
        <f>B!S103</f>
        <v>15</v>
      </c>
      <c r="E1204" s="133">
        <f>'C'!Q103</f>
        <v>4.8959999999999999</v>
      </c>
      <c r="F1204" s="126">
        <f>'C'!R103</f>
        <v>38062</v>
      </c>
      <c r="G1204" s="39">
        <f>'C'!S103</f>
        <v>10</v>
      </c>
      <c r="H1204" s="133">
        <f>D!Q103</f>
        <v>4.6520000000000001</v>
      </c>
      <c r="I1204" s="126">
        <f>D!R103</f>
        <v>37696</v>
      </c>
      <c r="J1204" s="122">
        <f>D!S103</f>
        <v>10</v>
      </c>
      <c r="K1204" s="133">
        <f>E!Q103</f>
        <v>3.8380322169715142</v>
      </c>
      <c r="L1204" s="122" t="str">
        <f>E!R103</f>
        <v>04/30</v>
      </c>
      <c r="M1204" s="122" t="str">
        <f>E!S103</f>
        <v>15:00</v>
      </c>
      <c r="N1204" s="139">
        <f>F!Q103</f>
        <v>3.8017291066282426</v>
      </c>
      <c r="O1204" s="120">
        <f>F!R103</f>
        <v>121</v>
      </c>
      <c r="P1204" s="120">
        <f>F!S103</f>
        <v>16</v>
      </c>
      <c r="Q1204" s="139">
        <f>G!Q103</f>
        <v>3.84</v>
      </c>
      <c r="R1204" s="120">
        <f>G!R103</f>
        <v>37741</v>
      </c>
      <c r="S1204" s="120">
        <f>G!S103</f>
        <v>16</v>
      </c>
      <c r="T1204" s="119">
        <f>YD!Q103</f>
        <v>0</v>
      </c>
      <c r="U1204">
        <f>YD!R103</f>
        <v>0</v>
      </c>
      <c r="V1204">
        <f>YD!S103</f>
        <v>0</v>
      </c>
      <c r="W1204" s="112">
        <f>I!Q103</f>
        <v>0</v>
      </c>
      <c r="X1204" s="2">
        <f>I!R103</f>
        <v>0</v>
      </c>
      <c r="Y1204" s="2">
        <f>I!S103</f>
        <v>0</v>
      </c>
      <c r="Z1204" s="112">
        <f>J!Q103</f>
        <v>0</v>
      </c>
      <c r="AA1204" s="2">
        <f>J!R103</f>
        <v>0</v>
      </c>
      <c r="AB1204" s="2">
        <f>J!S103</f>
        <v>0</v>
      </c>
    </row>
    <row r="1205" spans="1:28">
      <c r="A1205" s="69" t="s">
        <v>127</v>
      </c>
      <c r="B1205" s="127">
        <f>B!Q104</f>
        <v>3.9855085757608739</v>
      </c>
      <c r="C1205" s="39" t="str">
        <f>B!R104</f>
        <v>16-Mar</v>
      </c>
      <c r="D1205" s="39">
        <f>B!S104</f>
        <v>10</v>
      </c>
      <c r="E1205" s="133">
        <f>'C'!Q104</f>
        <v>6.2329999999999997</v>
      </c>
      <c r="F1205" s="126">
        <f>'C'!R104</f>
        <v>38057</v>
      </c>
      <c r="G1205" s="39">
        <f>'C'!S104</f>
        <v>10</v>
      </c>
      <c r="H1205" s="133">
        <f>D!Q104</f>
        <v>5.6779999999999999</v>
      </c>
      <c r="I1205" s="126">
        <f>D!R104</f>
        <v>38057</v>
      </c>
      <c r="J1205" s="122">
        <f>D!S104</f>
        <v>10</v>
      </c>
      <c r="K1205" s="133">
        <f>E!Q104</f>
        <v>4.0073845360475628</v>
      </c>
      <c r="L1205" s="122" t="str">
        <f>E!R104</f>
        <v>04/30</v>
      </c>
      <c r="M1205" s="122" t="str">
        <f>E!S104</f>
        <v>15:00</v>
      </c>
      <c r="N1205" s="139">
        <f>F!Q104</f>
        <v>3.9857984589817197</v>
      </c>
      <c r="O1205" s="120">
        <f>F!R104</f>
        <v>121</v>
      </c>
      <c r="P1205" s="120">
        <f>F!S104</f>
        <v>16</v>
      </c>
      <c r="Q1205" s="139">
        <f>G!Q104</f>
        <v>4</v>
      </c>
      <c r="R1205" s="120">
        <f>G!R104</f>
        <v>37741</v>
      </c>
      <c r="S1205" s="120">
        <f>G!S104</f>
        <v>16</v>
      </c>
      <c r="T1205" s="119">
        <f>YD!Q104</f>
        <v>0</v>
      </c>
      <c r="U1205">
        <f>YD!R104</f>
        <v>0</v>
      </c>
      <c r="V1205">
        <f>YD!S104</f>
        <v>0</v>
      </c>
      <c r="W1205" s="112">
        <f>I!Q104</f>
        <v>0</v>
      </c>
      <c r="X1205" s="2">
        <f>I!R104</f>
        <v>0</v>
      </c>
      <c r="Y1205" s="2">
        <f>I!S104</f>
        <v>0</v>
      </c>
      <c r="Z1205" s="112">
        <f>J!Q104</f>
        <v>0</v>
      </c>
      <c r="AA1205" s="2">
        <f>J!R104</f>
        <v>0</v>
      </c>
      <c r="AB1205" s="2">
        <f>J!S104</f>
        <v>0</v>
      </c>
    </row>
    <row r="1206" spans="1:28">
      <c r="A1206" s="69" t="s">
        <v>130</v>
      </c>
      <c r="B1206" s="127">
        <f>B!Q105</f>
        <v>4.7177562254396657</v>
      </c>
      <c r="C1206" s="39" t="str">
        <f>B!R105</f>
        <v>13-Oct</v>
      </c>
      <c r="D1206" s="39">
        <f>B!S105</f>
        <v>1</v>
      </c>
      <c r="E1206" s="133">
        <f>'C'!Q105</f>
        <v>6.3250000000000002</v>
      </c>
      <c r="F1206" s="126">
        <f>'C'!R105</f>
        <v>38089</v>
      </c>
      <c r="G1206" s="39">
        <f>'C'!S105</f>
        <v>9</v>
      </c>
      <c r="H1206" s="133">
        <f>D!Q105</f>
        <v>6.0309999999999997</v>
      </c>
      <c r="I1206" s="126">
        <f>D!R105</f>
        <v>38062</v>
      </c>
      <c r="J1206" s="122">
        <f>D!S105</f>
        <v>10</v>
      </c>
      <c r="K1206" s="133">
        <f>E!Q105</f>
        <v>4.677585150951554</v>
      </c>
      <c r="L1206" s="122" t="str">
        <f>E!R105</f>
        <v>03/16</v>
      </c>
      <c r="M1206" s="122" t="str">
        <f>E!S105</f>
        <v>10:00</v>
      </c>
      <c r="N1206" s="139">
        <f>F!Q105</f>
        <v>4.6380543633762521</v>
      </c>
      <c r="O1206" s="120">
        <f>F!R105</f>
        <v>76</v>
      </c>
      <c r="P1206" s="120">
        <f>F!S105</f>
        <v>10</v>
      </c>
      <c r="Q1206" s="139">
        <f>G!Q105</f>
        <v>4.4000000000000004</v>
      </c>
      <c r="R1206" s="120">
        <f>G!R105</f>
        <v>37696</v>
      </c>
      <c r="S1206" s="120">
        <f>G!S105</f>
        <v>10</v>
      </c>
      <c r="T1206" s="119">
        <f>YD!Q105</f>
        <v>0</v>
      </c>
      <c r="U1206">
        <f>YD!R105</f>
        <v>0</v>
      </c>
      <c r="V1206">
        <f>YD!S105</f>
        <v>0</v>
      </c>
      <c r="W1206" s="112">
        <f>I!Q105</f>
        <v>0</v>
      </c>
      <c r="X1206" s="2">
        <f>I!R105</f>
        <v>0</v>
      </c>
      <c r="Y1206" s="2">
        <f>I!S105</f>
        <v>0</v>
      </c>
      <c r="Z1206" s="112">
        <f>J!Q105</f>
        <v>0</v>
      </c>
      <c r="AA1206" s="2">
        <f>J!R105</f>
        <v>0</v>
      </c>
      <c r="AB1206" s="2">
        <f>J!S105</f>
        <v>0</v>
      </c>
    </row>
    <row r="1207" spans="1:28">
      <c r="A1207" s="69" t="s">
        <v>132</v>
      </c>
      <c r="B1207" s="127">
        <f>B!Q106</f>
        <v>4.0060722426657005</v>
      </c>
      <c r="C1207" s="39" t="str">
        <f>B!R106</f>
        <v>02-Nov</v>
      </c>
      <c r="D1207" s="39">
        <f>B!S106</f>
        <v>1</v>
      </c>
      <c r="E1207" s="133">
        <f>'C'!Q106</f>
        <v>3.9809999999999999</v>
      </c>
      <c r="F1207" s="126">
        <f>'C'!R106</f>
        <v>38057</v>
      </c>
      <c r="G1207" s="39">
        <f>'C'!S106</f>
        <v>10</v>
      </c>
      <c r="H1207" s="133">
        <f>D!Q106</f>
        <v>3.85</v>
      </c>
      <c r="I1207" s="126">
        <f>D!R106</f>
        <v>38273</v>
      </c>
      <c r="J1207" s="122">
        <f>D!S106</f>
        <v>9</v>
      </c>
      <c r="K1207" s="133">
        <f>E!Q106</f>
        <v>3.9201773014371066</v>
      </c>
      <c r="L1207" s="122" t="str">
        <f>E!R106</f>
        <v>03/16</v>
      </c>
      <c r="M1207" s="122" t="str">
        <f>E!S106</f>
        <v>10:00</v>
      </c>
      <c r="N1207" s="139">
        <f>F!Q106</f>
        <v>3.8400447427293063</v>
      </c>
      <c r="O1207" s="120">
        <f>F!R106</f>
        <v>76</v>
      </c>
      <c r="P1207" s="120">
        <f>F!S106</f>
        <v>10</v>
      </c>
      <c r="Q1207" s="139">
        <f>G!Q106</f>
        <v>3.88</v>
      </c>
      <c r="R1207" s="120">
        <f>G!R106</f>
        <v>37696</v>
      </c>
      <c r="S1207" s="120">
        <f>G!S106</f>
        <v>10</v>
      </c>
      <c r="T1207" s="119">
        <f>YD!Q106</f>
        <v>0</v>
      </c>
      <c r="U1207">
        <f>YD!R106</f>
        <v>0</v>
      </c>
      <c r="V1207">
        <f>YD!S106</f>
        <v>0</v>
      </c>
      <c r="W1207" s="112">
        <f>I!Q106</f>
        <v>0</v>
      </c>
      <c r="X1207" s="2">
        <f>I!R106</f>
        <v>0</v>
      </c>
      <c r="Y1207" s="2">
        <f>I!S106</f>
        <v>0</v>
      </c>
      <c r="Z1207" s="112">
        <f>J!Q106</f>
        <v>0</v>
      </c>
      <c r="AA1207" s="2">
        <f>J!R106</f>
        <v>0</v>
      </c>
      <c r="AB1207" s="2">
        <f>J!S106</f>
        <v>0</v>
      </c>
    </row>
    <row r="1208" spans="1:28">
      <c r="A1208" s="69" t="s">
        <v>135</v>
      </c>
      <c r="B1208" s="127">
        <f>B!Q107</f>
        <v>3.4559785684339444</v>
      </c>
      <c r="C1208" s="39" t="str">
        <f>B!R107</f>
        <v>30-Apr</v>
      </c>
      <c r="D1208" s="39">
        <f>B!S107</f>
        <v>15</v>
      </c>
      <c r="E1208" s="133">
        <f>'C'!Q107</f>
        <v>3.456</v>
      </c>
      <c r="F1208" s="126">
        <f>'C'!R107</f>
        <v>38107</v>
      </c>
      <c r="G1208" s="39">
        <f>'C'!S107</f>
        <v>16</v>
      </c>
      <c r="H1208" s="133">
        <f>D!Q107</f>
        <v>3.4550000000000001</v>
      </c>
      <c r="I1208" s="126">
        <f>D!R107</f>
        <v>38107</v>
      </c>
      <c r="J1208" s="122">
        <f>D!S107</f>
        <v>16</v>
      </c>
      <c r="K1208" s="133">
        <f>E!Q107</f>
        <v>3.5169385894725456</v>
      </c>
      <c r="L1208" s="122" t="str">
        <f>E!R107</f>
        <v>03/16</v>
      </c>
      <c r="M1208" s="122" t="str">
        <f>E!S107</f>
        <v>10:00</v>
      </c>
      <c r="N1208" s="139">
        <f>F!Q107</f>
        <v>3.6666666666666665</v>
      </c>
      <c r="O1208" s="120">
        <f>F!R107</f>
        <v>71</v>
      </c>
      <c r="P1208" s="120">
        <f>F!S107</f>
        <v>22</v>
      </c>
      <c r="Q1208" s="139">
        <f>G!Q107</f>
        <v>3.69</v>
      </c>
      <c r="R1208" s="120">
        <f>G!R107</f>
        <v>37911</v>
      </c>
      <c r="S1208" s="120">
        <f>G!S107</f>
        <v>5</v>
      </c>
      <c r="T1208" s="119">
        <f>YD!Q107</f>
        <v>0</v>
      </c>
      <c r="U1208">
        <f>YD!R107</f>
        <v>0</v>
      </c>
      <c r="V1208">
        <f>YD!S107</f>
        <v>0</v>
      </c>
      <c r="W1208" s="112">
        <f>I!Q107</f>
        <v>0</v>
      </c>
      <c r="X1208" s="2">
        <f>I!R107</f>
        <v>0</v>
      </c>
      <c r="Y1208" s="2">
        <f>I!S107</f>
        <v>0</v>
      </c>
      <c r="Z1208" s="112">
        <f>J!Q107</f>
        <v>0</v>
      </c>
      <c r="AA1208" s="2">
        <f>J!R107</f>
        <v>0</v>
      </c>
      <c r="AB1208" s="2">
        <f>J!S107</f>
        <v>0</v>
      </c>
    </row>
    <row r="1209" spans="1:28">
      <c r="A1209" s="70" t="s">
        <v>138</v>
      </c>
      <c r="B1209" s="127">
        <f>B!Q108</f>
        <v>4.2504539844715268</v>
      </c>
      <c r="C1209" s="39" t="str">
        <f>B!R108</f>
        <v>16-Mar</v>
      </c>
      <c r="D1209" s="39">
        <f>B!S108</f>
        <v>10</v>
      </c>
      <c r="E1209" s="133">
        <f>'C'!Q108</f>
        <v>4.2750000000000004</v>
      </c>
      <c r="F1209" s="126">
        <f>'C'!R108</f>
        <v>38062</v>
      </c>
      <c r="G1209" s="39">
        <f>'C'!S108</f>
        <v>10</v>
      </c>
      <c r="H1209" s="133">
        <f>D!Q108</f>
        <v>4.4279999999999999</v>
      </c>
      <c r="I1209" s="126">
        <f>D!R108</f>
        <v>38062</v>
      </c>
      <c r="J1209" s="122">
        <f>D!S108</f>
        <v>10</v>
      </c>
      <c r="K1209" s="133">
        <f>E!Q108</f>
        <v>4.2156644359779252</v>
      </c>
      <c r="L1209" s="122" t="str">
        <f>E!R108</f>
        <v>03/16</v>
      </c>
      <c r="M1209" s="122" t="str">
        <f>E!S108</f>
        <v>10:00</v>
      </c>
      <c r="N1209" s="139">
        <f>F!Q108</f>
        <v>4.1564885496183201</v>
      </c>
      <c r="O1209" s="120">
        <f>F!R108</f>
        <v>76</v>
      </c>
      <c r="P1209" s="120">
        <f>F!S108</f>
        <v>10</v>
      </c>
      <c r="Q1209" s="139">
        <f>G!Q108</f>
        <v>4.17</v>
      </c>
      <c r="R1209" s="120">
        <f>G!R108</f>
        <v>37696</v>
      </c>
      <c r="S1209" s="120">
        <f>G!S108</f>
        <v>10</v>
      </c>
      <c r="T1209" s="119">
        <f>YD!Q108</f>
        <v>0</v>
      </c>
      <c r="U1209">
        <f>YD!R108</f>
        <v>0</v>
      </c>
      <c r="V1209">
        <f>YD!S108</f>
        <v>0</v>
      </c>
      <c r="W1209" s="112">
        <f>I!Q108</f>
        <v>0</v>
      </c>
      <c r="X1209" s="2">
        <f>I!R108</f>
        <v>0</v>
      </c>
      <c r="Y1209" s="2">
        <f>I!S108</f>
        <v>0</v>
      </c>
      <c r="Z1209" s="112">
        <f>J!Q108</f>
        <v>0</v>
      </c>
      <c r="AA1209" s="2">
        <f>J!R108</f>
        <v>0</v>
      </c>
      <c r="AB1209" s="2">
        <f>J!S108</f>
        <v>0</v>
      </c>
    </row>
    <row r="1210" spans="1:28">
      <c r="A1210" s="15"/>
      <c r="B1210" s="16"/>
      <c r="C1210" s="16"/>
      <c r="D1210" s="16"/>
      <c r="E1210" s="134"/>
      <c r="F1210" s="129"/>
      <c r="G1210" s="16"/>
      <c r="H1210" s="134"/>
      <c r="I1210" s="129"/>
      <c r="J1210" s="16"/>
      <c r="K1210" s="134"/>
      <c r="L1210" s="16"/>
      <c r="M1210" s="16"/>
      <c r="N1210" s="132"/>
      <c r="Q1210" s="13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34"/>
      <c r="F1211" s="129"/>
      <c r="G1211" s="16"/>
      <c r="H1211" s="134"/>
      <c r="I1211" s="129"/>
      <c r="J1211" s="16"/>
      <c r="K1211" s="134"/>
      <c r="L1211" s="16"/>
      <c r="M1211" s="16"/>
      <c r="N1211" s="132"/>
      <c r="Q1211" s="13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34"/>
      <c r="F1212" s="129"/>
      <c r="G1212" s="16"/>
      <c r="H1212" s="134"/>
      <c r="I1212" s="129"/>
      <c r="J1212" s="16"/>
      <c r="K1212" s="134"/>
      <c r="L1212" s="16"/>
      <c r="M1212" s="16"/>
      <c r="N1212" s="132"/>
      <c r="Q1212" s="13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34"/>
      <c r="F1213" s="129"/>
      <c r="G1213" s="16"/>
      <c r="H1213" s="134"/>
      <c r="I1213" s="129"/>
      <c r="J1213" s="16"/>
      <c r="K1213" s="134"/>
      <c r="L1213" s="16"/>
      <c r="M1213" s="16"/>
      <c r="N1213" s="132"/>
      <c r="Q1213" s="13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34"/>
      <c r="F1214" s="129"/>
      <c r="G1214" s="16"/>
      <c r="H1214" s="134"/>
      <c r="I1214" s="129"/>
      <c r="J1214" s="16"/>
      <c r="K1214" s="134"/>
      <c r="L1214" s="16"/>
      <c r="M1214" s="16"/>
      <c r="N1214" s="132"/>
      <c r="Q1214" s="13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34"/>
      <c r="F1215" s="129"/>
      <c r="G1215" s="16"/>
      <c r="H1215" s="134"/>
      <c r="I1215" s="129"/>
      <c r="J1215" s="16"/>
      <c r="K1215" s="134"/>
      <c r="L1215" s="16"/>
      <c r="M1215" s="16"/>
      <c r="N1215" s="132"/>
      <c r="Q1215" s="13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34"/>
      <c r="F1216" s="129"/>
      <c r="G1216" s="16"/>
      <c r="H1216" s="134"/>
      <c r="I1216" s="129"/>
      <c r="J1216" s="16"/>
      <c r="K1216" s="134"/>
      <c r="L1216" s="16"/>
      <c r="M1216" s="16"/>
      <c r="N1216" s="132"/>
      <c r="Q1216" s="13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250</v>
      </c>
      <c r="B1217" s="39"/>
      <c r="C1217" s="12"/>
      <c r="D1217" s="12"/>
      <c r="E1217" s="131"/>
      <c r="F1217" s="126"/>
      <c r="G1217" s="39"/>
      <c r="H1217" s="137"/>
      <c r="I1217" s="126"/>
      <c r="J1217" s="121"/>
      <c r="K1217" s="137"/>
      <c r="L1217" s="121"/>
      <c r="M1217" s="121"/>
      <c r="N1217" s="132"/>
      <c r="O1217" s="120"/>
      <c r="P1217" s="120"/>
      <c r="Q1217" s="132"/>
      <c r="R1217" s="121"/>
      <c r="S1217" s="121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20"/>
      <c r="G1218" s="120"/>
      <c r="H1218" s="130"/>
      <c r="I1218" s="121"/>
      <c r="J1218" s="121"/>
      <c r="K1218" s="10"/>
      <c r="L1218" s="121"/>
      <c r="M1218" s="121"/>
      <c r="N1218" s="10"/>
      <c r="O1218" s="120"/>
      <c r="P1218" s="120"/>
      <c r="Q1218" s="132"/>
      <c r="R1218" s="121"/>
      <c r="S1218" s="121"/>
      <c r="V1218" s="2"/>
      <c r="W1218" s="2"/>
      <c r="X1218" s="2"/>
      <c r="Y1218" s="2"/>
      <c r="Z1218" s="2"/>
      <c r="AA1218" s="2"/>
      <c r="AB1218" s="2"/>
    </row>
    <row r="1219" spans="1:28">
      <c r="A1219" s="2"/>
      <c r="B1219" s="10" t="s">
        <v>245</v>
      </c>
      <c r="C1219" t="s">
        <v>77</v>
      </c>
      <c r="D1219" t="s">
        <v>78</v>
      </c>
      <c r="E1219" s="10" t="s">
        <v>257</v>
      </c>
      <c r="F1219" s="120" t="s">
        <v>77</v>
      </c>
      <c r="G1219" s="120" t="s">
        <v>78</v>
      </c>
      <c r="H1219" s="10" t="s">
        <v>258</v>
      </c>
      <c r="I1219" s="120" t="s">
        <v>77</v>
      </c>
      <c r="J1219" s="120" t="s">
        <v>78</v>
      </c>
      <c r="K1219" s="10" t="s">
        <v>515</v>
      </c>
      <c r="L1219" s="120" t="s">
        <v>77</v>
      </c>
      <c r="M1219" s="120" t="s">
        <v>78</v>
      </c>
      <c r="N1219" s="10" t="s">
        <v>373</v>
      </c>
      <c r="O1219" s="120" t="s">
        <v>77</v>
      </c>
      <c r="P1219" s="120" t="s">
        <v>78</v>
      </c>
      <c r="Q1219" s="10" t="s">
        <v>482</v>
      </c>
      <c r="R1219" s="120" t="s">
        <v>77</v>
      </c>
      <c r="S1219" s="120" t="s">
        <v>78</v>
      </c>
      <c r="T1219" s="10" t="s">
        <v>516</v>
      </c>
      <c r="U1219" s="120" t="s">
        <v>77</v>
      </c>
      <c r="V1219" s="120" t="s">
        <v>78</v>
      </c>
      <c r="W1219" s="10" t="s">
        <v>517</v>
      </c>
      <c r="X1219" s="120" t="s">
        <v>77</v>
      </c>
      <c r="Y1219" s="120" t="s">
        <v>78</v>
      </c>
      <c r="Z1219" s="10" t="s">
        <v>517</v>
      </c>
      <c r="AA1219" s="120" t="s">
        <v>77</v>
      </c>
      <c r="AB1219" s="120" t="s">
        <v>78</v>
      </c>
    </row>
    <row r="1220" spans="1:28">
      <c r="A1220" s="69" t="s">
        <v>91</v>
      </c>
      <c r="B1220" s="127">
        <f>B!T89</f>
        <v>2.7930660792870952</v>
      </c>
      <c r="C1220" s="127" t="str">
        <f>B!U89</f>
        <v>24-Apr</v>
      </c>
      <c r="D1220" s="122">
        <f>B!V89</f>
        <v>17</v>
      </c>
      <c r="E1220" s="133">
        <f>'C'!T89</f>
        <v>2.798</v>
      </c>
      <c r="F1220" s="126">
        <f>'C'!U89</f>
        <v>37591</v>
      </c>
      <c r="G1220" s="122">
        <f>'C'!V89</f>
        <v>14</v>
      </c>
      <c r="H1220" s="133">
        <f>D!T89</f>
        <v>2.8010000000000002</v>
      </c>
      <c r="I1220" s="126">
        <f>D!U89</f>
        <v>37956</v>
      </c>
      <c r="J1220" s="122">
        <f>D!V89</f>
        <v>12</v>
      </c>
      <c r="K1220" s="133">
        <f>E!T89</f>
        <v>2.7743951632197765</v>
      </c>
      <c r="L1220" s="126" t="str">
        <f>E!U89</f>
        <v>06/13</v>
      </c>
      <c r="M1220" s="122" t="str">
        <f>E!V89</f>
        <v>17:00</v>
      </c>
      <c r="N1220" s="139">
        <f>F!T89</f>
        <v>2.7856291503490547</v>
      </c>
      <c r="O1220" s="124">
        <f>F!U89</f>
        <v>165</v>
      </c>
      <c r="P1220" s="350">
        <f>F!V89</f>
        <v>17</v>
      </c>
      <c r="Q1220" s="139">
        <f>G!T89</f>
        <v>2.81</v>
      </c>
      <c r="R1220" s="124">
        <f>G!U89</f>
        <v>37786</v>
      </c>
      <c r="S1220" s="350">
        <f>G!V89</f>
        <v>12</v>
      </c>
      <c r="T1220">
        <f>YD!T89</f>
        <v>0</v>
      </c>
      <c r="U1220">
        <f>YD!U89</f>
        <v>0</v>
      </c>
      <c r="V1220">
        <f>YD!V89</f>
        <v>0</v>
      </c>
      <c r="W1220" s="2">
        <f>I!T89</f>
        <v>0</v>
      </c>
      <c r="X1220" s="2">
        <f>I!U89</f>
        <v>0</v>
      </c>
      <c r="Y1220" s="2">
        <f>I!V89</f>
        <v>0</v>
      </c>
      <c r="Z1220" s="2">
        <f>J!T89</f>
        <v>0</v>
      </c>
      <c r="AA1220" s="2">
        <f>J!U89</f>
        <v>0</v>
      </c>
      <c r="AB1220" s="2">
        <f>J!V89</f>
        <v>0</v>
      </c>
    </row>
    <row r="1221" spans="1:28">
      <c r="A1221" s="69" t="s">
        <v>96</v>
      </c>
      <c r="B1221" s="127">
        <f>B!T90</f>
        <v>2.8652350328328815</v>
      </c>
      <c r="C1221" s="127" t="str">
        <f>B!U90</f>
        <v>01-Dec</v>
      </c>
      <c r="D1221" s="122">
        <f>B!V90</f>
        <v>15</v>
      </c>
      <c r="E1221" s="133">
        <f>'C'!T90</f>
        <v>2.85</v>
      </c>
      <c r="F1221" s="126">
        <f>'C'!U90</f>
        <v>37591</v>
      </c>
      <c r="G1221" s="122">
        <f>'C'!V90</f>
        <v>14</v>
      </c>
      <c r="H1221" s="133">
        <f>D!T90</f>
        <v>2.851</v>
      </c>
      <c r="I1221" s="126">
        <f>D!U90</f>
        <v>37591</v>
      </c>
      <c r="J1221" s="122">
        <f>D!V90</f>
        <v>12</v>
      </c>
      <c r="K1221" s="133">
        <f>E!T90</f>
        <v>2.8671282955036634</v>
      </c>
      <c r="L1221" s="126" t="str">
        <f>E!U90</f>
        <v>12/01</v>
      </c>
      <c r="M1221" s="122" t="str">
        <f>E!V90</f>
        <v>15:00</v>
      </c>
      <c r="N1221" s="139">
        <f>F!T90</f>
        <v>2.8726445743989606</v>
      </c>
      <c r="O1221" s="124">
        <f>F!U90</f>
        <v>336</v>
      </c>
      <c r="P1221" s="350">
        <f>F!V90</f>
        <v>15</v>
      </c>
      <c r="Q1221" s="139">
        <f>G!T90</f>
        <v>2.87</v>
      </c>
      <c r="R1221" s="124">
        <f>G!U90</f>
        <v>37956</v>
      </c>
      <c r="S1221" s="350">
        <f>G!V90</f>
        <v>14</v>
      </c>
      <c r="T1221">
        <f>YD!T90</f>
        <v>0</v>
      </c>
      <c r="U1221">
        <f>YD!U90</f>
        <v>0</v>
      </c>
      <c r="V1221">
        <f>YD!V90</f>
        <v>0</v>
      </c>
      <c r="W1221" s="2">
        <f>I!T90</f>
        <v>0</v>
      </c>
      <c r="X1221" s="2">
        <f>I!U90</f>
        <v>0</v>
      </c>
      <c r="Y1221" s="2">
        <f>I!V90</f>
        <v>0</v>
      </c>
      <c r="Z1221" s="2">
        <f>J!T90</f>
        <v>0</v>
      </c>
      <c r="AA1221" s="2">
        <f>J!U90</f>
        <v>0</v>
      </c>
      <c r="AB1221" s="2">
        <f>J!V90</f>
        <v>0</v>
      </c>
    </row>
    <row r="1222" spans="1:28">
      <c r="A1222" s="69" t="s">
        <v>98</v>
      </c>
      <c r="B1222" s="127">
        <f>B!T91</f>
        <v>2.8252032267490548</v>
      </c>
      <c r="C1222" s="127" t="str">
        <f>B!U91</f>
        <v>31-Mar</v>
      </c>
      <c r="D1222" s="122">
        <f>B!V91</f>
        <v>14</v>
      </c>
      <c r="E1222" s="133">
        <f>'C'!T91</f>
        <v>2.8010000000000002</v>
      </c>
      <c r="F1222" s="126">
        <f>'C'!U91</f>
        <v>37591</v>
      </c>
      <c r="G1222" s="122">
        <f>'C'!V91</f>
        <v>14</v>
      </c>
      <c r="H1222" s="133">
        <f>D!T91</f>
        <v>2.8050000000000002</v>
      </c>
      <c r="I1222" s="126">
        <f>D!U91</f>
        <v>37956</v>
      </c>
      <c r="J1222" s="122">
        <f>D!V91</f>
        <v>15</v>
      </c>
      <c r="K1222" s="133">
        <f>E!T91</f>
        <v>2.8230840440178455</v>
      </c>
      <c r="L1222" s="126" t="str">
        <f>E!U91</f>
        <v>03/31</v>
      </c>
      <c r="M1222" s="122" t="str">
        <f>E!V91</f>
        <v>15:00</v>
      </c>
      <c r="N1222" s="139">
        <f>F!T91</f>
        <v>2.8145224940805051</v>
      </c>
      <c r="O1222" s="124">
        <f>F!U91</f>
        <v>91</v>
      </c>
      <c r="P1222" s="350">
        <f>F!V91</f>
        <v>15</v>
      </c>
      <c r="Q1222" s="139">
        <f>G!T91</f>
        <v>2.83</v>
      </c>
      <c r="R1222" s="124">
        <f>G!U91</f>
        <v>37711</v>
      </c>
      <c r="S1222" s="350">
        <f>G!V91</f>
        <v>14</v>
      </c>
      <c r="T1222">
        <f>YD!T91</f>
        <v>0</v>
      </c>
      <c r="U1222">
        <f>YD!U91</f>
        <v>0</v>
      </c>
      <c r="V1222">
        <f>YD!V91</f>
        <v>0</v>
      </c>
      <c r="W1222" s="2">
        <f>I!T91</f>
        <v>0</v>
      </c>
      <c r="X1222" s="2">
        <f>I!U91</f>
        <v>0</v>
      </c>
      <c r="Y1222" s="2">
        <f>I!V91</f>
        <v>0</v>
      </c>
      <c r="Z1222" s="2">
        <f>J!T91</f>
        <v>0</v>
      </c>
      <c r="AA1222" s="2">
        <f>J!U91</f>
        <v>0</v>
      </c>
      <c r="AB1222" s="2">
        <f>J!V91</f>
        <v>0</v>
      </c>
    </row>
    <row r="1223" spans="1:28">
      <c r="A1223" s="69" t="s">
        <v>102</v>
      </c>
      <c r="B1223" s="127">
        <f>B!T92</f>
        <v>2.8252032267490548</v>
      </c>
      <c r="C1223" s="127" t="str">
        <f>B!U92</f>
        <v>31-Mar</v>
      </c>
      <c r="D1223" s="122">
        <f>B!V92</f>
        <v>14</v>
      </c>
      <c r="E1223" s="133">
        <f>'C'!T92</f>
        <v>2.798</v>
      </c>
      <c r="F1223" s="126">
        <f>'C'!U92</f>
        <v>37591</v>
      </c>
      <c r="G1223" s="122">
        <f>'C'!V92</f>
        <v>14</v>
      </c>
      <c r="H1223" s="133">
        <f>D!T92</f>
        <v>2.8010000000000002</v>
      </c>
      <c r="I1223" s="126">
        <f>D!U92</f>
        <v>37956</v>
      </c>
      <c r="J1223" s="122">
        <f>D!V92</f>
        <v>12</v>
      </c>
      <c r="K1223" s="133">
        <f>E!T92</f>
        <v>2.8285558394781116</v>
      </c>
      <c r="L1223" s="126" t="str">
        <f>E!U92</f>
        <v>03/31</v>
      </c>
      <c r="M1223" s="122" t="str">
        <f>E!V92</f>
        <v>15:00</v>
      </c>
      <c r="N1223" s="139">
        <f>F!T92</f>
        <v>2.8233253269282095</v>
      </c>
      <c r="O1223" s="124">
        <f>F!U92</f>
        <v>91</v>
      </c>
      <c r="P1223" s="350">
        <f>F!V92</f>
        <v>15</v>
      </c>
      <c r="Q1223" s="139">
        <f>G!T92</f>
        <v>2.84</v>
      </c>
      <c r="R1223" s="124">
        <f>G!U92</f>
        <v>37711</v>
      </c>
      <c r="S1223" s="350">
        <f>G!V92</f>
        <v>14</v>
      </c>
      <c r="T1223">
        <f>YD!T92</f>
        <v>0</v>
      </c>
      <c r="U1223">
        <f>YD!U92</f>
        <v>0</v>
      </c>
      <c r="V1223">
        <f>YD!V92</f>
        <v>0</v>
      </c>
      <c r="W1223" s="2">
        <f>I!T92</f>
        <v>0</v>
      </c>
      <c r="X1223" s="2">
        <f>I!U92</f>
        <v>0</v>
      </c>
      <c r="Y1223" s="2">
        <f>I!V92</f>
        <v>0</v>
      </c>
      <c r="Z1223" s="2">
        <f>J!T92</f>
        <v>0</v>
      </c>
      <c r="AA1223" s="2">
        <f>J!U92</f>
        <v>0</v>
      </c>
      <c r="AB1223" s="2">
        <f>J!V92</f>
        <v>0</v>
      </c>
    </row>
    <row r="1224" spans="1:28">
      <c r="A1224" s="69" t="s">
        <v>356</v>
      </c>
      <c r="B1224" s="127">
        <f>B!T93</f>
        <v>2.8252032267490548</v>
      </c>
      <c r="C1224" s="127" t="str">
        <f>B!U93</f>
        <v>31-Mar</v>
      </c>
      <c r="D1224" s="122">
        <f>B!V93</f>
        <v>14</v>
      </c>
      <c r="E1224" s="133">
        <f>'C'!T93</f>
        <v>2.798</v>
      </c>
      <c r="F1224" s="126">
        <f>'C'!U93</f>
        <v>37591</v>
      </c>
      <c r="G1224" s="122">
        <f>'C'!V93</f>
        <v>14</v>
      </c>
      <c r="H1224" s="133">
        <f>D!T93</f>
        <v>2.8010000000000002</v>
      </c>
      <c r="I1224" s="126">
        <f>D!U93</f>
        <v>37956</v>
      </c>
      <c r="J1224" s="122">
        <f>D!V93</f>
        <v>12</v>
      </c>
      <c r="K1224" s="133">
        <f>E!T93</f>
        <v>2.8285558394781116</v>
      </c>
      <c r="L1224" s="126" t="str">
        <f>E!U93</f>
        <v>03/31</v>
      </c>
      <c r="M1224" s="122" t="str">
        <f>E!V93</f>
        <v>15:00</v>
      </c>
      <c r="N1224" s="139">
        <f>F!T93</f>
        <v>2.8233253269282095</v>
      </c>
      <c r="O1224" s="124">
        <f>F!U93</f>
        <v>91</v>
      </c>
      <c r="P1224" s="350">
        <f>F!V93</f>
        <v>15</v>
      </c>
      <c r="Q1224" s="139">
        <f>G!T93</f>
        <v>2.84</v>
      </c>
      <c r="R1224" s="124">
        <f>G!U93</f>
        <v>37711</v>
      </c>
      <c r="S1224" s="350">
        <f>G!V93</f>
        <v>14</v>
      </c>
      <c r="T1224">
        <f>YD!T93</f>
        <v>0</v>
      </c>
      <c r="U1224">
        <f>YD!U93</f>
        <v>0</v>
      </c>
      <c r="V1224">
        <f>YD!V93</f>
        <v>0</v>
      </c>
      <c r="W1224" s="2">
        <f>I!T93</f>
        <v>0</v>
      </c>
      <c r="X1224" s="2">
        <f>I!U93</f>
        <v>0</v>
      </c>
      <c r="Y1224" s="2">
        <f>I!V93</f>
        <v>0</v>
      </c>
      <c r="Z1224" s="2">
        <f>J!T93</f>
        <v>0</v>
      </c>
      <c r="AA1224" s="2">
        <f>J!U93</f>
        <v>0</v>
      </c>
      <c r="AB1224" s="2">
        <f>J!V93</f>
        <v>0</v>
      </c>
    </row>
    <row r="1225" spans="1:28">
      <c r="A1225" s="69" t="s">
        <v>105</v>
      </c>
      <c r="B1225" s="127">
        <f>B!T94</f>
        <v>2.7904288847524867</v>
      </c>
      <c r="C1225" s="127" t="str">
        <f>B!U94</f>
        <v>24-Apr</v>
      </c>
      <c r="D1225" s="122">
        <f>B!V94</f>
        <v>17</v>
      </c>
      <c r="E1225" s="133">
        <f>'C'!T94</f>
        <v>2.798</v>
      </c>
      <c r="F1225" s="126">
        <f>'C'!U94</f>
        <v>38322</v>
      </c>
      <c r="G1225" s="122">
        <f>'C'!V94</f>
        <v>14</v>
      </c>
      <c r="H1225" s="133">
        <f>D!T94</f>
        <v>2.8010000000000002</v>
      </c>
      <c r="I1225" s="126">
        <f>D!U94</f>
        <v>37956</v>
      </c>
      <c r="J1225" s="122">
        <f>D!V94</f>
        <v>12</v>
      </c>
      <c r="K1225" s="133">
        <f>E!T94</f>
        <v>2.7743950798290444</v>
      </c>
      <c r="L1225" s="126" t="str">
        <f>E!U94</f>
        <v>06/13</v>
      </c>
      <c r="M1225" s="122" t="str">
        <f>E!V94</f>
        <v>17:00</v>
      </c>
      <c r="N1225" s="139">
        <f>F!T94</f>
        <v>2.7859087814840033</v>
      </c>
      <c r="O1225" s="124">
        <f>F!U94</f>
        <v>165</v>
      </c>
      <c r="P1225" s="350">
        <f>F!V94</f>
        <v>17</v>
      </c>
      <c r="Q1225" s="139">
        <f>G!T94</f>
        <v>2.81</v>
      </c>
      <c r="R1225" s="124">
        <f>G!U94</f>
        <v>37786</v>
      </c>
      <c r="S1225" s="350">
        <f>G!V94</f>
        <v>12</v>
      </c>
      <c r="T1225">
        <f>YD!T94</f>
        <v>0</v>
      </c>
      <c r="U1225">
        <f>YD!U94</f>
        <v>0</v>
      </c>
      <c r="V1225">
        <f>YD!V94</f>
        <v>0</v>
      </c>
      <c r="W1225" s="2">
        <f>I!T94</f>
        <v>0</v>
      </c>
      <c r="X1225" s="2">
        <f>I!U94</f>
        <v>0</v>
      </c>
      <c r="Y1225" s="2">
        <f>I!V94</f>
        <v>0</v>
      </c>
      <c r="Z1225" s="2">
        <f>J!T94</f>
        <v>0</v>
      </c>
      <c r="AA1225" s="2">
        <f>J!U94</f>
        <v>0</v>
      </c>
      <c r="AB1225" s="2">
        <f>J!V94</f>
        <v>0</v>
      </c>
    </row>
    <row r="1226" spans="1:28">
      <c r="A1226" s="69" t="s">
        <v>108</v>
      </c>
      <c r="B1226" s="127">
        <f>B!T95</f>
        <v>2.8252032267490548</v>
      </c>
      <c r="C1226" s="127" t="str">
        <f>B!U95</f>
        <v>31-Mar</v>
      </c>
      <c r="D1226" s="122">
        <f>B!V95</f>
        <v>14</v>
      </c>
      <c r="E1226" s="133">
        <f>'C'!T95</f>
        <v>2.7989999999999999</v>
      </c>
      <c r="F1226" s="126">
        <f>'C'!U95</f>
        <v>37591</v>
      </c>
      <c r="G1226" s="122">
        <f>'C'!V95</f>
        <v>14</v>
      </c>
      <c r="H1226" s="133">
        <f>D!T95</f>
        <v>2.8010000000000002</v>
      </c>
      <c r="I1226" s="126">
        <f>D!U95</f>
        <v>37956</v>
      </c>
      <c r="J1226" s="122">
        <f>D!V95</f>
        <v>12</v>
      </c>
      <c r="K1226" s="133">
        <f>E!T95</f>
        <v>2.8285581563625271</v>
      </c>
      <c r="L1226" s="126" t="str">
        <f>E!U95</f>
        <v>03/31</v>
      </c>
      <c r="M1226" s="122" t="str">
        <f>E!V95</f>
        <v>15:00</v>
      </c>
      <c r="N1226" s="139">
        <f>F!T95</f>
        <v>2.8233253269282095</v>
      </c>
      <c r="O1226" s="124">
        <f>F!U95</f>
        <v>91</v>
      </c>
      <c r="P1226" s="350">
        <f>F!V95</f>
        <v>15</v>
      </c>
      <c r="Q1226" s="139">
        <f>G!T95</f>
        <v>2.84</v>
      </c>
      <c r="R1226" s="124">
        <f>G!U95</f>
        <v>37711</v>
      </c>
      <c r="S1226" s="350">
        <f>G!V95</f>
        <v>14</v>
      </c>
      <c r="T1226">
        <f>YD!T95</f>
        <v>0</v>
      </c>
      <c r="U1226">
        <f>YD!U95</f>
        <v>0</v>
      </c>
      <c r="V1226">
        <f>YD!V95</f>
        <v>0</v>
      </c>
      <c r="W1226" s="2">
        <f>I!T95</f>
        <v>0</v>
      </c>
      <c r="X1226" s="2">
        <f>I!U95</f>
        <v>0</v>
      </c>
      <c r="Y1226" s="2">
        <f>I!V95</f>
        <v>0</v>
      </c>
      <c r="Z1226" s="2">
        <f>J!T95</f>
        <v>0</v>
      </c>
      <c r="AA1226" s="2">
        <f>J!U95</f>
        <v>0</v>
      </c>
      <c r="AB1226" s="2">
        <f>J!V95</f>
        <v>0</v>
      </c>
    </row>
    <row r="1227" spans="1:28">
      <c r="A1227" s="69" t="s">
        <v>109</v>
      </c>
      <c r="B1227" s="127">
        <f>B!T96</f>
        <v>2.7819111679738864</v>
      </c>
      <c r="C1227" s="127" t="str">
        <f>B!U96</f>
        <v>31-Mar</v>
      </c>
      <c r="D1227" s="122">
        <f>B!V96</f>
        <v>19</v>
      </c>
      <c r="E1227" s="133">
        <f>'C'!T96</f>
        <v>2.734</v>
      </c>
      <c r="F1227" s="126">
        <f>'C'!U96</f>
        <v>37593</v>
      </c>
      <c r="G1227" s="122">
        <f>'C'!V96</f>
        <v>15</v>
      </c>
      <c r="H1227" s="133">
        <f>D!T96</f>
        <v>2.7349999999999999</v>
      </c>
      <c r="I1227" s="126">
        <f>D!U96</f>
        <v>37958</v>
      </c>
      <c r="J1227" s="122">
        <f>D!V96</f>
        <v>13</v>
      </c>
      <c r="K1227" s="133">
        <f>E!T96</f>
        <v>2.7743947395698538</v>
      </c>
      <c r="L1227" s="126" t="str">
        <f>E!U96</f>
        <v>06/13</v>
      </c>
      <c r="M1227" s="122" t="str">
        <f>E!V96</f>
        <v>17:00</v>
      </c>
      <c r="N1227" s="139">
        <f>F!T96</f>
        <v>0</v>
      </c>
      <c r="O1227" s="124">
        <f>F!U96</f>
        <v>0</v>
      </c>
      <c r="P1227" s="350">
        <f>F!V96</f>
        <v>0</v>
      </c>
      <c r="Q1227" s="139">
        <f>G!T96</f>
        <v>2.81</v>
      </c>
      <c r="R1227" s="124">
        <f>G!U96</f>
        <v>37786</v>
      </c>
      <c r="S1227" s="350">
        <f>G!V96</f>
        <v>12</v>
      </c>
      <c r="T1227">
        <f>YD!T96</f>
        <v>0</v>
      </c>
      <c r="U1227">
        <f>YD!U96</f>
        <v>0</v>
      </c>
      <c r="V1227">
        <f>YD!V96</f>
        <v>0</v>
      </c>
      <c r="W1227" s="2">
        <f>I!T96</f>
        <v>0</v>
      </c>
      <c r="X1227" s="2">
        <f>I!U96</f>
        <v>0</v>
      </c>
      <c r="Y1227" s="2">
        <f>I!V96</f>
        <v>0</v>
      </c>
      <c r="Z1227" s="2">
        <f>J!T96</f>
        <v>0</v>
      </c>
      <c r="AA1227" s="2">
        <f>J!U96</f>
        <v>0</v>
      </c>
      <c r="AB1227" s="2">
        <f>J!V96</f>
        <v>0</v>
      </c>
    </row>
    <row r="1228" spans="1:28">
      <c r="A1228" s="69" t="s">
        <v>111</v>
      </c>
      <c r="B1228" s="127">
        <f>B!T97</f>
        <v>2.7858321565014403</v>
      </c>
      <c r="C1228" s="127" t="str">
        <f>B!U97</f>
        <v>24-Apr</v>
      </c>
      <c r="D1228" s="122">
        <f>B!V97</f>
        <v>17</v>
      </c>
      <c r="E1228" s="133">
        <f>'C'!T97</f>
        <v>2.798</v>
      </c>
      <c r="F1228" s="126">
        <f>'C'!U97</f>
        <v>38322</v>
      </c>
      <c r="G1228" s="122">
        <f>'C'!V97</f>
        <v>14</v>
      </c>
      <c r="H1228" s="133">
        <f>D!T97</f>
        <v>2.8010000000000002</v>
      </c>
      <c r="I1228" s="126">
        <f>D!U97</f>
        <v>37956</v>
      </c>
      <c r="J1228" s="122">
        <f>D!V97</f>
        <v>12</v>
      </c>
      <c r="K1228" s="133">
        <f>E!T97</f>
        <v>2.77439490755373</v>
      </c>
      <c r="L1228" s="126" t="str">
        <f>E!U97</f>
        <v>06/13</v>
      </c>
      <c r="M1228" s="122" t="str">
        <f>E!V97</f>
        <v>17:00</v>
      </c>
      <c r="N1228" s="139">
        <f>F!T97</f>
        <v>0</v>
      </c>
      <c r="O1228" s="124">
        <f>F!U97</f>
        <v>0</v>
      </c>
      <c r="P1228" s="350">
        <f>F!V97</f>
        <v>0</v>
      </c>
      <c r="Q1228" s="139">
        <f>G!T97</f>
        <v>2.81</v>
      </c>
      <c r="R1228" s="124">
        <f>G!U97</f>
        <v>37786</v>
      </c>
      <c r="S1228" s="350">
        <f>G!V97</f>
        <v>12</v>
      </c>
      <c r="T1228">
        <f>YD!T97</f>
        <v>0</v>
      </c>
      <c r="U1228">
        <f>YD!U97</f>
        <v>0</v>
      </c>
      <c r="V1228">
        <f>YD!V97</f>
        <v>0</v>
      </c>
      <c r="W1228" s="2">
        <f>I!T97</f>
        <v>0</v>
      </c>
      <c r="X1228" s="2">
        <f>I!U97</f>
        <v>0</v>
      </c>
      <c r="Y1228" s="2">
        <f>I!V97</f>
        <v>0</v>
      </c>
      <c r="Z1228" s="2">
        <f>J!T97</f>
        <v>0</v>
      </c>
      <c r="AA1228" s="2">
        <f>J!U97</f>
        <v>0</v>
      </c>
      <c r="AB1228" s="2">
        <f>J!V97</f>
        <v>0</v>
      </c>
    </row>
    <row r="1229" spans="1:28">
      <c r="A1229" s="69" t="s">
        <v>112</v>
      </c>
      <c r="B1229" s="127">
        <f>B!T98</f>
        <v>2.7930660792870952</v>
      </c>
      <c r="C1229" s="127" t="str">
        <f>B!U98</f>
        <v>24-Apr</v>
      </c>
      <c r="D1229" s="122">
        <f>B!V98</f>
        <v>17</v>
      </c>
      <c r="E1229" s="133">
        <f>'C'!T98</f>
        <v>2.798</v>
      </c>
      <c r="F1229" s="126">
        <f>'C'!U98</f>
        <v>38322</v>
      </c>
      <c r="G1229" s="122">
        <f>'C'!V98</f>
        <v>14</v>
      </c>
      <c r="H1229" s="133">
        <f>D!T98</f>
        <v>2.8010000000000002</v>
      </c>
      <c r="I1229" s="126">
        <f>D!U98</f>
        <v>37956</v>
      </c>
      <c r="J1229" s="122">
        <f>D!V98</f>
        <v>12</v>
      </c>
      <c r="K1229" s="133">
        <f>E!T98</f>
        <v>2.7743951632197765</v>
      </c>
      <c r="L1229" s="126" t="str">
        <f>E!U98</f>
        <v>06/13</v>
      </c>
      <c r="M1229" s="122" t="str">
        <f>E!V98</f>
        <v>17:00</v>
      </c>
      <c r="N1229" s="139">
        <f>F!T98</f>
        <v>0</v>
      </c>
      <c r="O1229" s="124">
        <f>F!U98</f>
        <v>0</v>
      </c>
      <c r="P1229" s="350">
        <f>F!V98</f>
        <v>0</v>
      </c>
      <c r="Q1229" s="139">
        <f>G!T98</f>
        <v>2.81</v>
      </c>
      <c r="R1229" s="124">
        <f>G!U98</f>
        <v>37786</v>
      </c>
      <c r="S1229" s="350">
        <f>G!V98</f>
        <v>12</v>
      </c>
      <c r="T1229">
        <f>YD!T98</f>
        <v>0</v>
      </c>
      <c r="U1229">
        <f>YD!U98</f>
        <v>0</v>
      </c>
      <c r="V1229">
        <f>YD!V98</f>
        <v>0</v>
      </c>
      <c r="W1229" s="2">
        <f>I!T98</f>
        <v>0</v>
      </c>
      <c r="X1229" s="2">
        <f>I!U98</f>
        <v>0</v>
      </c>
      <c r="Y1229" s="2">
        <f>I!V98</f>
        <v>0</v>
      </c>
      <c r="Z1229" s="2">
        <f>J!T98</f>
        <v>0</v>
      </c>
      <c r="AA1229" s="2">
        <f>J!U98</f>
        <v>0</v>
      </c>
      <c r="AB1229" s="2">
        <f>J!V98</f>
        <v>0</v>
      </c>
    </row>
    <row r="1230" spans="1:28">
      <c r="A1230" s="69" t="s">
        <v>113</v>
      </c>
      <c r="B1230" s="127">
        <f>B!T99</f>
        <v>2.7711375787107482</v>
      </c>
      <c r="C1230" s="127" t="str">
        <f>B!U99</f>
        <v>30-Mar</v>
      </c>
      <c r="D1230" s="122">
        <f>B!V99</f>
        <v>19</v>
      </c>
      <c r="E1230" s="133">
        <f>'C'!T99</f>
        <v>2.734</v>
      </c>
      <c r="F1230" s="126">
        <f>'C'!U99</f>
        <v>37593</v>
      </c>
      <c r="G1230" s="122">
        <f>'C'!V99</f>
        <v>13</v>
      </c>
      <c r="H1230" s="133">
        <f>D!T99</f>
        <v>2.7349999999999999</v>
      </c>
      <c r="I1230" s="126">
        <f>D!U99</f>
        <v>37958</v>
      </c>
      <c r="J1230" s="122">
        <f>D!V99</f>
        <v>13</v>
      </c>
      <c r="K1230" s="133">
        <f>E!T99</f>
        <v>2.7743951632197814</v>
      </c>
      <c r="L1230" s="126" t="str">
        <f>E!U99</f>
        <v>06/13</v>
      </c>
      <c r="M1230" s="122" t="str">
        <f>E!V99</f>
        <v>17:00</v>
      </c>
      <c r="N1230" s="139">
        <f>F!T99</f>
        <v>0</v>
      </c>
      <c r="O1230" s="124">
        <f>F!U99</f>
        <v>0</v>
      </c>
      <c r="P1230" s="350">
        <f>F!V99</f>
        <v>0</v>
      </c>
      <c r="Q1230" s="139">
        <f>G!T99</f>
        <v>2.81</v>
      </c>
      <c r="R1230" s="124">
        <f>G!U99</f>
        <v>37786</v>
      </c>
      <c r="S1230" s="350">
        <f>G!V99</f>
        <v>12</v>
      </c>
      <c r="T1230">
        <f>YD!T99</f>
        <v>0</v>
      </c>
      <c r="U1230">
        <f>YD!U99</f>
        <v>0</v>
      </c>
      <c r="V1230">
        <f>YD!V99</f>
        <v>0</v>
      </c>
      <c r="W1230" s="2">
        <f>I!T99</f>
        <v>0</v>
      </c>
      <c r="X1230" s="2">
        <f>I!U99</f>
        <v>0</v>
      </c>
      <c r="Y1230" s="2">
        <f>I!V99</f>
        <v>0</v>
      </c>
      <c r="Z1230" s="2">
        <f>J!T99</f>
        <v>0</v>
      </c>
      <c r="AA1230" s="2">
        <f>J!U99</f>
        <v>0</v>
      </c>
      <c r="AB1230" s="2">
        <f>J!V99</f>
        <v>0</v>
      </c>
    </row>
    <row r="1231" spans="1:28">
      <c r="A1231" s="69" t="s">
        <v>114</v>
      </c>
      <c r="B1231" s="127">
        <f>B!T100</f>
        <v>2.7824815154757125</v>
      </c>
      <c r="C1231" s="127" t="str">
        <f>B!U100</f>
        <v>31-Mar</v>
      </c>
      <c r="D1231" s="122">
        <f>B!V100</f>
        <v>19</v>
      </c>
      <c r="E1231" s="133">
        <f>'C'!T100</f>
        <v>2.734</v>
      </c>
      <c r="F1231" s="126">
        <f>'C'!U100</f>
        <v>37593</v>
      </c>
      <c r="G1231" s="122">
        <f>'C'!V100</f>
        <v>13</v>
      </c>
      <c r="H1231" s="133">
        <f>D!T100</f>
        <v>2.7349999999999999</v>
      </c>
      <c r="I1231" s="126">
        <f>D!U100</f>
        <v>37958</v>
      </c>
      <c r="J1231" s="122">
        <f>D!V100</f>
        <v>13</v>
      </c>
      <c r="K1231" s="133">
        <f>E!T100</f>
        <v>2.7743951632197761</v>
      </c>
      <c r="L1231" s="126" t="str">
        <f>E!U100</f>
        <v>06/13</v>
      </c>
      <c r="M1231" s="122" t="str">
        <f>E!V100</f>
        <v>17:00</v>
      </c>
      <c r="N1231" s="139">
        <f>F!T100</f>
        <v>0</v>
      </c>
      <c r="O1231" s="124">
        <f>F!U100</f>
        <v>0</v>
      </c>
      <c r="P1231" s="350">
        <f>F!V100</f>
        <v>0</v>
      </c>
      <c r="Q1231" s="139">
        <f>G!T100</f>
        <v>2.81</v>
      </c>
      <c r="R1231" s="124">
        <f>G!U100</f>
        <v>37719</v>
      </c>
      <c r="S1231" s="350">
        <f>G!V100</f>
        <v>13</v>
      </c>
      <c r="T1231">
        <f>YD!T100</f>
        <v>0</v>
      </c>
      <c r="U1231">
        <f>YD!U100</f>
        <v>0</v>
      </c>
      <c r="V1231">
        <f>YD!V100</f>
        <v>0</v>
      </c>
      <c r="W1231" s="2">
        <f>I!T100</f>
        <v>0</v>
      </c>
      <c r="X1231" s="2">
        <f>I!U100</f>
        <v>0</v>
      </c>
      <c r="Y1231" s="2">
        <f>I!V100</f>
        <v>0</v>
      </c>
      <c r="Z1231" s="2">
        <f>J!T100</f>
        <v>0</v>
      </c>
      <c r="AA1231" s="2">
        <f>J!U100</f>
        <v>0</v>
      </c>
      <c r="AB1231" s="2">
        <f>J!V100</f>
        <v>0</v>
      </c>
    </row>
    <row r="1232" spans="1:28">
      <c r="A1232" s="69" t="s">
        <v>115</v>
      </c>
      <c r="B1232" s="127">
        <f>B!T101</f>
        <v>2.6851972253498229</v>
      </c>
      <c r="C1232" s="127" t="str">
        <f>B!U101</f>
        <v>30-Jul</v>
      </c>
      <c r="D1232" s="122">
        <f>B!V101</f>
        <v>12</v>
      </c>
      <c r="E1232" s="133">
        <f>'C'!T101</f>
        <v>2.6930000000000001</v>
      </c>
      <c r="F1232" s="126">
        <f>'C'!U101</f>
        <v>37466</v>
      </c>
      <c r="G1232" s="122">
        <f>'C'!V101</f>
        <v>12</v>
      </c>
      <c r="H1232" s="133">
        <f>D!T101</f>
        <v>2.6520000000000001</v>
      </c>
      <c r="I1232" s="126">
        <f>D!U101</f>
        <v>38076</v>
      </c>
      <c r="J1232" s="122">
        <f>D!V101</f>
        <v>17</v>
      </c>
      <c r="K1232" s="133">
        <f>E!T101</f>
        <v>2.6947432549631598</v>
      </c>
      <c r="L1232" s="126" t="str">
        <f>E!U101</f>
        <v>07/30</v>
      </c>
      <c r="M1232" s="122" t="str">
        <f>E!V101</f>
        <v>12:00</v>
      </c>
      <c r="N1232" s="139">
        <f>F!T101</f>
        <v>2.666464155528554</v>
      </c>
      <c r="O1232" s="124">
        <f>F!U101</f>
        <v>212</v>
      </c>
      <c r="P1232" s="350">
        <f>F!V101</f>
        <v>12</v>
      </c>
      <c r="Q1232" s="139">
        <f>G!T101</f>
        <v>2.71</v>
      </c>
      <c r="R1232" s="124">
        <f>G!U101</f>
        <v>37831</v>
      </c>
      <c r="S1232" s="350">
        <f>G!V101</f>
        <v>12</v>
      </c>
      <c r="T1232">
        <f>YD!T101</f>
        <v>0</v>
      </c>
      <c r="U1232">
        <f>YD!U101</f>
        <v>0</v>
      </c>
      <c r="V1232">
        <f>YD!V101</f>
        <v>0</v>
      </c>
      <c r="W1232" s="2">
        <f>I!T101</f>
        <v>0</v>
      </c>
      <c r="X1232" s="2">
        <f>I!U101</f>
        <v>0</v>
      </c>
      <c r="Y1232" s="2">
        <f>I!V101</f>
        <v>0</v>
      </c>
      <c r="Z1232" s="2">
        <f>J!T101</f>
        <v>0</v>
      </c>
      <c r="AA1232" s="2">
        <f>J!U101</f>
        <v>0</v>
      </c>
      <c r="AB1232" s="2">
        <f>J!V101</f>
        <v>0</v>
      </c>
    </row>
    <row r="1233" spans="1:28">
      <c r="A1233" s="69" t="s">
        <v>121</v>
      </c>
      <c r="B1233" s="127">
        <f>B!T102</f>
        <v>2.8879586954371632</v>
      </c>
      <c r="C1233" s="127" t="str">
        <f>B!U102</f>
        <v>31-Mar</v>
      </c>
      <c r="D1233" s="122">
        <f>B!V102</f>
        <v>15</v>
      </c>
      <c r="E1233" s="133">
        <f>'C'!T102</f>
        <v>2.8170000000000002</v>
      </c>
      <c r="F1233" s="126">
        <f>'C'!U102</f>
        <v>38082</v>
      </c>
      <c r="G1233" s="122">
        <f>'C'!V102</f>
        <v>17</v>
      </c>
      <c r="H1233" s="133">
        <f>D!T102</f>
        <v>2.6520000000000001</v>
      </c>
      <c r="I1233" s="126">
        <f>D!U102</f>
        <v>38076</v>
      </c>
      <c r="J1233" s="122">
        <f>D!V102</f>
        <v>17</v>
      </c>
      <c r="K1233" s="133">
        <f>E!T102</f>
        <v>2.8992500078842682</v>
      </c>
      <c r="L1233" s="126" t="str">
        <f>E!U102</f>
        <v>03/31</v>
      </c>
      <c r="M1233" s="122" t="str">
        <f>E!V102</f>
        <v>15:00</v>
      </c>
      <c r="N1233" s="139">
        <f>F!T102</f>
        <v>2.88173609088261</v>
      </c>
      <c r="O1233" s="124">
        <f>F!U102</f>
        <v>91</v>
      </c>
      <c r="P1233" s="350">
        <f>F!V102</f>
        <v>15</v>
      </c>
      <c r="Q1233" s="139">
        <f>G!T102</f>
        <v>2.9</v>
      </c>
      <c r="R1233" s="124">
        <f>G!U102</f>
        <v>37711</v>
      </c>
      <c r="S1233" s="350">
        <f>G!V102</f>
        <v>14</v>
      </c>
      <c r="T1233">
        <f>YD!T102</f>
        <v>0</v>
      </c>
      <c r="U1233">
        <f>YD!U102</f>
        <v>0</v>
      </c>
      <c r="V1233">
        <f>YD!V102</f>
        <v>0</v>
      </c>
      <c r="W1233" s="2">
        <f>I!T102</f>
        <v>0</v>
      </c>
      <c r="X1233" s="2">
        <f>I!U102</f>
        <v>0</v>
      </c>
      <c r="Y1233" s="2">
        <f>I!V102</f>
        <v>0</v>
      </c>
      <c r="Z1233" s="2">
        <f>J!T102</f>
        <v>0</v>
      </c>
      <c r="AA1233" s="2">
        <f>J!U102</f>
        <v>0</v>
      </c>
      <c r="AB1233" s="2">
        <f>J!V102</f>
        <v>0</v>
      </c>
    </row>
    <row r="1234" spans="1:28">
      <c r="A1234" s="69" t="s">
        <v>125</v>
      </c>
      <c r="B1234" s="127">
        <f>B!T103</f>
        <v>2.4416935229096444</v>
      </c>
      <c r="C1234" s="127" t="str">
        <f>B!U103</f>
        <v>30-Jul</v>
      </c>
      <c r="D1234" s="122">
        <f>B!V103</f>
        <v>12</v>
      </c>
      <c r="E1234" s="133">
        <f>'C'!T103</f>
        <v>2.4630000000000001</v>
      </c>
      <c r="F1234" s="126">
        <f>'C'!U103</f>
        <v>38082</v>
      </c>
      <c r="G1234" s="122">
        <f>'C'!V103</f>
        <v>17</v>
      </c>
      <c r="H1234" s="133">
        <f>D!T103</f>
        <v>2.3940000000000001</v>
      </c>
      <c r="I1234" s="126">
        <f>D!U103</f>
        <v>38082</v>
      </c>
      <c r="J1234" s="122">
        <f>D!V103</f>
        <v>17</v>
      </c>
      <c r="K1234" s="133">
        <f>E!T103</f>
        <v>2.4618368235724657</v>
      </c>
      <c r="L1234" s="126" t="str">
        <f>E!U103</f>
        <v>07/30</v>
      </c>
      <c r="M1234" s="122" t="str">
        <f>E!V103</f>
        <v>12:00</v>
      </c>
      <c r="N1234" s="139">
        <f>F!T103</f>
        <v>2.3333333333333335</v>
      </c>
      <c r="O1234" s="124">
        <f>F!U103</f>
        <v>29</v>
      </c>
      <c r="P1234" s="350">
        <f>F!V103</f>
        <v>10</v>
      </c>
      <c r="Q1234" s="139">
        <f>G!T103</f>
        <v>2.4700000000000002</v>
      </c>
      <c r="R1234" s="124">
        <f>G!U103</f>
        <v>37832</v>
      </c>
      <c r="S1234" s="350">
        <f>G!V103</f>
        <v>12</v>
      </c>
      <c r="T1234">
        <f>YD!T103</f>
        <v>0</v>
      </c>
      <c r="U1234">
        <f>YD!U103</f>
        <v>0</v>
      </c>
      <c r="V1234">
        <f>YD!V103</f>
        <v>0</v>
      </c>
      <c r="W1234" s="2">
        <f>I!T103</f>
        <v>0</v>
      </c>
      <c r="X1234" s="2">
        <f>I!U103</f>
        <v>0</v>
      </c>
      <c r="Y1234" s="2">
        <f>I!V103</f>
        <v>0</v>
      </c>
      <c r="Z1234" s="2">
        <f>J!T103</f>
        <v>0</v>
      </c>
      <c r="AA1234" s="2">
        <f>J!U103</f>
        <v>0</v>
      </c>
      <c r="AB1234" s="2">
        <f>J!V103</f>
        <v>0</v>
      </c>
    </row>
    <row r="1235" spans="1:28">
      <c r="A1235" s="69" t="s">
        <v>127</v>
      </c>
      <c r="B1235" s="127">
        <f>B!T104</f>
        <v>2.5689338070033001</v>
      </c>
      <c r="C1235" s="127" t="str">
        <f>B!U104</f>
        <v>08-Jul</v>
      </c>
      <c r="D1235" s="122">
        <f>B!V104</f>
        <v>17</v>
      </c>
      <c r="E1235" s="133">
        <f>'C'!T104</f>
        <v>2.5720000000000001</v>
      </c>
      <c r="F1235" s="126">
        <f>'C'!U104</f>
        <v>37466</v>
      </c>
      <c r="G1235" s="122">
        <f>'C'!V104</f>
        <v>12</v>
      </c>
      <c r="H1235" s="133">
        <f>D!T104</f>
        <v>2.5619999999999998</v>
      </c>
      <c r="I1235" s="126">
        <f>D!U104</f>
        <v>38077</v>
      </c>
      <c r="J1235" s="122">
        <f>D!V104</f>
        <v>17</v>
      </c>
      <c r="K1235" s="133">
        <f>E!T104</f>
        <v>2.5776994604731649</v>
      </c>
      <c r="L1235" s="126" t="str">
        <f>E!U104</f>
        <v>07/30</v>
      </c>
      <c r="M1235" s="122" t="str">
        <f>E!V104</f>
        <v>12:00</v>
      </c>
      <c r="N1235" s="139">
        <f>F!T104</f>
        <v>2.4285714285714288</v>
      </c>
      <c r="O1235" s="124">
        <f>F!U104</f>
        <v>90</v>
      </c>
      <c r="P1235" s="350">
        <f>F!V104</f>
        <v>17</v>
      </c>
      <c r="Q1235" s="139">
        <f>G!T104</f>
        <v>2.59</v>
      </c>
      <c r="R1235" s="124">
        <f>G!U104</f>
        <v>37831</v>
      </c>
      <c r="S1235" s="350">
        <f>G!V104</f>
        <v>12</v>
      </c>
      <c r="T1235">
        <f>YD!T104</f>
        <v>0</v>
      </c>
      <c r="U1235">
        <f>YD!U104</f>
        <v>0</v>
      </c>
      <c r="V1235">
        <f>YD!V104</f>
        <v>0</v>
      </c>
      <c r="W1235" s="2">
        <f>I!T104</f>
        <v>0</v>
      </c>
      <c r="X1235" s="2">
        <f>I!U104</f>
        <v>0</v>
      </c>
      <c r="Y1235" s="2">
        <f>I!V104</f>
        <v>0</v>
      </c>
      <c r="Z1235" s="2">
        <f>J!T104</f>
        <v>0</v>
      </c>
      <c r="AA1235" s="2">
        <f>J!U104</f>
        <v>0</v>
      </c>
      <c r="AB1235" s="2">
        <f>J!V104</f>
        <v>0</v>
      </c>
    </row>
    <row r="1236" spans="1:28">
      <c r="A1236" s="69" t="s">
        <v>130</v>
      </c>
      <c r="B1236" s="127">
        <f>B!T105</f>
        <v>2.9110802754338714</v>
      </c>
      <c r="C1236" s="127" t="str">
        <f>B!U105</f>
        <v>14-Jul</v>
      </c>
      <c r="D1236" s="122">
        <f>B!V105</f>
        <v>17</v>
      </c>
      <c r="E1236" s="133">
        <f>'C'!T105</f>
        <v>2.9390000000000001</v>
      </c>
      <c r="F1236" s="126">
        <f>'C'!U105</f>
        <v>37832</v>
      </c>
      <c r="G1236" s="122">
        <f>'C'!V105</f>
        <v>12</v>
      </c>
      <c r="H1236" s="133">
        <f>D!T105</f>
        <v>2.8140000000000001</v>
      </c>
      <c r="I1236" s="126">
        <f>D!U105</f>
        <v>38077</v>
      </c>
      <c r="J1236" s="122">
        <f>D!V105</f>
        <v>17</v>
      </c>
      <c r="K1236" s="133">
        <f>E!T105</f>
        <v>2.9332871695007312</v>
      </c>
      <c r="L1236" s="126" t="str">
        <f>E!U105</f>
        <v>07/30</v>
      </c>
      <c r="M1236" s="122" t="str">
        <f>E!V105</f>
        <v>12:00</v>
      </c>
      <c r="N1236" s="139">
        <f>F!T105</f>
        <v>2.8940734188412205</v>
      </c>
      <c r="O1236" s="124">
        <f>F!U105</f>
        <v>211</v>
      </c>
      <c r="P1236" s="350">
        <f>F!V105</f>
        <v>12</v>
      </c>
      <c r="Q1236" s="139">
        <f>G!T105</f>
        <v>2.9</v>
      </c>
      <c r="R1236" s="124">
        <f>G!U105</f>
        <v>37831</v>
      </c>
      <c r="S1236" s="350">
        <f>G!V105</f>
        <v>12</v>
      </c>
      <c r="T1236">
        <f>YD!T105</f>
        <v>0</v>
      </c>
      <c r="U1236">
        <f>YD!U105</f>
        <v>0</v>
      </c>
      <c r="V1236">
        <f>YD!V105</f>
        <v>0</v>
      </c>
      <c r="W1236" s="2">
        <f>I!T105</f>
        <v>0</v>
      </c>
      <c r="X1236" s="2">
        <f>I!U105</f>
        <v>0</v>
      </c>
      <c r="Y1236" s="2">
        <f>I!V105</f>
        <v>0</v>
      </c>
      <c r="Z1236" s="2">
        <f>J!T105</f>
        <v>0</v>
      </c>
      <c r="AA1236" s="2">
        <f>J!U105</f>
        <v>0</v>
      </c>
      <c r="AB1236" s="2">
        <f>J!V105</f>
        <v>0</v>
      </c>
    </row>
    <row r="1237" spans="1:28">
      <c r="A1237" s="69" t="s">
        <v>132</v>
      </c>
      <c r="B1237" s="127">
        <f>B!T106</f>
        <v>2.5012657327109995</v>
      </c>
      <c r="C1237" s="127" t="str">
        <f>B!U106</f>
        <v>30-Jul</v>
      </c>
      <c r="D1237" s="122">
        <f>B!V106</f>
        <v>12</v>
      </c>
      <c r="E1237" s="133">
        <f>'C'!T106</f>
        <v>2.4950000000000001</v>
      </c>
      <c r="F1237" s="126">
        <f>'C'!U106</f>
        <v>37466</v>
      </c>
      <c r="G1237" s="122">
        <f>'C'!V106</f>
        <v>12</v>
      </c>
      <c r="H1237" s="133">
        <f>D!T106</f>
        <v>2.4980000000000002</v>
      </c>
      <c r="I1237" s="126">
        <f>D!U106</f>
        <v>37466</v>
      </c>
      <c r="J1237" s="122">
        <f>D!V106</f>
        <v>12</v>
      </c>
      <c r="K1237" s="133">
        <f>E!T106</f>
        <v>2.4944901409355742</v>
      </c>
      <c r="L1237" s="126" t="str">
        <f>E!U106</f>
        <v>07/30</v>
      </c>
      <c r="M1237" s="122" t="str">
        <f>E!V106</f>
        <v>12:00</v>
      </c>
      <c r="N1237" s="139">
        <f>F!T106</f>
        <v>2.4732824427480917</v>
      </c>
      <c r="O1237" s="124">
        <f>F!U106</f>
        <v>211</v>
      </c>
      <c r="P1237" s="350">
        <f>F!V106</f>
        <v>12</v>
      </c>
      <c r="Q1237" s="139">
        <f>G!T106</f>
        <v>2.52</v>
      </c>
      <c r="R1237" s="124">
        <f>G!U106</f>
        <v>37831</v>
      </c>
      <c r="S1237" s="350">
        <f>G!V106</f>
        <v>12</v>
      </c>
      <c r="T1237">
        <f>YD!T106</f>
        <v>0</v>
      </c>
      <c r="U1237">
        <f>YD!U106</f>
        <v>0</v>
      </c>
      <c r="V1237">
        <f>YD!V106</f>
        <v>0</v>
      </c>
      <c r="W1237" s="2">
        <f>I!T106</f>
        <v>0</v>
      </c>
      <c r="X1237" s="2">
        <f>I!U106</f>
        <v>0</v>
      </c>
      <c r="Y1237" s="2">
        <f>I!V106</f>
        <v>0</v>
      </c>
      <c r="Z1237" s="2">
        <f>J!T106</f>
        <v>0</v>
      </c>
      <c r="AA1237" s="2">
        <f>J!U106</f>
        <v>0</v>
      </c>
      <c r="AB1237" s="2">
        <f>J!V106</f>
        <v>0</v>
      </c>
    </row>
    <row r="1238" spans="1:28">
      <c r="A1238" s="69" t="s">
        <v>135</v>
      </c>
      <c r="B1238" s="127">
        <f>B!T107</f>
        <v>2.2530468183317844</v>
      </c>
      <c r="C1238" s="127" t="str">
        <f>B!U107</f>
        <v>30-Jul</v>
      </c>
      <c r="D1238" s="122">
        <f>B!V107</f>
        <v>12</v>
      </c>
      <c r="E1238" s="133">
        <f>'C'!T107</f>
        <v>2.2610000000000001</v>
      </c>
      <c r="F1238" s="126">
        <f>'C'!U107</f>
        <v>37831</v>
      </c>
      <c r="G1238" s="122">
        <f>'C'!V107</f>
        <v>12</v>
      </c>
      <c r="H1238" s="133">
        <f>D!T107</f>
        <v>2.262</v>
      </c>
      <c r="I1238" s="126">
        <f>D!U107</f>
        <v>41120</v>
      </c>
      <c r="J1238" s="122">
        <f>D!V107</f>
        <v>12</v>
      </c>
      <c r="K1238" s="133">
        <f>E!T107</f>
        <v>2.2793721478784792</v>
      </c>
      <c r="L1238" s="126" t="str">
        <f>E!U107</f>
        <v>07/30</v>
      </c>
      <c r="M1238" s="122" t="str">
        <f>E!V107</f>
        <v>12:00</v>
      </c>
      <c r="N1238" s="139">
        <f>F!T107</f>
        <v>2.1428571428571428</v>
      </c>
      <c r="O1238" s="124">
        <f>F!U107</f>
        <v>96</v>
      </c>
      <c r="P1238" s="350">
        <f>F!V107</f>
        <v>20</v>
      </c>
      <c r="Q1238" s="139">
        <f>G!T107</f>
        <v>2.2799999999999998</v>
      </c>
      <c r="R1238" s="124">
        <f>G!U107</f>
        <v>37831</v>
      </c>
      <c r="S1238" s="350">
        <f>G!V107</f>
        <v>12</v>
      </c>
      <c r="T1238">
        <f>YD!T107</f>
        <v>0</v>
      </c>
      <c r="U1238">
        <f>YD!U107</f>
        <v>0</v>
      </c>
      <c r="V1238">
        <f>YD!V107</f>
        <v>0</v>
      </c>
      <c r="W1238" s="2">
        <f>I!T107</f>
        <v>0</v>
      </c>
      <c r="X1238" s="2">
        <f>I!U107</f>
        <v>0</v>
      </c>
      <c r="Y1238" s="2">
        <f>I!V107</f>
        <v>0</v>
      </c>
      <c r="Z1238" s="2">
        <f>J!T107</f>
        <v>0</v>
      </c>
      <c r="AA1238" s="2">
        <f>J!U107</f>
        <v>0</v>
      </c>
      <c r="AB1238" s="2">
        <f>J!V107</f>
        <v>0</v>
      </c>
    </row>
    <row r="1239" spans="1:28">
      <c r="A1239" s="70" t="s">
        <v>138</v>
      </c>
      <c r="B1239" s="127">
        <f>B!T108</f>
        <v>2.7325462089602159</v>
      </c>
      <c r="C1239" s="127" t="str">
        <f>B!U108</f>
        <v>14-Jul</v>
      </c>
      <c r="D1239" s="122">
        <f>B!V108</f>
        <v>17</v>
      </c>
      <c r="E1239" s="133">
        <f>'C'!T108</f>
        <v>2.72</v>
      </c>
      <c r="F1239" s="126">
        <f>'C'!U108</f>
        <v>37831</v>
      </c>
      <c r="G1239" s="122">
        <f>'C'!V108</f>
        <v>12</v>
      </c>
      <c r="H1239" s="133">
        <f>D!T108</f>
        <v>2.722</v>
      </c>
      <c r="I1239" s="126">
        <f>D!U108</f>
        <v>37467</v>
      </c>
      <c r="J1239" s="122">
        <f>D!V108</f>
        <v>12</v>
      </c>
      <c r="K1239" s="133">
        <f>E!T108</f>
        <v>2.6585379708444119</v>
      </c>
      <c r="L1239" s="126" t="str">
        <f>E!U108</f>
        <v>07/30</v>
      </c>
      <c r="M1239" s="122" t="str">
        <f>E!V108</f>
        <v>12:00</v>
      </c>
      <c r="N1239" s="139">
        <f>F!T108</f>
        <v>2.6920206659012629</v>
      </c>
      <c r="O1239" s="124">
        <f>F!U108</f>
        <v>211</v>
      </c>
      <c r="P1239" s="350">
        <f>F!V108</f>
        <v>12</v>
      </c>
      <c r="Q1239" s="139">
        <f>G!T108</f>
        <v>2.72</v>
      </c>
      <c r="R1239" s="124">
        <f>G!U108</f>
        <v>37831</v>
      </c>
      <c r="S1239" s="350">
        <f>G!V108</f>
        <v>12</v>
      </c>
      <c r="T1239">
        <f>YD!T108</f>
        <v>0</v>
      </c>
      <c r="U1239">
        <f>YD!U108</f>
        <v>0</v>
      </c>
      <c r="V1239">
        <f>YD!V108</f>
        <v>0</v>
      </c>
      <c r="W1239" s="2">
        <f>I!T108</f>
        <v>0</v>
      </c>
      <c r="X1239" s="2">
        <f>I!U108</f>
        <v>0</v>
      </c>
      <c r="Y1239" s="2">
        <f>I!V108</f>
        <v>0</v>
      </c>
      <c r="Z1239" s="2">
        <f>J!T108</f>
        <v>0</v>
      </c>
      <c r="AA1239" s="2">
        <f>J!U108</f>
        <v>0</v>
      </c>
      <c r="AB1239" s="2">
        <f>J!V108</f>
        <v>0</v>
      </c>
    </row>
    <row r="1240" spans="1:28">
      <c r="A1240" s="15"/>
      <c r="B1240" s="16"/>
      <c r="C1240" s="16"/>
      <c r="D1240" s="115"/>
      <c r="E1240" s="134"/>
      <c r="F1240" s="129"/>
      <c r="G1240" s="115"/>
      <c r="H1240" s="134"/>
      <c r="I1240" s="129"/>
      <c r="J1240" s="115"/>
      <c r="K1240" s="134"/>
      <c r="L1240" s="16"/>
      <c r="M1240" s="115"/>
      <c r="N1240" s="132"/>
      <c r="P1240" s="116"/>
      <c r="Q1240" s="132"/>
      <c r="R1240" s="2"/>
      <c r="S1240" s="115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15"/>
      <c r="E1241" s="134"/>
      <c r="F1241" s="129"/>
      <c r="G1241" s="115"/>
      <c r="H1241" s="134"/>
      <c r="I1241" s="129"/>
      <c r="J1241" s="115"/>
      <c r="K1241" s="134"/>
      <c r="L1241" s="16"/>
      <c r="M1241" s="115"/>
      <c r="N1241" s="132"/>
      <c r="P1241" s="116"/>
      <c r="Q1241" s="132"/>
      <c r="R1241" s="2"/>
      <c r="S1241" s="115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15"/>
      <c r="E1242" s="134"/>
      <c r="F1242" s="129"/>
      <c r="G1242" s="115"/>
      <c r="H1242" s="134"/>
      <c r="I1242" s="129"/>
      <c r="J1242" s="115"/>
      <c r="K1242" s="134"/>
      <c r="L1242" s="16"/>
      <c r="M1242" s="115"/>
      <c r="N1242" s="132"/>
      <c r="P1242" s="116"/>
      <c r="Q1242" s="132"/>
      <c r="R1242" s="2"/>
      <c r="S1242" s="115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15"/>
      <c r="E1243" s="134"/>
      <c r="F1243" s="129"/>
      <c r="G1243" s="115"/>
      <c r="H1243" s="134"/>
      <c r="I1243" s="129"/>
      <c r="J1243" s="115"/>
      <c r="K1243" s="134"/>
      <c r="L1243" s="16"/>
      <c r="M1243" s="115"/>
      <c r="N1243" s="132"/>
      <c r="P1243" s="116"/>
      <c r="Q1243" s="132"/>
      <c r="R1243" s="2"/>
      <c r="S1243" s="115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15"/>
      <c r="E1244" s="134"/>
      <c r="F1244" s="129"/>
      <c r="G1244" s="115"/>
      <c r="H1244" s="134"/>
      <c r="I1244" s="129"/>
      <c r="J1244" s="115"/>
      <c r="K1244" s="134"/>
      <c r="L1244" s="16"/>
      <c r="M1244" s="115"/>
      <c r="N1244" s="132"/>
      <c r="P1244" s="116"/>
      <c r="Q1244" s="132"/>
      <c r="R1244" s="2"/>
      <c r="S1244" s="115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15"/>
      <c r="E1245" s="134"/>
      <c r="F1245" s="129"/>
      <c r="G1245" s="115"/>
      <c r="H1245" s="134"/>
      <c r="I1245" s="129"/>
      <c r="J1245" s="115"/>
      <c r="K1245" s="134"/>
      <c r="L1245" s="16"/>
      <c r="M1245" s="115"/>
      <c r="N1245" s="132"/>
      <c r="P1245" s="116"/>
      <c r="Q1245" s="132"/>
      <c r="R1245" s="2"/>
      <c r="S1245" s="115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15"/>
      <c r="E1246" s="134"/>
      <c r="F1246" s="129"/>
      <c r="G1246" s="115"/>
      <c r="H1246" s="134"/>
      <c r="I1246" s="129"/>
      <c r="J1246" s="115"/>
      <c r="K1246" s="134"/>
      <c r="L1246" s="16"/>
      <c r="M1246" s="115"/>
      <c r="N1246" s="132"/>
      <c r="P1246" s="116"/>
      <c r="Q1246" s="132"/>
      <c r="R1246" s="2"/>
      <c r="S1246" s="115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251</v>
      </c>
      <c r="B1247" s="39"/>
      <c r="C1247" s="12"/>
      <c r="D1247" s="115"/>
      <c r="E1247" s="131"/>
      <c r="F1247" s="126"/>
      <c r="G1247" s="122"/>
      <c r="H1247" s="137"/>
      <c r="I1247" s="126"/>
      <c r="J1247" s="122"/>
      <c r="K1247" s="137"/>
      <c r="L1247" s="121"/>
      <c r="M1247" s="122"/>
      <c r="N1247" s="132"/>
      <c r="O1247" s="120"/>
      <c r="P1247" s="350"/>
      <c r="Q1247" s="132"/>
      <c r="R1247" s="121"/>
      <c r="S1247" s="12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6"/>
      <c r="E1248" s="10"/>
      <c r="F1248" s="120"/>
      <c r="G1248" s="350"/>
      <c r="H1248" s="130"/>
      <c r="I1248" s="121"/>
      <c r="J1248" s="122"/>
      <c r="K1248" s="10"/>
      <c r="L1248" s="121"/>
      <c r="M1248" s="122"/>
      <c r="N1248" s="10"/>
      <c r="O1248" s="120"/>
      <c r="P1248" s="350"/>
      <c r="Q1248" s="132"/>
      <c r="R1248" s="121"/>
      <c r="S1248" s="122"/>
      <c r="V1248" s="2"/>
      <c r="W1248" s="2"/>
      <c r="X1248" s="2"/>
      <c r="Y1248" s="2"/>
      <c r="Z1248" s="2"/>
      <c r="AA1248" s="2"/>
      <c r="AB1248" s="2"/>
    </row>
    <row r="1249" spans="1:28">
      <c r="A1249" s="2"/>
      <c r="B1249" s="10" t="s">
        <v>245</v>
      </c>
      <c r="C1249" t="s">
        <v>77</v>
      </c>
      <c r="D1249" t="s">
        <v>78</v>
      </c>
      <c r="E1249" s="10" t="s">
        <v>257</v>
      </c>
      <c r="F1249" s="120" t="s">
        <v>77</v>
      </c>
      <c r="G1249" s="120" t="s">
        <v>78</v>
      </c>
      <c r="H1249" s="10" t="s">
        <v>258</v>
      </c>
      <c r="I1249" s="120" t="s">
        <v>77</v>
      </c>
      <c r="J1249" s="120" t="s">
        <v>78</v>
      </c>
      <c r="K1249" s="10" t="s">
        <v>515</v>
      </c>
      <c r="L1249" s="120" t="s">
        <v>77</v>
      </c>
      <c r="M1249" s="120" t="s">
        <v>78</v>
      </c>
      <c r="N1249" s="10" t="s">
        <v>373</v>
      </c>
      <c r="O1249" s="120" t="s">
        <v>77</v>
      </c>
      <c r="P1249" s="120" t="s">
        <v>78</v>
      </c>
      <c r="Q1249" s="10" t="s">
        <v>482</v>
      </c>
      <c r="R1249" s="120" t="s">
        <v>77</v>
      </c>
      <c r="S1249" s="120" t="s">
        <v>78</v>
      </c>
      <c r="T1249" s="10" t="s">
        <v>516</v>
      </c>
      <c r="U1249" s="120" t="s">
        <v>77</v>
      </c>
      <c r="V1249" s="120" t="s">
        <v>78</v>
      </c>
      <c r="W1249" s="10" t="s">
        <v>517</v>
      </c>
      <c r="X1249" s="120" t="s">
        <v>77</v>
      </c>
      <c r="Y1249" s="120" t="s">
        <v>78</v>
      </c>
      <c r="Z1249" s="10" t="s">
        <v>517</v>
      </c>
      <c r="AA1249" s="120" t="s">
        <v>77</v>
      </c>
      <c r="AB1249" s="120" t="s">
        <v>78</v>
      </c>
    </row>
    <row r="1250" spans="1:28">
      <c r="A1250" s="69" t="s">
        <v>91</v>
      </c>
      <c r="B1250" s="127">
        <f>B!W89</f>
        <v>26.1999</v>
      </c>
      <c r="C1250" s="127" t="str">
        <f>B!X89</f>
        <v>07-Jul</v>
      </c>
      <c r="D1250" s="122">
        <f>B!Y89</f>
        <v>15</v>
      </c>
      <c r="E1250" s="133">
        <f>'C'!W89</f>
        <v>25.11</v>
      </c>
      <c r="F1250" s="126">
        <f>'C'!X89</f>
        <v>37368</v>
      </c>
      <c r="G1250" s="122">
        <f>'C'!Y89</f>
        <v>15</v>
      </c>
      <c r="H1250" s="133">
        <f>D!W89</f>
        <v>25.11</v>
      </c>
      <c r="I1250" s="126">
        <f>D!X89</f>
        <v>37368</v>
      </c>
      <c r="J1250" s="122">
        <f>D!Y89</f>
        <v>15</v>
      </c>
      <c r="K1250" s="133">
        <f>E!W89</f>
        <v>25.003273115435601</v>
      </c>
      <c r="L1250" s="127" t="str">
        <f>E!X89</f>
        <v>09/23</v>
      </c>
      <c r="M1250" s="122" t="str">
        <f>E!Y89</f>
        <v>08:00</v>
      </c>
      <c r="N1250" s="139">
        <f>F!W89</f>
        <v>25.05</v>
      </c>
      <c r="O1250" s="128">
        <f>F!X89</f>
        <v>52</v>
      </c>
      <c r="P1250" s="350">
        <f>F!Y89</f>
        <v>17</v>
      </c>
      <c r="Q1250" s="139">
        <f>G!W89</f>
        <v>26.19</v>
      </c>
      <c r="R1250" s="128">
        <f>G!X89</f>
        <v>37928</v>
      </c>
      <c r="S1250" s="350">
        <f>G!Y89</f>
        <v>15</v>
      </c>
      <c r="T1250">
        <f>YD!W89</f>
        <v>0</v>
      </c>
      <c r="U1250">
        <f>YD!X89</f>
        <v>0</v>
      </c>
      <c r="V1250">
        <f>YD!Y89</f>
        <v>0</v>
      </c>
      <c r="W1250" s="2">
        <f>I!W89</f>
        <v>0</v>
      </c>
      <c r="X1250" s="2">
        <f>I!X89</f>
        <v>0</v>
      </c>
      <c r="Y1250" s="2">
        <f>I!Y89</f>
        <v>0</v>
      </c>
      <c r="Z1250" s="2">
        <f>J!W89</f>
        <v>0</v>
      </c>
      <c r="AA1250" s="2">
        <f>J!X89</f>
        <v>0</v>
      </c>
      <c r="AB1250" s="2">
        <f>J!Y89</f>
        <v>0</v>
      </c>
    </row>
    <row r="1251" spans="1:28">
      <c r="A1251" s="69" t="s">
        <v>96</v>
      </c>
      <c r="B1251" s="127">
        <f>B!W90</f>
        <v>27.0778</v>
      </c>
      <c r="C1251" s="127" t="str">
        <f>B!X90</f>
        <v>20-Jul</v>
      </c>
      <c r="D1251" s="122">
        <f>B!Y90</f>
        <v>15</v>
      </c>
      <c r="E1251" s="133">
        <f>'C'!W90</f>
        <v>26.89</v>
      </c>
      <c r="F1251" s="126">
        <f>'C'!X90</f>
        <v>38188</v>
      </c>
      <c r="G1251" s="122">
        <f>'C'!Y90</f>
        <v>16</v>
      </c>
      <c r="H1251" s="133">
        <f>D!W90</f>
        <v>26.72</v>
      </c>
      <c r="I1251" s="126">
        <f>D!X90</f>
        <v>37457</v>
      </c>
      <c r="J1251" s="122">
        <f>D!Y90</f>
        <v>16</v>
      </c>
      <c r="K1251" s="133">
        <f>E!W90</f>
        <v>26.5567001865351</v>
      </c>
      <c r="L1251" s="127" t="str">
        <f>E!X90</f>
        <v>07/20</v>
      </c>
      <c r="M1251" s="122" t="str">
        <f>E!Y90</f>
        <v>16:00</v>
      </c>
      <c r="N1251" s="139">
        <f>F!W90</f>
        <v>26.62</v>
      </c>
      <c r="O1251" s="128">
        <f>F!X90</f>
        <v>202</v>
      </c>
      <c r="P1251" s="350">
        <f>F!Y90</f>
        <v>15</v>
      </c>
      <c r="Q1251" s="139">
        <f>G!W90</f>
        <v>27.19</v>
      </c>
      <c r="R1251" s="128">
        <f>G!X90</f>
        <v>37810</v>
      </c>
      <c r="S1251" s="350">
        <f>G!Y90</f>
        <v>15</v>
      </c>
      <c r="T1251">
        <f>YD!W90</f>
        <v>0</v>
      </c>
      <c r="U1251">
        <f>YD!X90</f>
        <v>0</v>
      </c>
      <c r="V1251">
        <f>YD!Y90</f>
        <v>0</v>
      </c>
      <c r="W1251" s="2">
        <f>I!W90</f>
        <v>0</v>
      </c>
      <c r="X1251" s="2">
        <f>I!X90</f>
        <v>0</v>
      </c>
      <c r="Y1251" s="2">
        <f>I!Y90</f>
        <v>0</v>
      </c>
      <c r="Z1251" s="2">
        <f>J!W90</f>
        <v>0</v>
      </c>
      <c r="AA1251" s="2">
        <f>J!X90</f>
        <v>0</v>
      </c>
      <c r="AB1251" s="2">
        <f>J!Y90</f>
        <v>0</v>
      </c>
    </row>
    <row r="1252" spans="1:28">
      <c r="A1252" s="69" t="s">
        <v>98</v>
      </c>
      <c r="B1252" s="127">
        <f>B!W91</f>
        <v>32.360399999999998</v>
      </c>
      <c r="C1252" s="127" t="str">
        <f>B!X91</f>
        <v>20-Jul</v>
      </c>
      <c r="D1252" s="122">
        <f>B!Y91</f>
        <v>15</v>
      </c>
      <c r="E1252" s="133">
        <f>'C'!W91</f>
        <v>31.61</v>
      </c>
      <c r="F1252" s="126">
        <f>'C'!X91</f>
        <v>37810</v>
      </c>
      <c r="G1252" s="122">
        <f>'C'!Y91</f>
        <v>16</v>
      </c>
      <c r="H1252" s="133">
        <f>D!W91</f>
        <v>31.5</v>
      </c>
      <c r="I1252" s="126">
        <f>D!X91</f>
        <v>37810</v>
      </c>
      <c r="J1252" s="122">
        <f>D!Y91</f>
        <v>16</v>
      </c>
      <c r="K1252" s="133">
        <f>E!W91</f>
        <v>31.843961653966101</v>
      </c>
      <c r="L1252" s="127" t="str">
        <f>E!X91</f>
        <v>07/20</v>
      </c>
      <c r="M1252" s="122" t="str">
        <f>E!Y91</f>
        <v>15:00</v>
      </c>
      <c r="N1252" s="139">
        <f>F!W91</f>
        <v>32.32</v>
      </c>
      <c r="O1252" s="128">
        <f>F!X91</f>
        <v>202</v>
      </c>
      <c r="P1252" s="350">
        <f>F!Y91</f>
        <v>15</v>
      </c>
      <c r="Q1252" s="139">
        <f>G!W91</f>
        <v>31.65</v>
      </c>
      <c r="R1252" s="128">
        <f>G!X91</f>
        <v>37810</v>
      </c>
      <c r="S1252" s="350">
        <f>G!Y91</f>
        <v>15</v>
      </c>
      <c r="T1252">
        <f>YD!W91</f>
        <v>0</v>
      </c>
      <c r="U1252">
        <f>YD!X91</f>
        <v>0</v>
      </c>
      <c r="V1252">
        <f>YD!Y91</f>
        <v>0</v>
      </c>
      <c r="W1252" s="2">
        <f>I!W91</f>
        <v>0</v>
      </c>
      <c r="X1252" s="2">
        <f>I!X91</f>
        <v>0</v>
      </c>
      <c r="Y1252" s="2">
        <f>I!Y91</f>
        <v>0</v>
      </c>
      <c r="Z1252" s="2">
        <f>J!W91</f>
        <v>0</v>
      </c>
      <c r="AA1252" s="2">
        <f>J!X91</f>
        <v>0</v>
      </c>
      <c r="AB1252" s="2">
        <f>J!Y91</f>
        <v>0</v>
      </c>
    </row>
    <row r="1253" spans="1:28">
      <c r="A1253" s="69" t="s">
        <v>102</v>
      </c>
      <c r="B1253" s="127">
        <f>B!W92</f>
        <v>32.232100000000003</v>
      </c>
      <c r="C1253" s="127" t="str">
        <f>B!X92</f>
        <v>20-Jul</v>
      </c>
      <c r="D1253" s="122">
        <f>B!Y92</f>
        <v>15</v>
      </c>
      <c r="E1253" s="133">
        <f>'C'!W92</f>
        <v>31.72</v>
      </c>
      <c r="F1253" s="126">
        <f>'C'!X92</f>
        <v>38176</v>
      </c>
      <c r="G1253" s="122">
        <f>'C'!Y92</f>
        <v>16</v>
      </c>
      <c r="H1253" s="133">
        <f>D!W92</f>
        <v>32</v>
      </c>
      <c r="I1253" s="126">
        <f>D!X92</f>
        <v>37822</v>
      </c>
      <c r="J1253" s="122">
        <f>D!Y92</f>
        <v>16</v>
      </c>
      <c r="K1253" s="133">
        <f>E!W92</f>
        <v>31.496252897193301</v>
      </c>
      <c r="L1253" s="127" t="str">
        <f>E!X92</f>
        <v>07/20</v>
      </c>
      <c r="M1253" s="122" t="str">
        <f>E!Y92</f>
        <v>15:00</v>
      </c>
      <c r="N1253" s="139">
        <f>F!W92</f>
        <v>31.9</v>
      </c>
      <c r="O1253" s="128">
        <f>F!X92</f>
        <v>202</v>
      </c>
      <c r="P1253" s="350">
        <f>F!Y92</f>
        <v>15</v>
      </c>
      <c r="Q1253" s="139">
        <f>G!W92</f>
        <v>31.3</v>
      </c>
      <c r="R1253" s="128">
        <f>G!X92</f>
        <v>37810</v>
      </c>
      <c r="S1253" s="350">
        <f>G!Y92</f>
        <v>15</v>
      </c>
      <c r="T1253">
        <f>YD!W92</f>
        <v>0</v>
      </c>
      <c r="U1253">
        <f>YD!X92</f>
        <v>0</v>
      </c>
      <c r="V1253">
        <f>YD!Y92</f>
        <v>0</v>
      </c>
      <c r="W1253" s="2">
        <f>I!W92</f>
        <v>0</v>
      </c>
      <c r="X1253" s="2">
        <f>I!X92</f>
        <v>0</v>
      </c>
      <c r="Y1253" s="2">
        <f>I!Y92</f>
        <v>0</v>
      </c>
      <c r="Z1253" s="2">
        <f>J!W92</f>
        <v>0</v>
      </c>
      <c r="AA1253" s="2">
        <f>J!X92</f>
        <v>0</v>
      </c>
      <c r="AB1253" s="2">
        <f>J!Y92</f>
        <v>0</v>
      </c>
    </row>
    <row r="1254" spans="1:28">
      <c r="A1254" s="69" t="s">
        <v>356</v>
      </c>
      <c r="B1254" s="127">
        <f>B!W93</f>
        <v>32.306600000000003</v>
      </c>
      <c r="C1254" s="127" t="str">
        <f>B!X93</f>
        <v>20-Jul</v>
      </c>
      <c r="D1254" s="122">
        <f>B!Y93</f>
        <v>15</v>
      </c>
      <c r="E1254" s="133">
        <f>'C'!W93</f>
        <v>31.61</v>
      </c>
      <c r="F1254" s="126">
        <f>'C'!X93</f>
        <v>37810</v>
      </c>
      <c r="G1254" s="122">
        <f>'C'!Y93</f>
        <v>16</v>
      </c>
      <c r="H1254" s="133">
        <f>D!W93</f>
        <v>31.56</v>
      </c>
      <c r="I1254" s="126">
        <f>D!X93</f>
        <v>37810</v>
      </c>
      <c r="J1254" s="122">
        <f>D!Y93</f>
        <v>16</v>
      </c>
      <c r="K1254" s="133">
        <f>E!W93</f>
        <v>31.745142194222701</v>
      </c>
      <c r="L1254" s="127" t="str">
        <f>E!X93</f>
        <v>07/20</v>
      </c>
      <c r="M1254" s="122" t="str">
        <f>E!Y93</f>
        <v>15:00</v>
      </c>
      <c r="N1254" s="139">
        <f>F!W93</f>
        <v>32.15</v>
      </c>
      <c r="O1254" s="128">
        <f>F!X93</f>
        <v>202</v>
      </c>
      <c r="P1254" s="350">
        <f>F!Y93</f>
        <v>15</v>
      </c>
      <c r="Q1254" s="139">
        <f>G!W93</f>
        <v>31.58</v>
      </c>
      <c r="R1254" s="128">
        <f>G!X93</f>
        <v>37810</v>
      </c>
      <c r="S1254" s="350">
        <f>G!Y93</f>
        <v>15</v>
      </c>
      <c r="T1254">
        <f>YD!W93</f>
        <v>0</v>
      </c>
      <c r="U1254">
        <f>YD!X93</f>
        <v>0</v>
      </c>
      <c r="V1254">
        <f>YD!Y93</f>
        <v>0</v>
      </c>
      <c r="W1254" s="2">
        <f>I!W93</f>
        <v>0</v>
      </c>
      <c r="X1254" s="2">
        <f>I!X93</f>
        <v>0</v>
      </c>
      <c r="Y1254" s="2">
        <f>I!Y93</f>
        <v>0</v>
      </c>
      <c r="Z1254" s="2">
        <f>J!W93</f>
        <v>0</v>
      </c>
      <c r="AA1254" s="2">
        <f>J!X93</f>
        <v>0</v>
      </c>
      <c r="AB1254" s="2">
        <f>J!Y93</f>
        <v>0</v>
      </c>
    </row>
    <row r="1255" spans="1:28">
      <c r="A1255" s="69" t="s">
        <v>105</v>
      </c>
      <c r="B1255" s="127">
        <f>B!W94</f>
        <v>34.584099999999999</v>
      </c>
      <c r="C1255" s="127" t="str">
        <f>B!X94</f>
        <v>01-Oct</v>
      </c>
      <c r="D1255" s="122">
        <f>B!Y94</f>
        <v>24</v>
      </c>
      <c r="E1255" s="133">
        <f>'C'!W94</f>
        <v>34.94</v>
      </c>
      <c r="F1255" s="126">
        <f>'C'!X94</f>
        <v>37795</v>
      </c>
      <c r="G1255" s="122">
        <f>'C'!Y94</f>
        <v>24</v>
      </c>
      <c r="H1255" s="133">
        <f>D!W94</f>
        <v>34.94</v>
      </c>
      <c r="I1255" s="126">
        <f>D!X94</f>
        <v>38162</v>
      </c>
      <c r="J1255" s="122">
        <f>D!Y94</f>
        <v>24</v>
      </c>
      <c r="K1255" s="133">
        <f>E!W94</f>
        <v>35.002090205560897</v>
      </c>
      <c r="L1255" s="127" t="str">
        <f>E!X94</f>
        <v>10/01</v>
      </c>
      <c r="M1255" s="122" t="str">
        <f>E!Y94</f>
        <v>02:00</v>
      </c>
      <c r="N1255" s="139">
        <f>F!W94</f>
        <v>35</v>
      </c>
      <c r="O1255" s="128">
        <f>F!X94</f>
        <v>112</v>
      </c>
      <c r="P1255" s="350">
        <f>F!Y94</f>
        <v>1</v>
      </c>
      <c r="Q1255" s="139">
        <f>G!W94</f>
        <v>35</v>
      </c>
      <c r="R1255" s="128">
        <f>G!X94</f>
        <v>37732</v>
      </c>
      <c r="S1255" s="350">
        <f>G!Y94</f>
        <v>2</v>
      </c>
      <c r="T1255">
        <f>YD!W94</f>
        <v>0</v>
      </c>
      <c r="U1255">
        <f>YD!X94</f>
        <v>0</v>
      </c>
      <c r="V1255">
        <f>YD!Y94</f>
        <v>0</v>
      </c>
      <c r="W1255" s="2">
        <f>I!W94</f>
        <v>0</v>
      </c>
      <c r="X1255" s="2">
        <f>I!X94</f>
        <v>0</v>
      </c>
      <c r="Y1255" s="2">
        <f>I!Y94</f>
        <v>0</v>
      </c>
      <c r="Z1255" s="2">
        <f>J!W94</f>
        <v>0</v>
      </c>
      <c r="AA1255" s="2">
        <f>J!X94</f>
        <v>0</v>
      </c>
      <c r="AB1255" s="2">
        <f>J!Y94</f>
        <v>0</v>
      </c>
    </row>
    <row r="1256" spans="1:28">
      <c r="A1256" s="69" t="s">
        <v>108</v>
      </c>
      <c r="B1256" s="127">
        <f>B!W95</f>
        <v>33.758499999999998</v>
      </c>
      <c r="C1256" s="127" t="str">
        <f>B!X95</f>
        <v>10-Jul</v>
      </c>
      <c r="D1256" s="122">
        <f>B!Y95</f>
        <v>13</v>
      </c>
      <c r="E1256" s="133">
        <f>'C'!W95</f>
        <v>32.78</v>
      </c>
      <c r="F1256" s="126">
        <f>'C'!X95</f>
        <v>37457</v>
      </c>
      <c r="G1256" s="122">
        <f>'C'!Y95</f>
        <v>15</v>
      </c>
      <c r="H1256" s="133">
        <f>D!W95</f>
        <v>32.56</v>
      </c>
      <c r="I1256" s="126">
        <f>D!X95</f>
        <v>38188</v>
      </c>
      <c r="J1256" s="122">
        <f>D!Y95</f>
        <v>16</v>
      </c>
      <c r="K1256" s="133">
        <f>E!W95</f>
        <v>32.819769755938196</v>
      </c>
      <c r="L1256" s="127" t="str">
        <f>E!X95</f>
        <v>07/10</v>
      </c>
      <c r="M1256" s="122" t="str">
        <f>E!Y95</f>
        <v>13:00</v>
      </c>
      <c r="N1256" s="139">
        <f>F!W95</f>
        <v>33</v>
      </c>
      <c r="O1256" s="128">
        <f>F!X95</f>
        <v>202</v>
      </c>
      <c r="P1256" s="350">
        <f>F!Y95</f>
        <v>15</v>
      </c>
      <c r="Q1256" s="139">
        <f>G!W95</f>
        <v>33.130000000000003</v>
      </c>
      <c r="R1256" s="128">
        <f>G!X95</f>
        <v>37812</v>
      </c>
      <c r="S1256" s="350">
        <f>G!Y95</f>
        <v>12</v>
      </c>
      <c r="T1256">
        <f>YD!W95</f>
        <v>0</v>
      </c>
      <c r="U1256">
        <f>YD!X95</f>
        <v>0</v>
      </c>
      <c r="V1256">
        <f>YD!Y95</f>
        <v>0</v>
      </c>
      <c r="W1256" s="2">
        <f>I!W95</f>
        <v>0</v>
      </c>
      <c r="X1256" s="2">
        <f>I!X95</f>
        <v>0</v>
      </c>
      <c r="Y1256" s="2">
        <f>I!Y95</f>
        <v>0</v>
      </c>
      <c r="Z1256" s="2">
        <f>J!W95</f>
        <v>0</v>
      </c>
      <c r="AA1256" s="2">
        <f>J!X95</f>
        <v>0</v>
      </c>
      <c r="AB1256" s="2">
        <f>J!Y95</f>
        <v>0</v>
      </c>
    </row>
    <row r="1257" spans="1:28">
      <c r="A1257" s="69" t="s">
        <v>109</v>
      </c>
      <c r="B1257" s="127">
        <f>B!W96</f>
        <v>27.114799999999999</v>
      </c>
      <c r="C1257" s="127" t="str">
        <f>B!X96</f>
        <v>16-Sep</v>
      </c>
      <c r="D1257" s="122">
        <f>B!Y96</f>
        <v>15</v>
      </c>
      <c r="E1257" s="133">
        <f>'C'!W96</f>
        <v>27.56</v>
      </c>
      <c r="F1257" s="126">
        <f>'C'!X96</f>
        <v>37880</v>
      </c>
      <c r="G1257" s="122">
        <f>'C'!Y96</f>
        <v>16</v>
      </c>
      <c r="H1257" s="133">
        <f>D!W96</f>
        <v>28.83</v>
      </c>
      <c r="I1257" s="126">
        <f>D!X96</f>
        <v>37517</v>
      </c>
      <c r="J1257" s="122">
        <f>D!Y96</f>
        <v>16</v>
      </c>
      <c r="K1257" s="133">
        <f>E!W96</f>
        <v>26.903217435662299</v>
      </c>
      <c r="L1257" s="127" t="str">
        <f>E!X96</f>
        <v>09/16</v>
      </c>
      <c r="M1257" s="122" t="str">
        <f>E!Y96</f>
        <v>16:00</v>
      </c>
      <c r="N1257" s="139">
        <f>F!W96</f>
        <v>0</v>
      </c>
      <c r="O1257" s="128">
        <f>F!X96</f>
        <v>0</v>
      </c>
      <c r="P1257" s="350">
        <f>F!Y96</f>
        <v>0</v>
      </c>
      <c r="Q1257" s="139">
        <f>G!W96</f>
        <v>26.04</v>
      </c>
      <c r="R1257" s="128">
        <f>G!X96</f>
        <v>37848</v>
      </c>
      <c r="S1257" s="350">
        <f>G!Y96</f>
        <v>15</v>
      </c>
      <c r="T1257">
        <f>YD!W96</f>
        <v>0</v>
      </c>
      <c r="U1257">
        <f>YD!X96</f>
        <v>0</v>
      </c>
      <c r="V1257">
        <f>YD!Y96</f>
        <v>0</v>
      </c>
      <c r="W1257" s="2">
        <f>I!W96</f>
        <v>0</v>
      </c>
      <c r="X1257" s="2">
        <f>I!X96</f>
        <v>0</v>
      </c>
      <c r="Y1257" s="2">
        <f>I!Y96</f>
        <v>0</v>
      </c>
      <c r="Z1257" s="2">
        <f>J!W96</f>
        <v>0</v>
      </c>
      <c r="AA1257" s="2">
        <f>J!X96</f>
        <v>0</v>
      </c>
      <c r="AB1257" s="2">
        <f>J!Y96</f>
        <v>0</v>
      </c>
    </row>
    <row r="1258" spans="1:28">
      <c r="A1258" s="69" t="s">
        <v>111</v>
      </c>
      <c r="B1258" s="127">
        <f>B!W97</f>
        <v>26.825600000000001</v>
      </c>
      <c r="C1258" s="127" t="str">
        <f>B!X97</f>
        <v>23-Oct</v>
      </c>
      <c r="D1258" s="122">
        <f>B!Y97</f>
        <v>15</v>
      </c>
      <c r="E1258" s="133">
        <f>'C'!W97</f>
        <v>25.11</v>
      </c>
      <c r="F1258" s="126">
        <f>'C'!X97</f>
        <v>37368</v>
      </c>
      <c r="G1258" s="122">
        <f>'C'!Y97</f>
        <v>15</v>
      </c>
      <c r="H1258" s="133">
        <f>D!W97</f>
        <v>25.11</v>
      </c>
      <c r="I1258" s="126">
        <f>D!X97</f>
        <v>37368</v>
      </c>
      <c r="J1258" s="122">
        <f>D!Y97</f>
        <v>15</v>
      </c>
      <c r="K1258" s="133">
        <f>E!W97</f>
        <v>25.003273115166198</v>
      </c>
      <c r="L1258" s="127" t="str">
        <f>E!X97</f>
        <v>09/23</v>
      </c>
      <c r="M1258" s="122" t="str">
        <f>E!Y97</f>
        <v>08:00</v>
      </c>
      <c r="N1258" s="139">
        <f>F!W97</f>
        <v>0</v>
      </c>
      <c r="O1258" s="128">
        <f>F!X97</f>
        <v>0</v>
      </c>
      <c r="P1258" s="350">
        <f>F!Y97</f>
        <v>0</v>
      </c>
      <c r="Q1258" s="139">
        <f>G!W97</f>
        <v>26.19</v>
      </c>
      <c r="R1258" s="128">
        <f>G!X97</f>
        <v>37928</v>
      </c>
      <c r="S1258" s="350">
        <f>G!Y97</f>
        <v>15</v>
      </c>
      <c r="T1258">
        <f>YD!W97</f>
        <v>0</v>
      </c>
      <c r="U1258">
        <f>YD!X97</f>
        <v>0</v>
      </c>
      <c r="V1258">
        <f>YD!Y97</f>
        <v>0</v>
      </c>
      <c r="W1258" s="2">
        <f>I!W97</f>
        <v>0</v>
      </c>
      <c r="X1258" s="2">
        <f>I!X97</f>
        <v>0</v>
      </c>
      <c r="Y1258" s="2">
        <f>I!Y97</f>
        <v>0</v>
      </c>
      <c r="Z1258" s="2">
        <f>J!W97</f>
        <v>0</v>
      </c>
      <c r="AA1258" s="2">
        <f>J!X97</f>
        <v>0</v>
      </c>
      <c r="AB1258" s="2">
        <f>J!Y97</f>
        <v>0</v>
      </c>
    </row>
    <row r="1259" spans="1:28">
      <c r="A1259" s="69" t="s">
        <v>112</v>
      </c>
      <c r="B1259" s="127">
        <f>B!W98</f>
        <v>26.1999</v>
      </c>
      <c r="C1259" s="127" t="str">
        <f>B!X98</f>
        <v>07-Jul</v>
      </c>
      <c r="D1259" s="122">
        <f>B!Y98</f>
        <v>15</v>
      </c>
      <c r="E1259" s="133">
        <f>'C'!W98</f>
        <v>25.11</v>
      </c>
      <c r="F1259" s="126">
        <f>'C'!X98</f>
        <v>37368</v>
      </c>
      <c r="G1259" s="122">
        <f>'C'!Y98</f>
        <v>15</v>
      </c>
      <c r="H1259" s="133">
        <f>D!W98</f>
        <v>25.11</v>
      </c>
      <c r="I1259" s="126">
        <f>D!X98</f>
        <v>37368</v>
      </c>
      <c r="J1259" s="122">
        <f>D!Y98</f>
        <v>15</v>
      </c>
      <c r="K1259" s="133">
        <f>E!W98</f>
        <v>25.003273115420001</v>
      </c>
      <c r="L1259" s="127" t="str">
        <f>E!X98</f>
        <v>09/23</v>
      </c>
      <c r="M1259" s="122" t="str">
        <f>E!Y98</f>
        <v>08:00</v>
      </c>
      <c r="N1259" s="139">
        <f>F!W98</f>
        <v>0</v>
      </c>
      <c r="O1259" s="128">
        <f>F!X98</f>
        <v>0</v>
      </c>
      <c r="P1259" s="350">
        <f>F!Y98</f>
        <v>0</v>
      </c>
      <c r="Q1259" s="139">
        <f>G!W98</f>
        <v>26.23</v>
      </c>
      <c r="R1259" s="128">
        <f>G!X98</f>
        <v>37914</v>
      </c>
      <c r="S1259" s="350">
        <f>G!Y98</f>
        <v>15</v>
      </c>
      <c r="T1259">
        <f>YD!W98</f>
        <v>0</v>
      </c>
      <c r="U1259">
        <f>YD!X98</f>
        <v>0</v>
      </c>
      <c r="V1259">
        <f>YD!Y98</f>
        <v>0</v>
      </c>
      <c r="W1259" s="2">
        <f>I!W98</f>
        <v>0</v>
      </c>
      <c r="X1259" s="2">
        <f>I!X98</f>
        <v>0</v>
      </c>
      <c r="Y1259" s="2">
        <f>I!Y98</f>
        <v>0</v>
      </c>
      <c r="Z1259" s="2">
        <f>J!W98</f>
        <v>0</v>
      </c>
      <c r="AA1259" s="2">
        <f>J!X98</f>
        <v>0</v>
      </c>
      <c r="AB1259" s="2">
        <f>J!Y98</f>
        <v>0</v>
      </c>
    </row>
    <row r="1260" spans="1:28">
      <c r="A1260" s="69" t="s">
        <v>113</v>
      </c>
      <c r="B1260" s="127">
        <f>B!W99</f>
        <v>27.199200000000001</v>
      </c>
      <c r="C1260" s="127" t="str">
        <f>B!X99</f>
        <v>01-Nov</v>
      </c>
      <c r="D1260" s="122">
        <f>B!Y99</f>
        <v>16</v>
      </c>
      <c r="E1260" s="133">
        <f>'C'!W99</f>
        <v>25.11</v>
      </c>
      <c r="F1260" s="126">
        <f>'C'!X99</f>
        <v>37368</v>
      </c>
      <c r="G1260" s="122">
        <f>'C'!Y99</f>
        <v>15</v>
      </c>
      <c r="H1260" s="133">
        <f>D!W99</f>
        <v>25.11</v>
      </c>
      <c r="I1260" s="126">
        <f>D!X99</f>
        <v>37368</v>
      </c>
      <c r="J1260" s="122">
        <f>D!Y99</f>
        <v>15</v>
      </c>
      <c r="K1260" s="133">
        <f>E!W99</f>
        <v>25.003763076149301</v>
      </c>
      <c r="L1260" s="127" t="str">
        <f>E!X99</f>
        <v>04/24</v>
      </c>
      <c r="M1260" s="122" t="str">
        <f>E!Y99</f>
        <v>20:00</v>
      </c>
      <c r="N1260" s="139">
        <f>F!W99</f>
        <v>0</v>
      </c>
      <c r="O1260" s="128">
        <f>F!X99</f>
        <v>0</v>
      </c>
      <c r="P1260" s="350">
        <f>F!Y99</f>
        <v>0</v>
      </c>
      <c r="Q1260" s="139">
        <f>G!W99</f>
        <v>26.45</v>
      </c>
      <c r="R1260" s="128">
        <f>G!X99</f>
        <v>37917</v>
      </c>
      <c r="S1260" s="350">
        <f>G!Y99</f>
        <v>15</v>
      </c>
      <c r="T1260">
        <f>YD!W99</f>
        <v>0</v>
      </c>
      <c r="U1260">
        <f>YD!X99</f>
        <v>0</v>
      </c>
      <c r="V1260">
        <f>YD!Y99</f>
        <v>0</v>
      </c>
      <c r="W1260" s="2">
        <f>I!W99</f>
        <v>0</v>
      </c>
      <c r="X1260" s="2">
        <f>I!X99</f>
        <v>0</v>
      </c>
      <c r="Y1260" s="2">
        <f>I!Y99</f>
        <v>0</v>
      </c>
      <c r="Z1260" s="2">
        <f>J!W99</f>
        <v>0</v>
      </c>
      <c r="AA1260" s="2">
        <f>J!X99</f>
        <v>0</v>
      </c>
      <c r="AB1260" s="2">
        <f>J!Y99</f>
        <v>0</v>
      </c>
    </row>
    <row r="1261" spans="1:28">
      <c r="A1261" s="69" t="s">
        <v>114</v>
      </c>
      <c r="B1261" s="127">
        <f>B!W100</f>
        <v>27.045200000000001</v>
      </c>
      <c r="C1261" s="127" t="str">
        <f>B!X100</f>
        <v>28-Apr</v>
      </c>
      <c r="D1261" s="122">
        <f>B!Y100</f>
        <v>15</v>
      </c>
      <c r="E1261" s="133">
        <f>'C'!W100</f>
        <v>25.11</v>
      </c>
      <c r="F1261" s="126">
        <f>'C'!X100</f>
        <v>37368</v>
      </c>
      <c r="G1261" s="122">
        <f>'C'!Y100</f>
        <v>15</v>
      </c>
      <c r="H1261" s="133">
        <f>D!W100</f>
        <v>25.11</v>
      </c>
      <c r="I1261" s="126">
        <f>D!X100</f>
        <v>37368</v>
      </c>
      <c r="J1261" s="122">
        <f>D!Y100</f>
        <v>15</v>
      </c>
      <c r="K1261" s="133">
        <f>E!W100</f>
        <v>25.0037630761495</v>
      </c>
      <c r="L1261" s="127" t="str">
        <f>E!X100</f>
        <v>04/24</v>
      </c>
      <c r="M1261" s="122" t="str">
        <f>E!Y100</f>
        <v>20:00</v>
      </c>
      <c r="N1261" s="139">
        <f>F!W100</f>
        <v>0</v>
      </c>
      <c r="O1261" s="128">
        <f>F!X100</f>
        <v>0</v>
      </c>
      <c r="P1261" s="350">
        <f>F!Y100</f>
        <v>0</v>
      </c>
      <c r="Q1261" s="139">
        <f>G!W100</f>
        <v>26.26</v>
      </c>
      <c r="R1261" s="128">
        <f>G!X100</f>
        <v>37917</v>
      </c>
      <c r="S1261" s="350">
        <f>G!Y100</f>
        <v>15</v>
      </c>
      <c r="T1261">
        <f>YD!W100</f>
        <v>0</v>
      </c>
      <c r="U1261">
        <f>YD!X100</f>
        <v>0</v>
      </c>
      <c r="V1261">
        <f>YD!Y100</f>
        <v>0</v>
      </c>
      <c r="W1261" s="2">
        <f>I!W100</f>
        <v>0</v>
      </c>
      <c r="X1261" s="2">
        <f>I!X100</f>
        <v>0</v>
      </c>
      <c r="Y1261" s="2">
        <f>I!Y100</f>
        <v>0</v>
      </c>
      <c r="Z1261" s="2">
        <f>J!W100</f>
        <v>0</v>
      </c>
      <c r="AA1261" s="2">
        <f>J!X100</f>
        <v>0</v>
      </c>
      <c r="AB1261" s="2">
        <f>J!Y100</f>
        <v>0</v>
      </c>
    </row>
    <row r="1262" spans="1:28">
      <c r="A1262" s="69" t="s">
        <v>115</v>
      </c>
      <c r="B1262" s="127">
        <f>B!W101</f>
        <v>25.805399999999999</v>
      </c>
      <c r="C1262" s="127" t="str">
        <f>B!X101</f>
        <v>30-Apr</v>
      </c>
      <c r="D1262" s="122">
        <f>B!Y101</f>
        <v>15</v>
      </c>
      <c r="E1262" s="133">
        <f>'C'!W101</f>
        <v>25.11</v>
      </c>
      <c r="F1262" s="126">
        <f>'C'!X101</f>
        <v>37002</v>
      </c>
      <c r="G1262" s="122">
        <f>'C'!Y101</f>
        <v>16</v>
      </c>
      <c r="H1262" s="133">
        <f>D!W101</f>
        <v>25.11</v>
      </c>
      <c r="I1262" s="126">
        <f>D!X101</f>
        <v>37002</v>
      </c>
      <c r="J1262" s="122">
        <f>D!Y101</f>
        <v>16</v>
      </c>
      <c r="K1262" s="133">
        <f>E!W101</f>
        <v>25.001689073197401</v>
      </c>
      <c r="L1262" s="127" t="str">
        <f>E!X101</f>
        <v>04/05</v>
      </c>
      <c r="M1262" s="122" t="str">
        <f>E!Y101</f>
        <v>19:00</v>
      </c>
      <c r="N1262" s="139">
        <f>F!W101</f>
        <v>25.02</v>
      </c>
      <c r="O1262" s="128">
        <f>F!X101</f>
        <v>90</v>
      </c>
      <c r="P1262" s="350">
        <f>F!Y101</f>
        <v>17</v>
      </c>
      <c r="Q1262" s="139">
        <f>G!W101</f>
        <v>25</v>
      </c>
      <c r="R1262" s="128">
        <f>G!X101</f>
        <v>37691</v>
      </c>
      <c r="S1262" s="350">
        <f>G!Y101</f>
        <v>11</v>
      </c>
      <c r="T1262">
        <f>YD!W101</f>
        <v>0</v>
      </c>
      <c r="U1262">
        <f>YD!X101</f>
        <v>0</v>
      </c>
      <c r="V1262">
        <f>YD!Y101</f>
        <v>0</v>
      </c>
      <c r="W1262" s="2">
        <f>I!W101</f>
        <v>0</v>
      </c>
      <c r="X1262" s="2">
        <f>I!X101</f>
        <v>0</v>
      </c>
      <c r="Y1262" s="2">
        <f>I!Y101</f>
        <v>0</v>
      </c>
      <c r="Z1262" s="2">
        <f>J!W101</f>
        <v>0</v>
      </c>
      <c r="AA1262" s="2">
        <f>J!X101</f>
        <v>0</v>
      </c>
      <c r="AB1262" s="2">
        <f>J!Y101</f>
        <v>0</v>
      </c>
    </row>
    <row r="1263" spans="1:28">
      <c r="A1263" s="69" t="s">
        <v>121</v>
      </c>
      <c r="B1263" s="127">
        <f>B!W102</f>
        <v>26.100300000000001</v>
      </c>
      <c r="C1263" s="127" t="str">
        <f>B!X102</f>
        <v>09-Jul</v>
      </c>
      <c r="D1263" s="122">
        <f>B!Y102</f>
        <v>15</v>
      </c>
      <c r="E1263" s="133">
        <f>'C'!W102</f>
        <v>25.11</v>
      </c>
      <c r="F1263" s="126">
        <f>'C'!X102</f>
        <v>37002</v>
      </c>
      <c r="G1263" s="122">
        <f>'C'!Y102</f>
        <v>3</v>
      </c>
      <c r="H1263" s="133">
        <f>D!W102</f>
        <v>25.11</v>
      </c>
      <c r="I1263" s="126">
        <f>D!X102</f>
        <v>37002</v>
      </c>
      <c r="J1263" s="122">
        <f>D!Y102</f>
        <v>3</v>
      </c>
      <c r="K1263" s="133">
        <f>E!W102</f>
        <v>25.001689922001699</v>
      </c>
      <c r="L1263" s="127" t="str">
        <f>E!X102</f>
        <v>04/05</v>
      </c>
      <c r="M1263" s="122" t="str">
        <f>E!Y102</f>
        <v>19:00</v>
      </c>
      <c r="N1263" s="139">
        <f>F!W102</f>
        <v>25.02</v>
      </c>
      <c r="O1263" s="128">
        <f>F!X102</f>
        <v>90</v>
      </c>
      <c r="P1263" s="350">
        <f>F!Y102</f>
        <v>17</v>
      </c>
      <c r="Q1263" s="139">
        <f>G!W102</f>
        <v>25</v>
      </c>
      <c r="R1263" s="128">
        <f>G!X102</f>
        <v>37735</v>
      </c>
      <c r="S1263" s="350">
        <f>G!Y102</f>
        <v>12</v>
      </c>
      <c r="T1263">
        <f>YD!W102</f>
        <v>0</v>
      </c>
      <c r="U1263">
        <f>YD!X102</f>
        <v>0</v>
      </c>
      <c r="V1263">
        <f>YD!Y102</f>
        <v>0</v>
      </c>
      <c r="W1263" s="2">
        <f>I!W102</f>
        <v>0</v>
      </c>
      <c r="X1263" s="2">
        <f>I!X102</f>
        <v>0</v>
      </c>
      <c r="Y1263" s="2">
        <f>I!Y102</f>
        <v>0</v>
      </c>
      <c r="Z1263" s="2">
        <f>J!W102</f>
        <v>0</v>
      </c>
      <c r="AA1263" s="2">
        <f>J!X102</f>
        <v>0</v>
      </c>
      <c r="AB1263" s="2">
        <f>J!Y102</f>
        <v>0</v>
      </c>
    </row>
    <row r="1264" spans="1:28">
      <c r="A1264" s="69" t="s">
        <v>125</v>
      </c>
      <c r="B1264" s="127">
        <f>B!W103</f>
        <v>16.123200000000001</v>
      </c>
      <c r="C1264" s="127" t="str">
        <f>B!X103</f>
        <v>15-Aug</v>
      </c>
      <c r="D1264" s="122">
        <f>B!Y103</f>
        <v>15</v>
      </c>
      <c r="E1264" s="133">
        <f>'C'!W103</f>
        <v>16.11</v>
      </c>
      <c r="F1264" s="126">
        <f>'C'!X103</f>
        <v>37484</v>
      </c>
      <c r="G1264" s="122">
        <f>'C'!Y103</f>
        <v>16</v>
      </c>
      <c r="H1264" s="133">
        <f>D!W103</f>
        <v>15.94</v>
      </c>
      <c r="I1264" s="126">
        <f>D!X103</f>
        <v>38178</v>
      </c>
      <c r="J1264" s="122">
        <f>D!Y103</f>
        <v>16</v>
      </c>
      <c r="K1264" s="133">
        <f>E!W103</f>
        <v>15.2668573950669</v>
      </c>
      <c r="L1264" s="127" t="str">
        <f>E!X103</f>
        <v>07/20</v>
      </c>
      <c r="M1264" s="122" t="str">
        <f>E!Y103</f>
        <v>16:00</v>
      </c>
      <c r="N1264" s="139">
        <f>F!W103</f>
        <v>15.98</v>
      </c>
      <c r="O1264" s="128">
        <f>F!X103</f>
        <v>202</v>
      </c>
      <c r="P1264" s="350">
        <f>F!Y103</f>
        <v>15</v>
      </c>
      <c r="Q1264" s="139">
        <f>G!W103</f>
        <v>18.62</v>
      </c>
      <c r="R1264" s="128">
        <f>G!X103</f>
        <v>37776</v>
      </c>
      <c r="S1264" s="350">
        <f>G!Y103</f>
        <v>16</v>
      </c>
      <c r="T1264">
        <f>YD!W103</f>
        <v>0</v>
      </c>
      <c r="U1264">
        <f>YD!X103</f>
        <v>0</v>
      </c>
      <c r="V1264">
        <f>YD!Y103</f>
        <v>0</v>
      </c>
      <c r="W1264" s="2">
        <f>I!W103</f>
        <v>0</v>
      </c>
      <c r="X1264" s="2">
        <f>I!X103</f>
        <v>0</v>
      </c>
      <c r="Y1264" s="2">
        <f>I!Y103</f>
        <v>0</v>
      </c>
      <c r="Z1264" s="2">
        <f>J!W103</f>
        <v>0</v>
      </c>
      <c r="AA1264" s="2">
        <f>J!X103</f>
        <v>0</v>
      </c>
      <c r="AB1264" s="2">
        <f>J!Y103</f>
        <v>0</v>
      </c>
    </row>
    <row r="1265" spans="1:28">
      <c r="A1265" s="69" t="s">
        <v>127</v>
      </c>
      <c r="B1265" s="127">
        <f>B!W104</f>
        <v>21.0091</v>
      </c>
      <c r="C1265" s="127" t="str">
        <f>B!X104</f>
        <v>16-Jul</v>
      </c>
      <c r="D1265" s="122">
        <f>B!Y104</f>
        <v>15</v>
      </c>
      <c r="E1265" s="133">
        <f>'C'!W104</f>
        <v>20.11</v>
      </c>
      <c r="F1265" s="126">
        <f>'C'!X104</f>
        <v>37002</v>
      </c>
      <c r="G1265" s="122">
        <f>'C'!Y104</f>
        <v>15</v>
      </c>
      <c r="H1265" s="133">
        <f>D!W104</f>
        <v>20.11</v>
      </c>
      <c r="I1265" s="126">
        <f>D!X104</f>
        <v>37732</v>
      </c>
      <c r="J1265" s="122">
        <f>D!Y104</f>
        <v>15</v>
      </c>
      <c r="K1265" s="133">
        <f>E!W104</f>
        <v>20.0027164194105</v>
      </c>
      <c r="L1265" s="127" t="str">
        <f>E!X104</f>
        <v>04/17</v>
      </c>
      <c r="M1265" s="122" t="str">
        <f>E!Y104</f>
        <v>24:00</v>
      </c>
      <c r="N1265" s="139">
        <f>F!W104</f>
        <v>20.05</v>
      </c>
      <c r="O1265" s="128">
        <f>F!X104</f>
        <v>73</v>
      </c>
      <c r="P1265" s="350">
        <f>F!Y104</f>
        <v>22</v>
      </c>
      <c r="Q1265" s="139">
        <f>G!W104</f>
        <v>20.93</v>
      </c>
      <c r="R1265" s="128">
        <f>G!X104</f>
        <v>37732</v>
      </c>
      <c r="S1265" s="350">
        <f>G!Y104</f>
        <v>15</v>
      </c>
      <c r="T1265">
        <f>YD!W104</f>
        <v>0</v>
      </c>
      <c r="U1265">
        <f>YD!X104</f>
        <v>0</v>
      </c>
      <c r="V1265">
        <f>YD!Y104</f>
        <v>0</v>
      </c>
      <c r="W1265" s="2">
        <f>I!W104</f>
        <v>0</v>
      </c>
      <c r="X1265" s="2">
        <f>I!X104</f>
        <v>0</v>
      </c>
      <c r="Y1265" s="2">
        <f>I!Y104</f>
        <v>0</v>
      </c>
      <c r="Z1265" s="2">
        <f>J!W104</f>
        <v>0</v>
      </c>
      <c r="AA1265" s="2">
        <f>J!X104</f>
        <v>0</v>
      </c>
      <c r="AB1265" s="2">
        <f>J!Y104</f>
        <v>0</v>
      </c>
    </row>
    <row r="1266" spans="1:28">
      <c r="A1266" s="69" t="s">
        <v>130</v>
      </c>
      <c r="B1266" s="127">
        <f>B!W105</f>
        <v>36.08</v>
      </c>
      <c r="C1266" s="127" t="str">
        <f>B!X105</f>
        <v>10-Mai</v>
      </c>
      <c r="D1266" s="122">
        <f>B!Y105</f>
        <v>16</v>
      </c>
      <c r="E1266" s="133">
        <f>'C'!W105</f>
        <v>35.06</v>
      </c>
      <c r="F1266" s="126">
        <f>'C'!X105</f>
        <v>37732</v>
      </c>
      <c r="G1266" s="122">
        <f>'C'!Y105</f>
        <v>16</v>
      </c>
      <c r="H1266" s="133">
        <f>D!W105</f>
        <v>35.06</v>
      </c>
      <c r="I1266" s="126">
        <f>D!X105</f>
        <v>37732</v>
      </c>
      <c r="J1266" s="122">
        <f>D!Y105</f>
        <v>16</v>
      </c>
      <c r="K1266" s="133">
        <f>E!W105</f>
        <v>34.996432269762302</v>
      </c>
      <c r="L1266" s="127" t="str">
        <f>E!X105</f>
        <v>03/11</v>
      </c>
      <c r="M1266" s="122" t="str">
        <f>E!Y105</f>
        <v>12:00</v>
      </c>
      <c r="N1266" s="139">
        <f>F!W105</f>
        <v>35</v>
      </c>
      <c r="O1266" s="128">
        <f>F!X105</f>
        <v>71</v>
      </c>
      <c r="P1266" s="350">
        <f>F!Y105</f>
        <v>10</v>
      </c>
      <c r="Q1266" s="139">
        <f>G!W105</f>
        <v>35</v>
      </c>
      <c r="R1266" s="128">
        <f>G!X105</f>
        <v>37691</v>
      </c>
      <c r="S1266" s="350">
        <f>G!Y105</f>
        <v>11</v>
      </c>
      <c r="T1266">
        <f>YD!W105</f>
        <v>0</v>
      </c>
      <c r="U1266">
        <f>YD!X105</f>
        <v>0</v>
      </c>
      <c r="V1266">
        <f>YD!Y105</f>
        <v>0</v>
      </c>
      <c r="W1266" s="2">
        <f>I!W105</f>
        <v>0</v>
      </c>
      <c r="X1266" s="2">
        <f>I!X105</f>
        <v>0</v>
      </c>
      <c r="Y1266" s="2">
        <f>I!Y105</f>
        <v>0</v>
      </c>
      <c r="Z1266" s="2">
        <f>J!W105</f>
        <v>0</v>
      </c>
      <c r="AA1266" s="2">
        <f>J!X105</f>
        <v>0</v>
      </c>
      <c r="AB1266" s="2">
        <f>J!Y105</f>
        <v>0</v>
      </c>
    </row>
    <row r="1267" spans="1:28">
      <c r="A1267" s="69" t="s">
        <v>132</v>
      </c>
      <c r="B1267" s="127">
        <f>B!W106</f>
        <v>26.116</v>
      </c>
      <c r="C1267" s="127" t="str">
        <f>B!X106</f>
        <v>04-Jun</v>
      </c>
      <c r="D1267" s="122">
        <f>B!Y106</f>
        <v>15</v>
      </c>
      <c r="E1267" s="133">
        <f>'C'!W106</f>
        <v>25.06</v>
      </c>
      <c r="F1267" s="126">
        <f>'C'!X106</f>
        <v>37002</v>
      </c>
      <c r="G1267" s="122">
        <f>'C'!Y106</f>
        <v>16</v>
      </c>
      <c r="H1267" s="133">
        <f>D!W106</f>
        <v>25.06</v>
      </c>
      <c r="I1267" s="126">
        <f>D!X106</f>
        <v>37002</v>
      </c>
      <c r="J1267" s="122">
        <f>D!Y106</f>
        <v>16</v>
      </c>
      <c r="K1267" s="133">
        <f>E!W106</f>
        <v>25.002719853187202</v>
      </c>
      <c r="L1267" s="127" t="str">
        <f>E!X106</f>
        <v>04/05</v>
      </c>
      <c r="M1267" s="122" t="str">
        <f>E!Y106</f>
        <v>20:00</v>
      </c>
      <c r="N1267" s="139">
        <f>F!W106</f>
        <v>25.02</v>
      </c>
      <c r="O1267" s="128">
        <f>F!X106</f>
        <v>90</v>
      </c>
      <c r="P1267" s="350">
        <f>F!Y106</f>
        <v>17</v>
      </c>
      <c r="Q1267" s="139">
        <f>G!W106</f>
        <v>25</v>
      </c>
      <c r="R1267" s="128">
        <f>G!X106</f>
        <v>37691</v>
      </c>
      <c r="S1267" s="350">
        <f>G!Y106</f>
        <v>11</v>
      </c>
      <c r="T1267">
        <f>YD!W106</f>
        <v>0</v>
      </c>
      <c r="U1267">
        <f>YD!X106</f>
        <v>0</v>
      </c>
      <c r="V1267">
        <f>YD!Y106</f>
        <v>0</v>
      </c>
      <c r="W1267" s="2">
        <f>I!W106</f>
        <v>0</v>
      </c>
      <c r="X1267" s="2">
        <f>I!X106</f>
        <v>0</v>
      </c>
      <c r="Y1267" s="2">
        <f>I!Y106</f>
        <v>0</v>
      </c>
      <c r="Z1267" s="2">
        <f>J!W106</f>
        <v>0</v>
      </c>
      <c r="AA1267" s="2">
        <f>J!X106</f>
        <v>0</v>
      </c>
      <c r="AB1267" s="2">
        <f>J!Y106</f>
        <v>0</v>
      </c>
    </row>
    <row r="1268" spans="1:28">
      <c r="A1268" s="69" t="s">
        <v>135</v>
      </c>
      <c r="B1268" s="127">
        <f>B!W107</f>
        <v>16.1465</v>
      </c>
      <c r="C1268" s="127" t="str">
        <f>B!X107</f>
        <v>21-Sep</v>
      </c>
      <c r="D1268" s="122">
        <f>B!Y107</f>
        <v>16</v>
      </c>
      <c r="E1268" s="133">
        <f>'C'!W107</f>
        <v>15.11</v>
      </c>
      <c r="F1268" s="126">
        <f>'C'!X107</f>
        <v>38138</v>
      </c>
      <c r="G1268" s="122">
        <f>'C'!Y107</f>
        <v>16</v>
      </c>
      <c r="H1268" s="133">
        <f>D!W107</f>
        <v>15.11</v>
      </c>
      <c r="I1268" s="126">
        <f>D!X107</f>
        <v>38138</v>
      </c>
      <c r="J1268" s="122">
        <f>D!Y107</f>
        <v>16</v>
      </c>
      <c r="K1268" s="133">
        <f>E!W107</f>
        <v>15.002773741177499</v>
      </c>
      <c r="L1268" s="127" t="str">
        <f>E!X107</f>
        <v>04/16</v>
      </c>
      <c r="M1268" s="122" t="str">
        <f>E!Y107</f>
        <v>01:00</v>
      </c>
      <c r="N1268" s="139">
        <f>F!W107</f>
        <v>15.05</v>
      </c>
      <c r="O1268" s="128">
        <f>F!X107</f>
        <v>28</v>
      </c>
      <c r="P1268" s="350">
        <f>F!Y107</f>
        <v>20</v>
      </c>
      <c r="Q1268" s="139">
        <f>G!W107</f>
        <v>15</v>
      </c>
      <c r="R1268" s="128">
        <f>G!X107</f>
        <v>37691</v>
      </c>
      <c r="S1268" s="350">
        <f>G!Y107</f>
        <v>10</v>
      </c>
      <c r="T1268">
        <f>YD!W107</f>
        <v>0</v>
      </c>
      <c r="U1268">
        <f>YD!X107</f>
        <v>0</v>
      </c>
      <c r="V1268">
        <f>YD!Y107</f>
        <v>0</v>
      </c>
      <c r="W1268" s="2">
        <f>I!W107</f>
        <v>0</v>
      </c>
      <c r="X1268" s="2">
        <f>I!X107</f>
        <v>0</v>
      </c>
      <c r="Y1268" s="2">
        <f>I!Y107</f>
        <v>0</v>
      </c>
      <c r="Z1268" s="2">
        <f>J!W107</f>
        <v>0</v>
      </c>
      <c r="AA1268" s="2">
        <f>J!X107</f>
        <v>0</v>
      </c>
      <c r="AB1268" s="2">
        <f>J!Y107</f>
        <v>0</v>
      </c>
    </row>
    <row r="1269" spans="1:28">
      <c r="A1269" s="70" t="s">
        <v>138</v>
      </c>
      <c r="B1269" s="127">
        <f>B!W108</f>
        <v>35.671500000000002</v>
      </c>
      <c r="C1269" s="127" t="str">
        <f>B!X108</f>
        <v>20-Jul</v>
      </c>
      <c r="D1269" s="122">
        <f>B!Y108</f>
        <v>15</v>
      </c>
      <c r="E1269" s="133">
        <f>'C'!W108</f>
        <v>35</v>
      </c>
      <c r="F1269" s="126">
        <f>'C'!X108</f>
        <v>37732</v>
      </c>
      <c r="G1269" s="122">
        <f>'C'!Y108</f>
        <v>15</v>
      </c>
      <c r="H1269" s="133">
        <f>D!W108</f>
        <v>35</v>
      </c>
      <c r="I1269" s="126">
        <f>D!X108</f>
        <v>38098</v>
      </c>
      <c r="J1269" s="122">
        <f>D!Y108</f>
        <v>15</v>
      </c>
      <c r="K1269" s="133">
        <f>E!W108</f>
        <v>35.0002964572694</v>
      </c>
      <c r="L1269" s="127" t="str">
        <f>E!X108</f>
        <v>07/14</v>
      </c>
      <c r="M1269" s="122" t="str">
        <f>E!Y108</f>
        <v>18:00</v>
      </c>
      <c r="N1269" s="139">
        <f>F!W108</f>
        <v>35</v>
      </c>
      <c r="O1269" s="128">
        <f>F!X108</f>
        <v>71</v>
      </c>
      <c r="P1269" s="350">
        <f>F!Y108</f>
        <v>10</v>
      </c>
      <c r="Q1269" s="139">
        <f>G!W108</f>
        <v>35</v>
      </c>
      <c r="R1269" s="128">
        <f>G!X108</f>
        <v>37691</v>
      </c>
      <c r="S1269" s="350">
        <f>G!Y108</f>
        <v>11</v>
      </c>
      <c r="T1269">
        <f>YD!W108</f>
        <v>0</v>
      </c>
      <c r="U1269">
        <f>YD!X108</f>
        <v>0</v>
      </c>
      <c r="V1269">
        <f>YD!Y108</f>
        <v>0</v>
      </c>
      <c r="W1269" s="2">
        <f>I!W108</f>
        <v>0</v>
      </c>
      <c r="X1269" s="2">
        <f>I!X108</f>
        <v>0</v>
      </c>
      <c r="Y1269" s="2">
        <f>I!Y108</f>
        <v>0</v>
      </c>
      <c r="Z1269" s="2">
        <f>J!W108</f>
        <v>0</v>
      </c>
      <c r="AA1269" s="2">
        <f>J!X108</f>
        <v>0</v>
      </c>
      <c r="AB1269" s="2">
        <f>J!Y108</f>
        <v>0</v>
      </c>
    </row>
    <row r="1270" spans="1:28">
      <c r="A1270" s="15"/>
      <c r="B1270" s="16"/>
      <c r="C1270" s="16"/>
      <c r="D1270" s="115"/>
      <c r="E1270" s="134"/>
      <c r="F1270" s="129"/>
      <c r="G1270" s="115"/>
      <c r="H1270" s="134"/>
      <c r="I1270" s="129"/>
      <c r="J1270" s="115"/>
      <c r="K1270" s="134"/>
      <c r="L1270" s="16"/>
      <c r="M1270" s="115"/>
      <c r="N1270" s="132"/>
      <c r="P1270" s="116"/>
      <c r="Q1270" s="132"/>
      <c r="R1270" s="2"/>
      <c r="S1270" s="115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15"/>
      <c r="E1271" s="134"/>
      <c r="F1271" s="129"/>
      <c r="G1271" s="115"/>
      <c r="H1271" s="134"/>
      <c r="I1271" s="129"/>
      <c r="J1271" s="115"/>
      <c r="K1271" s="134"/>
      <c r="L1271" s="16"/>
      <c r="M1271" s="115"/>
      <c r="N1271" s="132"/>
      <c r="P1271" s="116"/>
      <c r="Q1271" s="132"/>
      <c r="R1271" s="2"/>
      <c r="S1271" s="115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15"/>
      <c r="E1272" s="134"/>
      <c r="F1272" s="129"/>
      <c r="G1272" s="115"/>
      <c r="H1272" s="134"/>
      <c r="I1272" s="129"/>
      <c r="J1272" s="115"/>
      <c r="K1272" s="134"/>
      <c r="L1272" s="16"/>
      <c r="M1272" s="115"/>
      <c r="N1272" s="132"/>
      <c r="P1272" s="116"/>
      <c r="Q1272" s="132"/>
      <c r="R1272" s="2"/>
      <c r="S1272" s="115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15"/>
      <c r="E1273" s="134"/>
      <c r="F1273" s="129"/>
      <c r="G1273" s="115"/>
      <c r="H1273" s="134"/>
      <c r="I1273" s="129"/>
      <c r="J1273" s="115"/>
      <c r="K1273" s="134"/>
      <c r="L1273" s="16"/>
      <c r="M1273" s="115"/>
      <c r="N1273" s="132"/>
      <c r="P1273" s="116"/>
      <c r="Q1273" s="132"/>
      <c r="R1273" s="2"/>
      <c r="S1273" s="115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15"/>
      <c r="E1274" s="134"/>
      <c r="F1274" s="129"/>
      <c r="G1274" s="115"/>
      <c r="H1274" s="134"/>
      <c r="I1274" s="129"/>
      <c r="J1274" s="115"/>
      <c r="K1274" s="134"/>
      <c r="L1274" s="16"/>
      <c r="M1274" s="115"/>
      <c r="N1274" s="132"/>
      <c r="P1274" s="116"/>
      <c r="Q1274" s="132"/>
      <c r="R1274" s="2"/>
      <c r="S1274" s="115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15"/>
      <c r="E1275" s="134"/>
      <c r="F1275" s="129"/>
      <c r="G1275" s="115"/>
      <c r="H1275" s="134"/>
      <c r="I1275" s="129"/>
      <c r="J1275" s="115"/>
      <c r="K1275" s="134"/>
      <c r="L1275" s="16"/>
      <c r="M1275" s="115"/>
      <c r="N1275" s="132"/>
      <c r="P1275" s="116"/>
      <c r="Q1275" s="132"/>
      <c r="R1275" s="2"/>
      <c r="S1275" s="115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15"/>
      <c r="E1276" s="134"/>
      <c r="F1276" s="129"/>
      <c r="G1276" s="115"/>
      <c r="H1276" s="134"/>
      <c r="I1276" s="129"/>
      <c r="J1276" s="115"/>
      <c r="K1276" s="134"/>
      <c r="L1276" s="16"/>
      <c r="M1276" s="115"/>
      <c r="N1276" s="132"/>
      <c r="P1276" s="116"/>
      <c r="Q1276" s="132"/>
      <c r="R1276" s="2"/>
      <c r="S1276" s="115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252</v>
      </c>
      <c r="B1277" s="39"/>
      <c r="C1277" s="12"/>
      <c r="D1277" s="115"/>
      <c r="E1277" s="131"/>
      <c r="F1277" s="126"/>
      <c r="G1277" s="122"/>
      <c r="H1277" s="137"/>
      <c r="I1277" s="126"/>
      <c r="J1277" s="122"/>
      <c r="K1277" s="137"/>
      <c r="L1277" s="121"/>
      <c r="M1277" s="122"/>
      <c r="N1277" s="132"/>
      <c r="O1277" s="120"/>
      <c r="P1277" s="350"/>
      <c r="Q1277" s="132"/>
      <c r="R1277" s="121"/>
      <c r="S1277" s="12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6"/>
      <c r="E1278" s="10"/>
      <c r="F1278" s="120"/>
      <c r="G1278" s="350"/>
      <c r="H1278" s="130"/>
      <c r="I1278" s="121"/>
      <c r="J1278" s="122"/>
      <c r="K1278" s="10"/>
      <c r="L1278" s="121"/>
      <c r="M1278" s="122"/>
      <c r="N1278" s="10"/>
      <c r="O1278" s="120"/>
      <c r="P1278" s="350"/>
      <c r="Q1278" s="132"/>
      <c r="R1278" s="121"/>
      <c r="S1278" s="122"/>
      <c r="V1278" s="2"/>
      <c r="W1278" s="2"/>
      <c r="X1278" s="2"/>
      <c r="Y1278" s="2"/>
      <c r="Z1278" s="2"/>
      <c r="AA1278" s="2"/>
      <c r="AB1278" s="2"/>
    </row>
    <row r="1279" spans="1:28">
      <c r="A1279" s="2"/>
      <c r="B1279" s="10" t="s">
        <v>245</v>
      </c>
      <c r="C1279" t="s">
        <v>77</v>
      </c>
      <c r="D1279" t="s">
        <v>78</v>
      </c>
      <c r="E1279" s="10" t="s">
        <v>257</v>
      </c>
      <c r="F1279" s="120" t="s">
        <v>77</v>
      </c>
      <c r="G1279" s="120" t="s">
        <v>78</v>
      </c>
      <c r="H1279" s="10" t="s">
        <v>258</v>
      </c>
      <c r="I1279" s="120" t="s">
        <v>77</v>
      </c>
      <c r="J1279" s="120" t="s">
        <v>78</v>
      </c>
      <c r="K1279" s="10" t="s">
        <v>515</v>
      </c>
      <c r="L1279" s="120" t="s">
        <v>77</v>
      </c>
      <c r="M1279" s="120" t="s">
        <v>78</v>
      </c>
      <c r="N1279" s="10" t="s">
        <v>373</v>
      </c>
      <c r="O1279" s="120" t="s">
        <v>77</v>
      </c>
      <c r="P1279" s="120" t="s">
        <v>78</v>
      </c>
      <c r="Q1279" s="10" t="s">
        <v>482</v>
      </c>
      <c r="R1279" s="120" t="s">
        <v>77</v>
      </c>
      <c r="S1279" s="120" t="s">
        <v>78</v>
      </c>
      <c r="T1279" s="10" t="s">
        <v>516</v>
      </c>
      <c r="U1279" s="120" t="s">
        <v>77</v>
      </c>
      <c r="V1279" s="120" t="s">
        <v>78</v>
      </c>
      <c r="W1279" s="10" t="s">
        <v>517</v>
      </c>
      <c r="X1279" s="120" t="s">
        <v>77</v>
      </c>
      <c r="Y1279" s="120" t="s">
        <v>78</v>
      </c>
      <c r="Z1279" s="10" t="s">
        <v>517</v>
      </c>
      <c r="AA1279" s="120" t="s">
        <v>77</v>
      </c>
      <c r="AB1279" s="120" t="s">
        <v>78</v>
      </c>
    </row>
    <row r="1280" spans="1:28">
      <c r="A1280" s="69" t="s">
        <v>91</v>
      </c>
      <c r="B1280" s="127">
        <f>B!Z89</f>
        <v>7.9299799999999996</v>
      </c>
      <c r="C1280" s="127" t="str">
        <f>B!AA89</f>
        <v>06-Jan</v>
      </c>
      <c r="D1280" s="122">
        <f>B!AB89</f>
        <v>6</v>
      </c>
      <c r="E1280" s="133">
        <f>'C'!Z89</f>
        <v>8.89</v>
      </c>
      <c r="F1280" s="126">
        <f>'C'!AA89</f>
        <v>36897</v>
      </c>
      <c r="G1280" s="122">
        <f>'C'!AB89</f>
        <v>6</v>
      </c>
      <c r="H1280" s="133">
        <f>D!Z89</f>
        <v>8.83</v>
      </c>
      <c r="I1280" s="126">
        <f>D!AA89</f>
        <v>36897</v>
      </c>
      <c r="J1280" s="122">
        <f>D!AB89</f>
        <v>6</v>
      </c>
      <c r="K1280" s="133">
        <f>E!Z89</f>
        <v>8.7262833957235895</v>
      </c>
      <c r="L1280" s="127" t="str">
        <f>E!AA89</f>
        <v>01/06</v>
      </c>
      <c r="M1280" s="122" t="str">
        <f>E!AB89</f>
        <v>06:00</v>
      </c>
      <c r="N1280" s="139">
        <f>F!Z89</f>
        <v>8</v>
      </c>
      <c r="O1280" s="128">
        <f>F!AA89</f>
        <v>6</v>
      </c>
      <c r="P1280" s="350">
        <f>F!AB89</f>
        <v>5</v>
      </c>
      <c r="Q1280" s="139">
        <f>G!Z89</f>
        <v>6.99</v>
      </c>
      <c r="R1280" s="128">
        <f>G!AA89</f>
        <v>37627</v>
      </c>
      <c r="S1280" s="350">
        <f>G!AB89</f>
        <v>5</v>
      </c>
      <c r="T1280">
        <f>YD!Z89</f>
        <v>0</v>
      </c>
      <c r="U1280">
        <f>YD!AA89</f>
        <v>0</v>
      </c>
      <c r="V1280">
        <f>YD!AB89</f>
        <v>0</v>
      </c>
      <c r="W1280" s="2">
        <f>I!Z89</f>
        <v>0</v>
      </c>
      <c r="X1280" s="2">
        <f>I!AA89</f>
        <v>0</v>
      </c>
      <c r="Y1280" s="2">
        <f>I!AB89</f>
        <v>0</v>
      </c>
      <c r="Z1280" s="2">
        <f>J!Z89</f>
        <v>0</v>
      </c>
      <c r="AA1280" s="2">
        <f>J!AA89</f>
        <v>0</v>
      </c>
      <c r="AB1280" s="2">
        <f>J!AB89</f>
        <v>0</v>
      </c>
    </row>
    <row r="1281" spans="1:28">
      <c r="A1281" s="69" t="s">
        <v>96</v>
      </c>
      <c r="B1281" s="127">
        <f>B!Z90</f>
        <v>7.9299799999999996</v>
      </c>
      <c r="C1281" s="127" t="str">
        <f>B!AA90</f>
        <v>06-Jan</v>
      </c>
      <c r="D1281" s="122">
        <f>B!AB90</f>
        <v>6</v>
      </c>
      <c r="E1281" s="133">
        <f>'C'!Z90</f>
        <v>8.89</v>
      </c>
      <c r="F1281" s="126">
        <f>'C'!AA90</f>
        <v>36897</v>
      </c>
      <c r="G1281" s="122">
        <f>'C'!AB90</f>
        <v>6</v>
      </c>
      <c r="H1281" s="133">
        <f>D!Z90</f>
        <v>8.83</v>
      </c>
      <c r="I1281" s="126">
        <f>D!AA90</f>
        <v>36897</v>
      </c>
      <c r="J1281" s="122">
        <f>D!AB90</f>
        <v>6</v>
      </c>
      <c r="K1281" s="133">
        <f>E!Z90</f>
        <v>8.7262065186768094</v>
      </c>
      <c r="L1281" s="127" t="str">
        <f>E!AA90</f>
        <v>01/06</v>
      </c>
      <c r="M1281" s="122" t="str">
        <f>E!AB90</f>
        <v>06:00</v>
      </c>
      <c r="N1281" s="139">
        <f>F!Z90</f>
        <v>8</v>
      </c>
      <c r="O1281" s="128">
        <f>F!AA90</f>
        <v>6</v>
      </c>
      <c r="P1281" s="350">
        <f>F!AB90</f>
        <v>5</v>
      </c>
      <c r="Q1281" s="139">
        <f>G!Z90</f>
        <v>6.99</v>
      </c>
      <c r="R1281" s="128">
        <f>G!AA90</f>
        <v>37627</v>
      </c>
      <c r="S1281" s="350">
        <f>G!AB90</f>
        <v>5</v>
      </c>
      <c r="T1281">
        <f>YD!Z90</f>
        <v>0</v>
      </c>
      <c r="U1281">
        <f>YD!AA90</f>
        <v>0</v>
      </c>
      <c r="V1281">
        <f>YD!AB90</f>
        <v>0</v>
      </c>
      <c r="W1281" s="2">
        <f>I!Z90</f>
        <v>0</v>
      </c>
      <c r="X1281" s="2">
        <f>I!AA90</f>
        <v>0</v>
      </c>
      <c r="Y1281" s="2">
        <f>I!AB90</f>
        <v>0</v>
      </c>
      <c r="Z1281" s="2">
        <f>J!Z90</f>
        <v>0</v>
      </c>
      <c r="AA1281" s="2">
        <f>J!AA90</f>
        <v>0</v>
      </c>
      <c r="AB1281" s="2">
        <f>J!AB90</f>
        <v>0</v>
      </c>
    </row>
    <row r="1282" spans="1:28">
      <c r="A1282" s="69" t="s">
        <v>98</v>
      </c>
      <c r="B1282" s="127">
        <f>B!Z91</f>
        <v>7.9299799999999996</v>
      </c>
      <c r="C1282" s="127" t="str">
        <f>B!AA91</f>
        <v>06-Jan</v>
      </c>
      <c r="D1282" s="122">
        <f>B!AB91</f>
        <v>6</v>
      </c>
      <c r="E1282" s="133">
        <f>'C'!Z91</f>
        <v>10.83</v>
      </c>
      <c r="F1282" s="126">
        <f>'C'!AA91</f>
        <v>36897</v>
      </c>
      <c r="G1282" s="122">
        <f>'C'!AB91</f>
        <v>7</v>
      </c>
      <c r="H1282" s="133">
        <f>D!Z91</f>
        <v>10.78</v>
      </c>
      <c r="I1282" s="126">
        <f>D!AA91</f>
        <v>36897</v>
      </c>
      <c r="J1282" s="122">
        <f>D!AB91</f>
        <v>7</v>
      </c>
      <c r="K1282" s="133">
        <f>E!Z91</f>
        <v>7.7562262531981503</v>
      </c>
      <c r="L1282" s="127" t="str">
        <f>E!AA91</f>
        <v>01/06</v>
      </c>
      <c r="M1282" s="122" t="str">
        <f>E!AB91</f>
        <v>06:00</v>
      </c>
      <c r="N1282" s="139">
        <f>F!Z91</f>
        <v>8</v>
      </c>
      <c r="O1282" s="128">
        <f>F!AA91</f>
        <v>6</v>
      </c>
      <c r="P1282" s="350">
        <f>F!AB91</f>
        <v>5</v>
      </c>
      <c r="Q1282" s="139">
        <f>G!Z91</f>
        <v>6.99</v>
      </c>
      <c r="R1282" s="128">
        <f>G!AA91</f>
        <v>37627</v>
      </c>
      <c r="S1282" s="350">
        <f>G!AB91</f>
        <v>5</v>
      </c>
      <c r="T1282">
        <f>YD!Z91</f>
        <v>0</v>
      </c>
      <c r="U1282">
        <f>YD!AA91</f>
        <v>0</v>
      </c>
      <c r="V1282">
        <f>YD!AB91</f>
        <v>0</v>
      </c>
      <c r="W1282" s="2">
        <f>I!Z91</f>
        <v>0</v>
      </c>
      <c r="X1282" s="2">
        <f>I!AA91</f>
        <v>0</v>
      </c>
      <c r="Y1282" s="2">
        <f>I!AB91</f>
        <v>0</v>
      </c>
      <c r="Z1282" s="2">
        <f>J!Z91</f>
        <v>0</v>
      </c>
      <c r="AA1282" s="2">
        <f>J!AA91</f>
        <v>0</v>
      </c>
      <c r="AB1282" s="2">
        <f>J!AB91</f>
        <v>0</v>
      </c>
    </row>
    <row r="1283" spans="1:28">
      <c r="A1283" s="69" t="s">
        <v>102</v>
      </c>
      <c r="B1283" s="127">
        <f>B!Z92</f>
        <v>7.9299799999999996</v>
      </c>
      <c r="C1283" s="127" t="str">
        <f>B!AA92</f>
        <v>06-Jan</v>
      </c>
      <c r="D1283" s="122">
        <f>B!AB92</f>
        <v>6</v>
      </c>
      <c r="E1283" s="133">
        <f>'C'!Z92</f>
        <v>8.89</v>
      </c>
      <c r="F1283" s="126">
        <f>'C'!AA92</f>
        <v>36897</v>
      </c>
      <c r="G1283" s="122">
        <f>'C'!AB92</f>
        <v>6</v>
      </c>
      <c r="H1283" s="133">
        <f>D!Z92</f>
        <v>8.83</v>
      </c>
      <c r="I1283" s="126">
        <f>D!AA92</f>
        <v>36897</v>
      </c>
      <c r="J1283" s="122">
        <f>D!AB92</f>
        <v>6</v>
      </c>
      <c r="K1283" s="133">
        <f>E!Z92</f>
        <v>8.7247196659979505</v>
      </c>
      <c r="L1283" s="127" t="str">
        <f>E!AA92</f>
        <v>01/06</v>
      </c>
      <c r="M1283" s="122" t="str">
        <f>E!AB92</f>
        <v>06:00</v>
      </c>
      <c r="N1283" s="139">
        <f>F!Z92</f>
        <v>8</v>
      </c>
      <c r="O1283" s="128">
        <f>F!AA92</f>
        <v>6</v>
      </c>
      <c r="P1283" s="350">
        <f>F!AB92</f>
        <v>5</v>
      </c>
      <c r="Q1283" s="139">
        <f>G!Z92</f>
        <v>6.99</v>
      </c>
      <c r="R1283" s="128">
        <f>G!AA92</f>
        <v>37627</v>
      </c>
      <c r="S1283" s="350">
        <f>G!AB92</f>
        <v>5</v>
      </c>
      <c r="T1283">
        <f>YD!Z92</f>
        <v>0</v>
      </c>
      <c r="U1283">
        <f>YD!AA92</f>
        <v>0</v>
      </c>
      <c r="V1283">
        <f>YD!AB92</f>
        <v>0</v>
      </c>
      <c r="W1283" s="2">
        <f>I!Z92</f>
        <v>0</v>
      </c>
      <c r="X1283" s="2">
        <f>I!AA92</f>
        <v>0</v>
      </c>
      <c r="Y1283" s="2">
        <f>I!AB92</f>
        <v>0</v>
      </c>
      <c r="Z1283" s="2">
        <f>J!Z92</f>
        <v>0</v>
      </c>
      <c r="AA1283" s="2">
        <f>J!AA92</f>
        <v>0</v>
      </c>
      <c r="AB1283" s="2">
        <f>J!AB92</f>
        <v>0</v>
      </c>
    </row>
    <row r="1284" spans="1:28">
      <c r="A1284" s="69" t="s">
        <v>356</v>
      </c>
      <c r="B1284" s="127">
        <f>B!Z93</f>
        <v>7.9299799999999996</v>
      </c>
      <c r="C1284" s="127" t="str">
        <f>B!AA93</f>
        <v>06-Jan</v>
      </c>
      <c r="D1284" s="122">
        <f>B!AB93</f>
        <v>6</v>
      </c>
      <c r="E1284" s="133">
        <f>'C'!Z93</f>
        <v>8.89</v>
      </c>
      <c r="F1284" s="126">
        <f>'C'!AA93</f>
        <v>36897</v>
      </c>
      <c r="G1284" s="122">
        <f>'C'!AB93</f>
        <v>6</v>
      </c>
      <c r="H1284" s="133">
        <f>D!Z93</f>
        <v>8.83</v>
      </c>
      <c r="I1284" s="126">
        <f>D!AA93</f>
        <v>36897</v>
      </c>
      <c r="J1284" s="122">
        <f>D!AB93</f>
        <v>6</v>
      </c>
      <c r="K1284" s="133">
        <f>E!Z93</f>
        <v>8.7247196659979505</v>
      </c>
      <c r="L1284" s="127" t="str">
        <f>E!AA93</f>
        <v>01/06</v>
      </c>
      <c r="M1284" s="122" t="str">
        <f>E!AB93</f>
        <v>06:00</v>
      </c>
      <c r="N1284" s="139">
        <f>F!Z93</f>
        <v>8</v>
      </c>
      <c r="O1284" s="128">
        <f>F!AA93</f>
        <v>6</v>
      </c>
      <c r="P1284" s="350">
        <f>F!AB93</f>
        <v>5</v>
      </c>
      <c r="Q1284" s="139">
        <f>G!Z93</f>
        <v>6.99</v>
      </c>
      <c r="R1284" s="128">
        <f>G!AA93</f>
        <v>37627</v>
      </c>
      <c r="S1284" s="350">
        <f>G!AB93</f>
        <v>5</v>
      </c>
      <c r="T1284">
        <f>YD!Z93</f>
        <v>0</v>
      </c>
      <c r="U1284">
        <f>YD!AA93</f>
        <v>0</v>
      </c>
      <c r="V1284">
        <f>YD!AB93</f>
        <v>0</v>
      </c>
      <c r="W1284" s="2">
        <f>I!Z93</f>
        <v>0</v>
      </c>
      <c r="X1284" s="2">
        <f>I!AA93</f>
        <v>0</v>
      </c>
      <c r="Y1284" s="2">
        <f>I!AB93</f>
        <v>0</v>
      </c>
      <c r="Z1284" s="2">
        <f>J!Z93</f>
        <v>0</v>
      </c>
      <c r="AA1284" s="2">
        <f>J!AA93</f>
        <v>0</v>
      </c>
      <c r="AB1284" s="2">
        <f>J!AB93</f>
        <v>0</v>
      </c>
    </row>
    <row r="1285" spans="1:28">
      <c r="A1285" s="69" t="s">
        <v>105</v>
      </c>
      <c r="B1285" s="127">
        <f>B!Z94</f>
        <v>7.9299799999999996</v>
      </c>
      <c r="C1285" s="127" t="str">
        <f>B!AA94</f>
        <v>06-Jan</v>
      </c>
      <c r="D1285" s="122">
        <f>B!AB94</f>
        <v>6</v>
      </c>
      <c r="E1285" s="133">
        <f>'C'!Z94</f>
        <v>8.89</v>
      </c>
      <c r="F1285" s="126">
        <f>'C'!AA94</f>
        <v>36897</v>
      </c>
      <c r="G1285" s="122">
        <f>'C'!AB94</f>
        <v>6</v>
      </c>
      <c r="H1285" s="133">
        <f>D!Z94</f>
        <v>8.83</v>
      </c>
      <c r="I1285" s="126">
        <f>D!AA94</f>
        <v>36897</v>
      </c>
      <c r="J1285" s="122">
        <f>D!AB94</f>
        <v>6</v>
      </c>
      <c r="K1285" s="133">
        <f>E!Z94</f>
        <v>8.7262833957235895</v>
      </c>
      <c r="L1285" s="127" t="str">
        <f>E!AA94</f>
        <v>01/06</v>
      </c>
      <c r="M1285" s="122" t="str">
        <f>E!AB94</f>
        <v>06:00</v>
      </c>
      <c r="N1285" s="139">
        <f>F!Z94</f>
        <v>8</v>
      </c>
      <c r="O1285" s="128">
        <f>F!AA94</f>
        <v>6</v>
      </c>
      <c r="P1285" s="350">
        <f>F!AB94</f>
        <v>5</v>
      </c>
      <c r="Q1285" s="139">
        <f>G!Z94</f>
        <v>6.99</v>
      </c>
      <c r="R1285" s="128">
        <f>G!AA94</f>
        <v>37627</v>
      </c>
      <c r="S1285" s="350">
        <f>G!AB94</f>
        <v>5</v>
      </c>
      <c r="T1285">
        <f>YD!Z94</f>
        <v>0</v>
      </c>
      <c r="U1285">
        <f>YD!AA94</f>
        <v>0</v>
      </c>
      <c r="V1285">
        <f>YD!AB94</f>
        <v>0</v>
      </c>
      <c r="W1285" s="2">
        <f>I!Z94</f>
        <v>0</v>
      </c>
      <c r="X1285" s="2">
        <f>I!AA94</f>
        <v>0</v>
      </c>
      <c r="Y1285" s="2">
        <f>I!AB94</f>
        <v>0</v>
      </c>
      <c r="Z1285" s="2">
        <f>J!Z94</f>
        <v>0</v>
      </c>
      <c r="AA1285" s="2">
        <f>J!AA94</f>
        <v>0</v>
      </c>
      <c r="AB1285" s="2">
        <f>J!AB94</f>
        <v>0</v>
      </c>
    </row>
    <row r="1286" spans="1:28">
      <c r="A1286" s="69" t="s">
        <v>108</v>
      </c>
      <c r="B1286" s="127">
        <f>B!Z95</f>
        <v>7.9299799999999996</v>
      </c>
      <c r="C1286" s="127" t="str">
        <f>B!AA95</f>
        <v>06-Jan</v>
      </c>
      <c r="D1286" s="122">
        <f>B!AB95</f>
        <v>6</v>
      </c>
      <c r="E1286" s="133">
        <f>'C'!Z95</f>
        <v>8.89</v>
      </c>
      <c r="F1286" s="126">
        <f>'C'!AA95</f>
        <v>36897</v>
      </c>
      <c r="G1286" s="122">
        <f>'C'!AB95</f>
        <v>6</v>
      </c>
      <c r="H1286" s="133">
        <f>D!Z95</f>
        <v>8.83</v>
      </c>
      <c r="I1286" s="126">
        <f>D!AA95</f>
        <v>36897</v>
      </c>
      <c r="J1286" s="122">
        <f>D!AB95</f>
        <v>6</v>
      </c>
      <c r="K1286" s="133">
        <f>E!Z95</f>
        <v>8.7264633127036095</v>
      </c>
      <c r="L1286" s="127" t="str">
        <f>E!AA95</f>
        <v>01/06</v>
      </c>
      <c r="M1286" s="122" t="str">
        <f>E!AB95</f>
        <v>06:00</v>
      </c>
      <c r="N1286" s="139">
        <f>F!Z95</f>
        <v>8</v>
      </c>
      <c r="O1286" s="128">
        <f>F!AA95</f>
        <v>6</v>
      </c>
      <c r="P1286" s="350">
        <f>F!AB95</f>
        <v>5</v>
      </c>
      <c r="Q1286" s="139">
        <f>G!Z95</f>
        <v>6.99</v>
      </c>
      <c r="R1286" s="128">
        <f>G!AA95</f>
        <v>37627</v>
      </c>
      <c r="S1286" s="350">
        <f>G!AB95</f>
        <v>5</v>
      </c>
      <c r="T1286">
        <f>YD!Z95</f>
        <v>0</v>
      </c>
      <c r="U1286">
        <f>YD!AA95</f>
        <v>0</v>
      </c>
      <c r="V1286">
        <f>YD!AB95</f>
        <v>0</v>
      </c>
      <c r="W1286" s="2">
        <f>I!Z95</f>
        <v>0</v>
      </c>
      <c r="X1286" s="2">
        <f>I!AA95</f>
        <v>0</v>
      </c>
      <c r="Y1286" s="2">
        <f>I!AB95</f>
        <v>0</v>
      </c>
      <c r="Z1286" s="2">
        <f>J!Z95</f>
        <v>0</v>
      </c>
      <c r="AA1286" s="2">
        <f>J!AA95</f>
        <v>0</v>
      </c>
      <c r="AB1286" s="2">
        <f>J!AB95</f>
        <v>0</v>
      </c>
    </row>
    <row r="1287" spans="1:28">
      <c r="A1287" s="69" t="s">
        <v>109</v>
      </c>
      <c r="B1287" s="127">
        <f>B!Z96</f>
        <v>7.9299799999999996</v>
      </c>
      <c r="C1287" s="127" t="str">
        <f>B!AA96</f>
        <v>06-Jan</v>
      </c>
      <c r="D1287" s="122">
        <f>B!AB96</f>
        <v>6</v>
      </c>
      <c r="E1287" s="133">
        <f>'C'!Z96</f>
        <v>8.89</v>
      </c>
      <c r="F1287" s="126">
        <f>'C'!AA96</f>
        <v>36897</v>
      </c>
      <c r="G1287" s="122">
        <f>'C'!AB96</f>
        <v>6</v>
      </c>
      <c r="H1287" s="133">
        <f>D!Z96</f>
        <v>8.83</v>
      </c>
      <c r="I1287" s="126">
        <f>D!AA96</f>
        <v>36897</v>
      </c>
      <c r="J1287" s="122">
        <f>D!AB96</f>
        <v>6</v>
      </c>
      <c r="K1287" s="133">
        <f>E!Z96</f>
        <v>8.7262833957235593</v>
      </c>
      <c r="L1287" s="127" t="str">
        <f>E!AA96</f>
        <v>01/06</v>
      </c>
      <c r="M1287" s="122" t="str">
        <f>E!AB96</f>
        <v>06:00</v>
      </c>
      <c r="N1287" s="139">
        <f>F!Z96</f>
        <v>0</v>
      </c>
      <c r="O1287" s="128">
        <f>F!AA96</f>
        <v>0</v>
      </c>
      <c r="P1287" s="350">
        <f>F!AB96</f>
        <v>0</v>
      </c>
      <c r="Q1287" s="139">
        <f>G!Z96</f>
        <v>6.99</v>
      </c>
      <c r="R1287" s="128">
        <f>G!AA96</f>
        <v>37627</v>
      </c>
      <c r="S1287" s="350">
        <f>G!AB96</f>
        <v>5</v>
      </c>
      <c r="T1287">
        <f>YD!Z96</f>
        <v>0</v>
      </c>
      <c r="U1287">
        <f>YD!AA96</f>
        <v>0</v>
      </c>
      <c r="V1287">
        <f>YD!AB96</f>
        <v>0</v>
      </c>
      <c r="W1287" s="2">
        <f>I!Z96</f>
        <v>0</v>
      </c>
      <c r="X1287" s="2">
        <f>I!AA96</f>
        <v>0</v>
      </c>
      <c r="Y1287" s="2">
        <f>I!AB96</f>
        <v>0</v>
      </c>
      <c r="Z1287" s="2">
        <f>J!Z96</f>
        <v>0</v>
      </c>
      <c r="AA1287" s="2">
        <f>J!AA96</f>
        <v>0</v>
      </c>
      <c r="AB1287" s="2">
        <f>J!AB96</f>
        <v>0</v>
      </c>
    </row>
    <row r="1288" spans="1:28">
      <c r="A1288" s="69" t="s">
        <v>111</v>
      </c>
      <c r="B1288" s="127">
        <f>B!Z97</f>
        <v>7.9299799999999996</v>
      </c>
      <c r="C1288" s="127" t="str">
        <f>B!AA97</f>
        <v>06-Jan</v>
      </c>
      <c r="D1288" s="122">
        <f>B!AB97</f>
        <v>6</v>
      </c>
      <c r="E1288" s="133">
        <f>'C'!Z97</f>
        <v>8.89</v>
      </c>
      <c r="F1288" s="126">
        <f>'C'!AA97</f>
        <v>36897</v>
      </c>
      <c r="G1288" s="122">
        <f>'C'!AB97</f>
        <v>6</v>
      </c>
      <c r="H1288" s="133">
        <f>D!Z97</f>
        <v>8.83</v>
      </c>
      <c r="I1288" s="126">
        <f>D!AA97</f>
        <v>36897</v>
      </c>
      <c r="J1288" s="122">
        <f>D!AB97</f>
        <v>6</v>
      </c>
      <c r="K1288" s="133">
        <f>E!Z97</f>
        <v>8.7262833957235593</v>
      </c>
      <c r="L1288" s="127" t="str">
        <f>E!AA97</f>
        <v>01/06</v>
      </c>
      <c r="M1288" s="122" t="str">
        <f>E!AB97</f>
        <v>06:00</v>
      </c>
      <c r="N1288" s="139">
        <f>F!Z97</f>
        <v>0</v>
      </c>
      <c r="O1288" s="128">
        <f>F!AA97</f>
        <v>0</v>
      </c>
      <c r="P1288" s="350">
        <f>F!AB97</f>
        <v>0</v>
      </c>
      <c r="Q1288" s="139">
        <f>G!Z97</f>
        <v>6.99</v>
      </c>
      <c r="R1288" s="128">
        <f>G!AA97</f>
        <v>37627</v>
      </c>
      <c r="S1288" s="350">
        <f>G!AB97</f>
        <v>5</v>
      </c>
      <c r="T1288">
        <f>YD!Z97</f>
        <v>0</v>
      </c>
      <c r="U1288">
        <f>YD!AA97</f>
        <v>0</v>
      </c>
      <c r="V1288">
        <f>YD!AB97</f>
        <v>0</v>
      </c>
      <c r="W1288" s="2">
        <f>I!Z97</f>
        <v>0</v>
      </c>
      <c r="X1288" s="2">
        <f>I!AA97</f>
        <v>0</v>
      </c>
      <c r="Y1288" s="2">
        <f>I!AB97</f>
        <v>0</v>
      </c>
      <c r="Z1288" s="2">
        <f>J!Z97</f>
        <v>0</v>
      </c>
      <c r="AA1288" s="2">
        <f>J!AA97</f>
        <v>0</v>
      </c>
      <c r="AB1288" s="2">
        <f>J!AB97</f>
        <v>0</v>
      </c>
    </row>
    <row r="1289" spans="1:28">
      <c r="A1289" s="69" t="s">
        <v>112</v>
      </c>
      <c r="B1289" s="127">
        <f>B!Z98</f>
        <v>7.9299799999999996</v>
      </c>
      <c r="C1289" s="127" t="str">
        <f>B!AA98</f>
        <v>06-Jan</v>
      </c>
      <c r="D1289" s="122">
        <f>B!AB98</f>
        <v>6</v>
      </c>
      <c r="E1289" s="133">
        <f>'C'!Z98</f>
        <v>8.89</v>
      </c>
      <c r="F1289" s="126">
        <f>'C'!AA98</f>
        <v>36897</v>
      </c>
      <c r="G1289" s="122">
        <f>'C'!AB98</f>
        <v>6</v>
      </c>
      <c r="H1289" s="133">
        <f>D!Z98</f>
        <v>8.83</v>
      </c>
      <c r="I1289" s="126">
        <f>D!AA98</f>
        <v>36897</v>
      </c>
      <c r="J1289" s="122">
        <f>D!AB98</f>
        <v>6</v>
      </c>
      <c r="K1289" s="133">
        <f>E!Z98</f>
        <v>8.7262833957235593</v>
      </c>
      <c r="L1289" s="127" t="str">
        <f>E!AA98</f>
        <v>01/06</v>
      </c>
      <c r="M1289" s="122" t="str">
        <f>E!AB98</f>
        <v>06:00</v>
      </c>
      <c r="N1289" s="139">
        <f>F!Z98</f>
        <v>0</v>
      </c>
      <c r="O1289" s="128">
        <f>F!AA98</f>
        <v>0</v>
      </c>
      <c r="P1289" s="350">
        <f>F!AB98</f>
        <v>0</v>
      </c>
      <c r="Q1289" s="139">
        <f>G!Z98</f>
        <v>6.99</v>
      </c>
      <c r="R1289" s="128">
        <f>G!AA98</f>
        <v>37627</v>
      </c>
      <c r="S1289" s="350">
        <f>G!AB98</f>
        <v>5</v>
      </c>
      <c r="T1289">
        <f>YD!Z98</f>
        <v>0</v>
      </c>
      <c r="U1289">
        <f>YD!AA98</f>
        <v>0</v>
      </c>
      <c r="V1289">
        <f>YD!AB98</f>
        <v>0</v>
      </c>
      <c r="W1289" s="2">
        <f>I!Z98</f>
        <v>0</v>
      </c>
      <c r="X1289" s="2">
        <f>I!AA98</f>
        <v>0</v>
      </c>
      <c r="Y1289" s="2">
        <f>I!AB98</f>
        <v>0</v>
      </c>
      <c r="Z1289" s="2">
        <f>J!Z98</f>
        <v>0</v>
      </c>
      <c r="AA1289" s="2">
        <f>J!AA98</f>
        <v>0</v>
      </c>
      <c r="AB1289" s="2">
        <f>J!AB98</f>
        <v>0</v>
      </c>
    </row>
    <row r="1290" spans="1:28">
      <c r="A1290" s="69" t="s">
        <v>113</v>
      </c>
      <c r="B1290" s="127">
        <f>B!Z99</f>
        <v>7.9299799999999996</v>
      </c>
      <c r="C1290" s="127" t="str">
        <f>B!AA99</f>
        <v>06-Jan</v>
      </c>
      <c r="D1290" s="122">
        <f>B!AB99</f>
        <v>6</v>
      </c>
      <c r="E1290" s="133">
        <f>'C'!Z99</f>
        <v>8.89</v>
      </c>
      <c r="F1290" s="126">
        <f>'C'!AA99</f>
        <v>36897</v>
      </c>
      <c r="G1290" s="122">
        <f>'C'!AB99</f>
        <v>6</v>
      </c>
      <c r="H1290" s="133">
        <f>D!Z99</f>
        <v>8.83</v>
      </c>
      <c r="I1290" s="126">
        <f>D!AA99</f>
        <v>36897</v>
      </c>
      <c r="J1290" s="122">
        <f>D!AB99</f>
        <v>6</v>
      </c>
      <c r="K1290" s="133">
        <f>E!Z99</f>
        <v>8.7262833957235593</v>
      </c>
      <c r="L1290" s="127" t="str">
        <f>E!AA99</f>
        <v>01/06</v>
      </c>
      <c r="M1290" s="122" t="str">
        <f>E!AB99</f>
        <v>06:00</v>
      </c>
      <c r="N1290" s="139">
        <f>F!Z99</f>
        <v>0</v>
      </c>
      <c r="O1290" s="128">
        <f>F!AA99</f>
        <v>0</v>
      </c>
      <c r="P1290" s="350">
        <f>F!AB99</f>
        <v>0</v>
      </c>
      <c r="Q1290" s="139">
        <f>G!Z99</f>
        <v>6.99</v>
      </c>
      <c r="R1290" s="128">
        <f>G!AA99</f>
        <v>37627</v>
      </c>
      <c r="S1290" s="350">
        <f>G!AB99</f>
        <v>5</v>
      </c>
      <c r="T1290">
        <f>YD!Z99</f>
        <v>0</v>
      </c>
      <c r="U1290">
        <f>YD!AA99</f>
        <v>0</v>
      </c>
      <c r="V1290">
        <f>YD!AB99</f>
        <v>0</v>
      </c>
      <c r="W1290" s="2">
        <f>I!Z99</f>
        <v>0</v>
      </c>
      <c r="X1290" s="2">
        <f>I!AA99</f>
        <v>0</v>
      </c>
      <c r="Y1290" s="2">
        <f>I!AB99</f>
        <v>0</v>
      </c>
      <c r="Z1290" s="2">
        <f>J!Z99</f>
        <v>0</v>
      </c>
      <c r="AA1290" s="2">
        <f>J!AA99</f>
        <v>0</v>
      </c>
      <c r="AB1290" s="2">
        <f>J!AB99</f>
        <v>0</v>
      </c>
    </row>
    <row r="1291" spans="1:28">
      <c r="A1291" s="69" t="s">
        <v>114</v>
      </c>
      <c r="B1291" s="127">
        <f>B!Z100</f>
        <v>7.9299799999999996</v>
      </c>
      <c r="C1291" s="127" t="str">
        <f>B!AA100</f>
        <v>06-Jan</v>
      </c>
      <c r="D1291" s="122">
        <f>B!AB100</f>
        <v>6</v>
      </c>
      <c r="E1291" s="133">
        <f>'C'!Z100</f>
        <v>8.89</v>
      </c>
      <c r="F1291" s="126">
        <f>'C'!AA100</f>
        <v>36897</v>
      </c>
      <c r="G1291" s="122">
        <f>'C'!AB100</f>
        <v>6</v>
      </c>
      <c r="H1291" s="133">
        <f>D!Z100</f>
        <v>8.83</v>
      </c>
      <c r="I1291" s="126">
        <f>D!AA100</f>
        <v>36897</v>
      </c>
      <c r="J1291" s="122">
        <f>D!AB100</f>
        <v>6</v>
      </c>
      <c r="K1291" s="133">
        <f>E!Z100</f>
        <v>8.7262833957235593</v>
      </c>
      <c r="L1291" s="127" t="str">
        <f>E!AA100</f>
        <v>01/06</v>
      </c>
      <c r="M1291" s="122" t="str">
        <f>E!AB100</f>
        <v>06:00</v>
      </c>
      <c r="N1291" s="139">
        <f>F!Z100</f>
        <v>0</v>
      </c>
      <c r="O1291" s="128">
        <f>F!AA100</f>
        <v>0</v>
      </c>
      <c r="P1291" s="350">
        <f>F!AB100</f>
        <v>0</v>
      </c>
      <c r="Q1291" s="139">
        <f>G!Z100</f>
        <v>7</v>
      </c>
      <c r="R1291" s="128">
        <f>G!AA100</f>
        <v>37627</v>
      </c>
      <c r="S1291" s="350">
        <f>G!AB100</f>
        <v>5</v>
      </c>
      <c r="T1291">
        <f>YD!Z100</f>
        <v>0</v>
      </c>
      <c r="U1291">
        <f>YD!AA100</f>
        <v>0</v>
      </c>
      <c r="V1291">
        <f>YD!AB100</f>
        <v>0</v>
      </c>
      <c r="W1291" s="2">
        <f>I!Z100</f>
        <v>0</v>
      </c>
      <c r="X1291" s="2">
        <f>I!AA100</f>
        <v>0</v>
      </c>
      <c r="Y1291" s="2">
        <f>I!AB100</f>
        <v>0</v>
      </c>
      <c r="Z1291" s="2">
        <f>J!Z100</f>
        <v>0</v>
      </c>
      <c r="AA1291" s="2">
        <f>J!AA100</f>
        <v>0</v>
      </c>
      <c r="AB1291" s="2">
        <f>J!AB100</f>
        <v>0</v>
      </c>
    </row>
    <row r="1292" spans="1:28">
      <c r="A1292" s="69" t="s">
        <v>115</v>
      </c>
      <c r="B1292" s="127">
        <f>B!Z101</f>
        <v>8.4270099999999992</v>
      </c>
      <c r="C1292" s="127" t="str">
        <f>B!AA101</f>
        <v>20-Dec</v>
      </c>
      <c r="D1292" s="122">
        <f>B!AB101</f>
        <v>22</v>
      </c>
      <c r="E1292" s="133">
        <f>'C'!Z101</f>
        <v>8.17</v>
      </c>
      <c r="F1292" s="126">
        <f>'C'!AA101</f>
        <v>38341</v>
      </c>
      <c r="G1292" s="122">
        <f>'C'!AB101</f>
        <v>12</v>
      </c>
      <c r="H1292" s="133">
        <f>D!Z101</f>
        <v>7.94</v>
      </c>
      <c r="I1292" s="126">
        <f>D!AA101</f>
        <v>37975</v>
      </c>
      <c r="J1292" s="122">
        <f>D!AB101</f>
        <v>11</v>
      </c>
      <c r="K1292" s="133">
        <f>E!Z101</f>
        <v>8.8363228331094898</v>
      </c>
      <c r="L1292" s="127" t="str">
        <f>E!AA101</f>
        <v>12/21</v>
      </c>
      <c r="M1292" s="122" t="str">
        <f>E!AB101</f>
        <v>01:00</v>
      </c>
      <c r="N1292" s="139">
        <f>F!Z101</f>
        <v>8.5399999999999991</v>
      </c>
      <c r="O1292" s="128">
        <f>F!AA101</f>
        <v>355</v>
      </c>
      <c r="P1292" s="350">
        <f>F!AB101</f>
        <v>20</v>
      </c>
      <c r="Q1292" s="139">
        <f>G!Z101</f>
        <v>24.04</v>
      </c>
      <c r="R1292" s="128">
        <f>G!AA101</f>
        <v>37726</v>
      </c>
      <c r="S1292" s="350">
        <f>G!AB101</f>
        <v>5</v>
      </c>
      <c r="T1292">
        <f>YD!Z101</f>
        <v>0</v>
      </c>
      <c r="U1292">
        <f>YD!AA101</f>
        <v>0</v>
      </c>
      <c r="V1292">
        <f>YD!AB101</f>
        <v>0</v>
      </c>
      <c r="W1292" s="2">
        <f>I!Z101</f>
        <v>0</v>
      </c>
      <c r="X1292" s="2">
        <f>I!AA101</f>
        <v>0</v>
      </c>
      <c r="Y1292" s="2">
        <f>I!AB101</f>
        <v>0</v>
      </c>
      <c r="Z1292" s="2">
        <f>J!Z101</f>
        <v>0</v>
      </c>
      <c r="AA1292" s="2">
        <f>J!AA101</f>
        <v>0</v>
      </c>
      <c r="AB1292" s="2">
        <f>J!AB101</f>
        <v>0</v>
      </c>
    </row>
    <row r="1293" spans="1:28">
      <c r="A1293" s="69" t="s">
        <v>121</v>
      </c>
      <c r="B1293" s="127">
        <f>B!Z102</f>
        <v>8.4270099999999992</v>
      </c>
      <c r="C1293" s="127" t="str">
        <f>B!AA102</f>
        <v>20-Dec</v>
      </c>
      <c r="D1293" s="122">
        <f>B!AB102</f>
        <v>22</v>
      </c>
      <c r="E1293" s="133">
        <f>'C'!Z102</f>
        <v>8.17</v>
      </c>
      <c r="F1293" s="126">
        <f>'C'!AA102</f>
        <v>38341</v>
      </c>
      <c r="G1293" s="122">
        <f>'C'!AB102</f>
        <v>12</v>
      </c>
      <c r="H1293" s="133">
        <f>D!Z102</f>
        <v>7.94</v>
      </c>
      <c r="I1293" s="126">
        <f>D!AA102</f>
        <v>37975</v>
      </c>
      <c r="J1293" s="122">
        <f>D!AB102</f>
        <v>11</v>
      </c>
      <c r="K1293" s="133">
        <f>E!Z102</f>
        <v>8.8363228424112794</v>
      </c>
      <c r="L1293" s="127" t="str">
        <f>E!AA102</f>
        <v>12/21</v>
      </c>
      <c r="M1293" s="122" t="str">
        <f>E!AB102</f>
        <v>01:00</v>
      </c>
      <c r="N1293" s="139">
        <f>F!Z102</f>
        <v>8.5399999999999991</v>
      </c>
      <c r="O1293" s="128">
        <f>F!AA102</f>
        <v>355</v>
      </c>
      <c r="P1293" s="350">
        <f>F!AB102</f>
        <v>20</v>
      </c>
      <c r="Q1293" s="139">
        <f>G!Z102</f>
        <v>24.04</v>
      </c>
      <c r="R1293" s="128">
        <f>G!AA102</f>
        <v>37726</v>
      </c>
      <c r="S1293" s="350">
        <f>G!AB102</f>
        <v>5</v>
      </c>
      <c r="T1293">
        <f>YD!Z102</f>
        <v>0</v>
      </c>
      <c r="U1293">
        <f>YD!AA102</f>
        <v>0</v>
      </c>
      <c r="V1293">
        <f>YD!AB102</f>
        <v>0</v>
      </c>
      <c r="W1293" s="2">
        <f>I!Z102</f>
        <v>0</v>
      </c>
      <c r="X1293" s="2">
        <f>I!AA102</f>
        <v>0</v>
      </c>
      <c r="Y1293" s="2">
        <f>I!AB102</f>
        <v>0</v>
      </c>
      <c r="Z1293" s="2">
        <f>J!Z102</f>
        <v>0</v>
      </c>
      <c r="AA1293" s="2">
        <f>J!AA102</f>
        <v>0</v>
      </c>
      <c r="AB1293" s="2">
        <f>J!AB102</f>
        <v>0</v>
      </c>
    </row>
    <row r="1294" spans="1:28">
      <c r="A1294" s="69" t="s">
        <v>125</v>
      </c>
      <c r="B1294" s="127">
        <f>B!Z103</f>
        <v>8.3052600000000005</v>
      </c>
      <c r="C1294" s="127" t="str">
        <f>B!AA103</f>
        <v>20-Dec</v>
      </c>
      <c r="D1294" s="122">
        <f>B!AB103</f>
        <v>22</v>
      </c>
      <c r="E1294" s="133">
        <f>'C'!Z103</f>
        <v>8.11</v>
      </c>
      <c r="F1294" s="126">
        <f>'C'!AA103</f>
        <v>38341</v>
      </c>
      <c r="G1294" s="122">
        <f>'C'!AB103</f>
        <v>12</v>
      </c>
      <c r="H1294" s="133">
        <f>D!Z103</f>
        <v>7.89</v>
      </c>
      <c r="I1294" s="126">
        <f>D!AA103</f>
        <v>37975</v>
      </c>
      <c r="J1294" s="122">
        <f>D!AB103</f>
        <v>12</v>
      </c>
      <c r="K1294" s="133">
        <f>E!Z103</f>
        <v>8.7329520948337294</v>
      </c>
      <c r="L1294" s="127" t="str">
        <f>E!AA103</f>
        <v>12/21</v>
      </c>
      <c r="M1294" s="122" t="str">
        <f>E!AB103</f>
        <v>01:00</v>
      </c>
      <c r="N1294" s="139">
        <f>F!Z103</f>
        <v>8.51</v>
      </c>
      <c r="O1294" s="128">
        <f>F!AA103</f>
        <v>355</v>
      </c>
      <c r="P1294" s="350">
        <f>F!AB103</f>
        <v>20</v>
      </c>
      <c r="Q1294" s="139">
        <f>G!Z103</f>
        <v>13.57</v>
      </c>
      <c r="R1294" s="128">
        <f>G!AA103</f>
        <v>37926</v>
      </c>
      <c r="S1294" s="350">
        <f>G!AB103</f>
        <v>7</v>
      </c>
      <c r="T1294">
        <f>YD!Z103</f>
        <v>0</v>
      </c>
      <c r="U1294">
        <f>YD!AA103</f>
        <v>0</v>
      </c>
      <c r="V1294">
        <f>YD!AB103</f>
        <v>0</v>
      </c>
      <c r="W1294" s="2">
        <f>I!Z103</f>
        <v>0</v>
      </c>
      <c r="X1294" s="2">
        <f>I!AA103</f>
        <v>0</v>
      </c>
      <c r="Y1294" s="2">
        <f>I!AB103</f>
        <v>0</v>
      </c>
      <c r="Z1294" s="2">
        <f>J!Z103</f>
        <v>0</v>
      </c>
      <c r="AA1294" s="2">
        <f>J!AA103</f>
        <v>0</v>
      </c>
      <c r="AB1294" s="2">
        <f>J!AB103</f>
        <v>0</v>
      </c>
    </row>
    <row r="1295" spans="1:28">
      <c r="A1295" s="69" t="s">
        <v>127</v>
      </c>
      <c r="B1295" s="127">
        <f>B!Z104</f>
        <v>8.4140999999999995</v>
      </c>
      <c r="C1295" s="127" t="str">
        <f>B!AA104</f>
        <v>20-Dec</v>
      </c>
      <c r="D1295" s="122">
        <f>B!AB104</f>
        <v>22</v>
      </c>
      <c r="E1295" s="133">
        <f>'C'!Z104</f>
        <v>8.17</v>
      </c>
      <c r="F1295" s="126">
        <f>'C'!AA104</f>
        <v>38341</v>
      </c>
      <c r="G1295" s="122">
        <f>'C'!AB104</f>
        <v>12</v>
      </c>
      <c r="H1295" s="133">
        <f>D!Z104</f>
        <v>7.94</v>
      </c>
      <c r="I1295" s="126">
        <f>D!AA104</f>
        <v>37975</v>
      </c>
      <c r="J1295" s="122">
        <f>D!AB104</f>
        <v>11</v>
      </c>
      <c r="K1295" s="133">
        <f>E!Z104</f>
        <v>8.7910868675373006</v>
      </c>
      <c r="L1295" s="127" t="str">
        <f>E!AA104</f>
        <v>12/21</v>
      </c>
      <c r="M1295" s="122" t="str">
        <f>E!AB104</f>
        <v>01:00</v>
      </c>
      <c r="N1295" s="139">
        <f>F!Z104</f>
        <v>8.5399999999999991</v>
      </c>
      <c r="O1295" s="128">
        <f>F!AA104</f>
        <v>355</v>
      </c>
      <c r="P1295" s="350">
        <f>F!AB104</f>
        <v>20</v>
      </c>
      <c r="Q1295" s="139">
        <f>G!Z104</f>
        <v>15.98</v>
      </c>
      <c r="R1295" s="128">
        <f>G!AA104</f>
        <v>37723</v>
      </c>
      <c r="S1295" s="350">
        <f>G!AB104</f>
        <v>19</v>
      </c>
      <c r="T1295">
        <f>YD!Z104</f>
        <v>0</v>
      </c>
      <c r="U1295">
        <f>YD!AA104</f>
        <v>0</v>
      </c>
      <c r="V1295">
        <f>YD!AB104</f>
        <v>0</v>
      </c>
      <c r="W1295" s="2">
        <f>I!Z104</f>
        <v>0</v>
      </c>
      <c r="X1295" s="2">
        <f>I!AA104</f>
        <v>0</v>
      </c>
      <c r="Y1295" s="2">
        <f>I!AB104</f>
        <v>0</v>
      </c>
      <c r="Z1295" s="2">
        <f>J!Z104</f>
        <v>0</v>
      </c>
      <c r="AA1295" s="2">
        <f>J!AA104</f>
        <v>0</v>
      </c>
      <c r="AB1295" s="2">
        <f>J!AB104</f>
        <v>0</v>
      </c>
    </row>
    <row r="1296" spans="1:28">
      <c r="A1296" s="69" t="s">
        <v>130</v>
      </c>
      <c r="B1296" s="127">
        <f>B!Z105</f>
        <v>8.4441500000000005</v>
      </c>
      <c r="C1296" s="127" t="str">
        <f>B!AA105</f>
        <v>20-Dec</v>
      </c>
      <c r="D1296" s="122">
        <f>B!AB105</f>
        <v>22</v>
      </c>
      <c r="E1296" s="133">
        <f>'C'!Z105</f>
        <v>8.17</v>
      </c>
      <c r="F1296" s="126">
        <f>'C'!AA105</f>
        <v>38341</v>
      </c>
      <c r="G1296" s="122">
        <f>'C'!AB105</f>
        <v>13</v>
      </c>
      <c r="H1296" s="133">
        <f>D!Z105</f>
        <v>7.94</v>
      </c>
      <c r="I1296" s="126">
        <f>D!AA105</f>
        <v>37975</v>
      </c>
      <c r="J1296" s="122">
        <f>D!AB105</f>
        <v>12</v>
      </c>
      <c r="K1296" s="133">
        <f>E!Z105</f>
        <v>8.9123428144218799</v>
      </c>
      <c r="L1296" s="127" t="str">
        <f>E!AA105</f>
        <v>12/21</v>
      </c>
      <c r="M1296" s="122" t="str">
        <f>E!AB105</f>
        <v>01:00</v>
      </c>
      <c r="N1296" s="139">
        <f>F!Z105</f>
        <v>8.5399999999999991</v>
      </c>
      <c r="O1296" s="128">
        <f>F!AA105</f>
        <v>355</v>
      </c>
      <c r="P1296" s="350">
        <f>F!AB105</f>
        <v>20</v>
      </c>
      <c r="Q1296" s="139">
        <f>G!Z105</f>
        <v>33.01</v>
      </c>
      <c r="R1296" s="128">
        <f>G!AA105</f>
        <v>37712</v>
      </c>
      <c r="S1296" s="350">
        <f>G!AB105</f>
        <v>8</v>
      </c>
      <c r="T1296">
        <f>YD!Z105</f>
        <v>0</v>
      </c>
      <c r="U1296">
        <f>YD!AA105</f>
        <v>0</v>
      </c>
      <c r="V1296">
        <f>YD!AB105</f>
        <v>0</v>
      </c>
      <c r="W1296" s="2">
        <f>I!Z105</f>
        <v>0</v>
      </c>
      <c r="X1296" s="2">
        <f>I!AA105</f>
        <v>0</v>
      </c>
      <c r="Y1296" s="2">
        <f>I!AB105</f>
        <v>0</v>
      </c>
      <c r="Z1296" s="2">
        <f>J!Z105</f>
        <v>0</v>
      </c>
      <c r="AA1296" s="2">
        <f>J!AA105</f>
        <v>0</v>
      </c>
      <c r="AB1296" s="2">
        <f>J!AB105</f>
        <v>0</v>
      </c>
    </row>
    <row r="1297" spans="1:28">
      <c r="A1297" s="69" t="s">
        <v>132</v>
      </c>
      <c r="B1297" s="127">
        <f>B!Z106</f>
        <v>8.4215</v>
      </c>
      <c r="C1297" s="127" t="str">
        <f>B!AA106</f>
        <v>20-Dec</v>
      </c>
      <c r="D1297" s="122">
        <f>B!AB106</f>
        <v>22</v>
      </c>
      <c r="E1297" s="133">
        <f>'C'!Z106</f>
        <v>8.17</v>
      </c>
      <c r="F1297" s="126">
        <f>'C'!AA106</f>
        <v>38341</v>
      </c>
      <c r="G1297" s="122">
        <f>'C'!AB106</f>
        <v>12</v>
      </c>
      <c r="H1297" s="133">
        <f>D!Z106</f>
        <v>7.94</v>
      </c>
      <c r="I1297" s="126">
        <f>D!AA106</f>
        <v>37975</v>
      </c>
      <c r="J1297" s="122">
        <f>D!AB106</f>
        <v>11</v>
      </c>
      <c r="K1297" s="133">
        <f>E!Z106</f>
        <v>8.9817083115594407</v>
      </c>
      <c r="L1297" s="127" t="str">
        <f>E!AA106</f>
        <v>12/21</v>
      </c>
      <c r="M1297" s="122" t="str">
        <f>E!AB106</f>
        <v>02:00</v>
      </c>
      <c r="N1297" s="139">
        <f>F!Z106</f>
        <v>8.5399999999999991</v>
      </c>
      <c r="O1297" s="128">
        <f>F!AA106</f>
        <v>355</v>
      </c>
      <c r="P1297" s="350">
        <f>F!AB106</f>
        <v>20</v>
      </c>
      <c r="Q1297" s="139">
        <f>G!Z106</f>
        <v>24.04</v>
      </c>
      <c r="R1297" s="128">
        <f>G!AA106</f>
        <v>37726</v>
      </c>
      <c r="S1297" s="350">
        <f>G!AB106</f>
        <v>5</v>
      </c>
      <c r="T1297">
        <f>YD!Z106</f>
        <v>0</v>
      </c>
      <c r="U1297">
        <f>YD!AA106</f>
        <v>0</v>
      </c>
      <c r="V1297">
        <f>YD!AB106</f>
        <v>0</v>
      </c>
      <c r="W1297" s="2">
        <f>I!Z106</f>
        <v>0</v>
      </c>
      <c r="X1297" s="2">
        <f>I!AA106</f>
        <v>0</v>
      </c>
      <c r="Y1297" s="2">
        <f>I!AB106</f>
        <v>0</v>
      </c>
      <c r="Z1297" s="2">
        <f>J!Z106</f>
        <v>0</v>
      </c>
      <c r="AA1297" s="2">
        <f>J!AA106</f>
        <v>0</v>
      </c>
      <c r="AB1297" s="2">
        <f>J!AB106</f>
        <v>0</v>
      </c>
    </row>
    <row r="1298" spans="1:28">
      <c r="A1298" s="69" t="s">
        <v>135</v>
      </c>
      <c r="B1298" s="127">
        <f>B!Z107</f>
        <v>8.2277799999999992</v>
      </c>
      <c r="C1298" s="127" t="str">
        <f>B!AA107</f>
        <v>20-Dec</v>
      </c>
      <c r="D1298" s="122">
        <f>B!AB107</f>
        <v>22</v>
      </c>
      <c r="E1298" s="133">
        <f>'C'!Z107</f>
        <v>8.11</v>
      </c>
      <c r="F1298" s="126">
        <f>'C'!AA107</f>
        <v>38341</v>
      </c>
      <c r="G1298" s="122">
        <f>'C'!AB107</f>
        <v>12</v>
      </c>
      <c r="H1298" s="133">
        <f>D!Z107</f>
        <v>7.89</v>
      </c>
      <c r="I1298" s="126">
        <f>D!AA107</f>
        <v>37975</v>
      </c>
      <c r="J1298" s="122">
        <f>D!AB107</f>
        <v>12</v>
      </c>
      <c r="K1298" s="133">
        <f>E!Z107</f>
        <v>8.8774926192274499</v>
      </c>
      <c r="L1298" s="127" t="str">
        <f>E!AA107</f>
        <v>12/21</v>
      </c>
      <c r="M1298" s="122" t="str">
        <f>E!AB107</f>
        <v>01:00</v>
      </c>
      <c r="N1298" s="139">
        <f>F!Z107</f>
        <v>8.51</v>
      </c>
      <c r="O1298" s="128">
        <f>F!AA107</f>
        <v>355</v>
      </c>
      <c r="P1298" s="350">
        <f>F!AB107</f>
        <v>20</v>
      </c>
      <c r="Q1298" s="139">
        <f>G!Z107</f>
        <v>14.95</v>
      </c>
      <c r="R1298" s="128">
        <f>G!AA107</f>
        <v>37974</v>
      </c>
      <c r="S1298" s="350">
        <f>G!AB107</f>
        <v>1</v>
      </c>
      <c r="T1298">
        <f>YD!Z107</f>
        <v>0</v>
      </c>
      <c r="U1298">
        <f>YD!AA107</f>
        <v>0</v>
      </c>
      <c r="V1298">
        <f>YD!AB107</f>
        <v>0</v>
      </c>
      <c r="W1298" s="2">
        <f>I!Z107</f>
        <v>0</v>
      </c>
      <c r="X1298" s="2">
        <f>I!AA107</f>
        <v>0</v>
      </c>
      <c r="Y1298" s="2">
        <f>I!AB107</f>
        <v>0</v>
      </c>
      <c r="Z1298" s="2">
        <f>J!Z107</f>
        <v>0</v>
      </c>
      <c r="AA1298" s="2">
        <f>J!AA107</f>
        <v>0</v>
      </c>
      <c r="AB1298" s="2">
        <f>J!AB107</f>
        <v>0</v>
      </c>
    </row>
    <row r="1299" spans="1:28">
      <c r="A1299" s="70" t="s">
        <v>138</v>
      </c>
      <c r="B1299" s="127">
        <f>B!Z108</f>
        <v>8.4485600000000005</v>
      </c>
      <c r="C1299" s="127" t="str">
        <f>B!AA108</f>
        <v>20-Dec</v>
      </c>
      <c r="D1299" s="122">
        <f>B!AB108</f>
        <v>22</v>
      </c>
      <c r="E1299" s="133">
        <f>'C'!Z108</f>
        <v>8.17</v>
      </c>
      <c r="F1299" s="126">
        <f>'C'!AA108</f>
        <v>38341</v>
      </c>
      <c r="G1299" s="122">
        <f>'C'!AB108</f>
        <v>13</v>
      </c>
      <c r="H1299" s="133">
        <f>D!Z108</f>
        <v>7.94</v>
      </c>
      <c r="I1299" s="126">
        <f>D!AA108</f>
        <v>37975</v>
      </c>
      <c r="J1299" s="122">
        <f>D!AB108</f>
        <v>12</v>
      </c>
      <c r="K1299" s="133">
        <f>E!Z108</f>
        <v>9.0584269973109208</v>
      </c>
      <c r="L1299" s="127" t="str">
        <f>E!AA108</f>
        <v>12/21</v>
      </c>
      <c r="M1299" s="122" t="str">
        <f>E!AB108</f>
        <v>02:00</v>
      </c>
      <c r="N1299" s="139">
        <f>F!Z108</f>
        <v>8.5399999999999991</v>
      </c>
      <c r="O1299" s="128">
        <f>F!AA108</f>
        <v>355</v>
      </c>
      <c r="P1299" s="350">
        <f>F!AB108</f>
        <v>20</v>
      </c>
      <c r="Q1299" s="139">
        <f>G!Z108</f>
        <v>33.01</v>
      </c>
      <c r="R1299" s="128">
        <f>G!AA108</f>
        <v>37712</v>
      </c>
      <c r="S1299" s="350">
        <f>G!AB108</f>
        <v>8</v>
      </c>
      <c r="T1299">
        <f>YD!Z108</f>
        <v>0</v>
      </c>
      <c r="U1299">
        <f>YD!AA108</f>
        <v>0</v>
      </c>
      <c r="V1299">
        <f>YD!AB108</f>
        <v>0</v>
      </c>
      <c r="W1299" s="2">
        <f>I!Z108</f>
        <v>0</v>
      </c>
      <c r="X1299" s="2">
        <f>I!AA108</f>
        <v>0</v>
      </c>
      <c r="Y1299" s="2">
        <f>I!AB108</f>
        <v>0</v>
      </c>
      <c r="Z1299" s="2">
        <f>J!Z108</f>
        <v>0</v>
      </c>
      <c r="AA1299" s="2">
        <f>J!AA108</f>
        <v>0</v>
      </c>
      <c r="AB1299" s="2">
        <f>J!AB108</f>
        <v>0</v>
      </c>
    </row>
    <row r="1300" spans="1:28">
      <c r="A1300" s="15"/>
      <c r="B1300" s="16"/>
      <c r="C1300" s="16"/>
      <c r="D1300" s="115"/>
      <c r="E1300" s="134"/>
      <c r="F1300" s="129"/>
      <c r="G1300" s="115"/>
      <c r="H1300" s="134"/>
      <c r="I1300" s="129"/>
      <c r="J1300" s="115"/>
      <c r="K1300" s="134"/>
      <c r="L1300" s="16"/>
      <c r="M1300" s="115"/>
      <c r="N1300" s="132"/>
      <c r="P1300" s="116"/>
      <c r="Q1300" s="132"/>
      <c r="R1300" s="2"/>
      <c r="S1300" s="115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15"/>
      <c r="E1301" s="134"/>
      <c r="F1301" s="129"/>
      <c r="G1301" s="115"/>
      <c r="H1301" s="134"/>
      <c r="I1301" s="129"/>
      <c r="J1301" s="115"/>
      <c r="K1301" s="134"/>
      <c r="L1301" s="16"/>
      <c r="M1301" s="115"/>
      <c r="N1301" s="132"/>
      <c r="P1301" s="116"/>
      <c r="Q1301" s="132"/>
      <c r="R1301" s="2"/>
      <c r="S1301" s="115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15"/>
      <c r="E1302" s="134"/>
      <c r="F1302" s="129"/>
      <c r="G1302" s="115"/>
      <c r="H1302" s="134"/>
      <c r="I1302" s="129"/>
      <c r="J1302" s="115"/>
      <c r="K1302" s="134"/>
      <c r="L1302" s="16"/>
      <c r="M1302" s="115"/>
      <c r="N1302" s="132"/>
      <c r="P1302" s="116"/>
      <c r="Q1302" s="132"/>
      <c r="R1302" s="2"/>
      <c r="S1302" s="115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15"/>
      <c r="E1303" s="134"/>
      <c r="F1303" s="129"/>
      <c r="G1303" s="115"/>
      <c r="H1303" s="134"/>
      <c r="I1303" s="129"/>
      <c r="J1303" s="115"/>
      <c r="K1303" s="134"/>
      <c r="L1303" s="16"/>
      <c r="M1303" s="115"/>
      <c r="N1303" s="132"/>
      <c r="P1303" s="116"/>
      <c r="Q1303" s="132"/>
      <c r="R1303" s="2"/>
      <c r="S1303" s="115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15"/>
      <c r="E1304" s="134"/>
      <c r="F1304" s="129"/>
      <c r="G1304" s="115"/>
      <c r="H1304" s="134"/>
      <c r="I1304" s="129"/>
      <c r="J1304" s="115"/>
      <c r="K1304" s="134"/>
      <c r="L1304" s="16"/>
      <c r="M1304" s="115"/>
      <c r="N1304" s="132"/>
      <c r="P1304" s="116"/>
      <c r="Q1304" s="132"/>
      <c r="R1304" s="2"/>
      <c r="S1304" s="115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15"/>
      <c r="E1305" s="134"/>
      <c r="F1305" s="129"/>
      <c r="G1305" s="115"/>
      <c r="H1305" s="134"/>
      <c r="I1305" s="129"/>
      <c r="J1305" s="115"/>
      <c r="K1305" s="134"/>
      <c r="L1305" s="16"/>
      <c r="M1305" s="115"/>
      <c r="N1305" s="132"/>
      <c r="P1305" s="116"/>
      <c r="Q1305" s="132"/>
      <c r="R1305" s="2"/>
      <c r="S1305" s="115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15"/>
      <c r="E1306" s="134"/>
      <c r="F1306" s="129"/>
      <c r="G1306" s="115"/>
      <c r="H1306" s="134"/>
      <c r="I1306" s="129"/>
      <c r="J1306" s="115"/>
      <c r="K1306" s="134"/>
      <c r="L1306" s="16"/>
      <c r="M1306" s="115"/>
      <c r="N1306" s="132"/>
      <c r="P1306" s="116"/>
      <c r="Q1306" s="132"/>
      <c r="R1306" s="2"/>
      <c r="S1306" s="115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253</v>
      </c>
      <c r="B1307" s="39"/>
      <c r="C1307" s="12"/>
      <c r="D1307" s="115"/>
      <c r="E1307" s="131"/>
      <c r="F1307" s="126"/>
      <c r="G1307" s="122"/>
      <c r="H1307" s="137"/>
      <c r="I1307" s="126"/>
      <c r="J1307" s="122"/>
      <c r="K1307" s="137"/>
      <c r="L1307" s="121"/>
      <c r="M1307" s="122"/>
      <c r="N1307" s="132"/>
      <c r="O1307" s="120"/>
      <c r="P1307" s="350"/>
      <c r="Q1307" s="132"/>
      <c r="R1307" s="121"/>
      <c r="S1307" s="12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6"/>
      <c r="E1308" s="10"/>
      <c r="F1308" s="120"/>
      <c r="G1308" s="350"/>
      <c r="H1308" s="130"/>
      <c r="I1308" s="121"/>
      <c r="J1308" s="122"/>
      <c r="K1308" s="10"/>
      <c r="L1308" s="121"/>
      <c r="M1308" s="122"/>
      <c r="N1308" s="10"/>
      <c r="O1308" s="120"/>
      <c r="P1308" s="350"/>
      <c r="Q1308" s="132"/>
      <c r="R1308" s="121"/>
      <c r="S1308" s="122"/>
      <c r="V1308" s="2"/>
      <c r="W1308" s="2"/>
      <c r="X1308" s="2"/>
      <c r="Y1308" s="2"/>
      <c r="Z1308" s="2"/>
      <c r="AA1308" s="2"/>
      <c r="AB1308" s="2"/>
    </row>
    <row r="1309" spans="1:28">
      <c r="A1309" s="2"/>
      <c r="B1309" s="10" t="s">
        <v>245</v>
      </c>
      <c r="C1309" t="s">
        <v>77</v>
      </c>
      <c r="D1309" t="s">
        <v>78</v>
      </c>
      <c r="E1309" s="10" t="s">
        <v>257</v>
      </c>
      <c r="F1309" s="120" t="s">
        <v>77</v>
      </c>
      <c r="G1309" s="120" t="s">
        <v>78</v>
      </c>
      <c r="H1309" s="10" t="s">
        <v>258</v>
      </c>
      <c r="I1309" s="120" t="s">
        <v>77</v>
      </c>
      <c r="J1309" s="120" t="s">
        <v>78</v>
      </c>
      <c r="K1309" s="10" t="s">
        <v>515</v>
      </c>
      <c r="L1309" s="120" t="s">
        <v>77</v>
      </c>
      <c r="M1309" s="120" t="s">
        <v>78</v>
      </c>
      <c r="N1309" s="10" t="s">
        <v>373</v>
      </c>
      <c r="O1309" s="120" t="s">
        <v>77</v>
      </c>
      <c r="P1309" s="120" t="s">
        <v>78</v>
      </c>
      <c r="Q1309" s="10" t="s">
        <v>482</v>
      </c>
      <c r="R1309" s="120" t="s">
        <v>77</v>
      </c>
      <c r="S1309" s="120" t="s">
        <v>78</v>
      </c>
      <c r="T1309" s="10" t="s">
        <v>516</v>
      </c>
      <c r="U1309" s="120" t="s">
        <v>77</v>
      </c>
      <c r="V1309" s="120" t="s">
        <v>78</v>
      </c>
      <c r="W1309" s="10" t="s">
        <v>517</v>
      </c>
      <c r="X1309" s="120" t="s">
        <v>77</v>
      </c>
      <c r="Y1309" s="120" t="s">
        <v>78</v>
      </c>
      <c r="Z1309" s="10" t="s">
        <v>517</v>
      </c>
      <c r="AA1309" s="120" t="s">
        <v>77</v>
      </c>
      <c r="AB1309" s="120" t="s">
        <v>78</v>
      </c>
    </row>
    <row r="1310" spans="1:28">
      <c r="A1310" s="69" t="s">
        <v>91</v>
      </c>
      <c r="B1310" s="127">
        <f>B!AC89</f>
        <v>1.3284300000000001E-2</v>
      </c>
      <c r="C1310" s="127" t="str">
        <f>B!AD89</f>
        <v>16-Nov</v>
      </c>
      <c r="D1310" s="122">
        <f>B!AE89</f>
        <v>17</v>
      </c>
      <c r="E1310" s="133">
        <f>'C'!AC89</f>
        <v>1.38E-2</v>
      </c>
      <c r="F1310" s="126">
        <f>'C'!AD89</f>
        <v>37211</v>
      </c>
      <c r="G1310" s="122">
        <f>'C'!AE89</f>
        <v>16</v>
      </c>
      <c r="H1310" s="133">
        <f>D!AC89</f>
        <v>1.37E-2</v>
      </c>
      <c r="I1310" s="126">
        <f>D!AD89</f>
        <v>37941</v>
      </c>
      <c r="J1310" s="122">
        <f>D!AE89</f>
        <v>16</v>
      </c>
      <c r="K1310" s="133">
        <f>E!AC89</f>
        <v>1.3520493309229401E-2</v>
      </c>
      <c r="L1310" s="127" t="str">
        <f>E!AD89</f>
        <v>11/16</v>
      </c>
      <c r="M1310" s="122" t="str">
        <f>E!AE89</f>
        <v>17:00</v>
      </c>
      <c r="N1310" s="139">
        <f>F!AC89</f>
        <v>1.3457E-2</v>
      </c>
      <c r="O1310" s="128">
        <f>F!AD89</f>
        <v>321</v>
      </c>
      <c r="P1310" s="350">
        <f>F!AE89</f>
        <v>16</v>
      </c>
      <c r="Q1310" s="139">
        <f>G!AC89</f>
        <v>1.34E-2</v>
      </c>
      <c r="R1310" s="128">
        <f>G!AD89</f>
        <v>37941</v>
      </c>
      <c r="S1310" s="350">
        <f>G!AE89</f>
        <v>16</v>
      </c>
      <c r="T1310">
        <f>YD!AC89</f>
        <v>0</v>
      </c>
      <c r="U1310">
        <f>YD!AD89</f>
        <v>0</v>
      </c>
      <c r="V1310">
        <f>YD!AE89</f>
        <v>0</v>
      </c>
      <c r="W1310" s="2">
        <f>I!AC89</f>
        <v>0</v>
      </c>
      <c r="X1310" s="2">
        <f>I!AD89</f>
        <v>0</v>
      </c>
      <c r="Y1310" s="2">
        <f>I!AE89</f>
        <v>0</v>
      </c>
      <c r="Z1310" s="2">
        <f>J!AC89</f>
        <v>0</v>
      </c>
      <c r="AA1310" s="2">
        <f>J!AD89</f>
        <v>0</v>
      </c>
      <c r="AB1310" s="2">
        <f>J!AE89</f>
        <v>0</v>
      </c>
    </row>
    <row r="1311" spans="1:28">
      <c r="A1311" s="69" t="s">
        <v>96</v>
      </c>
      <c r="B1311" s="127">
        <f>B!AC90</f>
        <v>1.57501E-2</v>
      </c>
      <c r="C1311" s="127" t="str">
        <f>B!AD90</f>
        <v>01-Oct</v>
      </c>
      <c r="D1311" s="122">
        <f>B!AE90</f>
        <v>23</v>
      </c>
      <c r="E1311" s="133">
        <f>'C'!AC90</f>
        <v>1.8800000000000001E-2</v>
      </c>
      <c r="F1311" s="126">
        <f>'C'!AD90</f>
        <v>37544</v>
      </c>
      <c r="G1311" s="122">
        <f>'C'!AE90</f>
        <v>9</v>
      </c>
      <c r="H1311" s="133">
        <f>D!AC90</f>
        <v>1.89E-2</v>
      </c>
      <c r="I1311" s="126">
        <f>D!AD90</f>
        <v>37544</v>
      </c>
      <c r="J1311" s="122">
        <f>D!AE90</f>
        <v>9</v>
      </c>
      <c r="K1311" s="133">
        <f>E!AC90</f>
        <v>1.5501679513224099E-2</v>
      </c>
      <c r="L1311" s="127" t="str">
        <f>E!AD90</f>
        <v>10/01</v>
      </c>
      <c r="M1311" s="122" t="str">
        <f>E!AE90</f>
        <v>08:00</v>
      </c>
      <c r="N1311" s="139">
        <f>F!AC90</f>
        <v>1.5432E-2</v>
      </c>
      <c r="O1311" s="128">
        <f>F!AD90</f>
        <v>276</v>
      </c>
      <c r="P1311" s="350">
        <f>F!AE90</f>
        <v>8</v>
      </c>
      <c r="Q1311" s="139">
        <f>G!AC90</f>
        <v>1.5699999999999999E-2</v>
      </c>
      <c r="R1311" s="128">
        <f>G!AD90</f>
        <v>37896</v>
      </c>
      <c r="S1311" s="350">
        <f>G!AE90</f>
        <v>8</v>
      </c>
      <c r="T1311">
        <f>YD!AC90</f>
        <v>0</v>
      </c>
      <c r="U1311">
        <f>YD!AD90</f>
        <v>0</v>
      </c>
      <c r="V1311">
        <f>YD!AE90</f>
        <v>0</v>
      </c>
      <c r="W1311" s="2">
        <f>I!AC90</f>
        <v>0</v>
      </c>
      <c r="X1311" s="2">
        <f>I!AD90</f>
        <v>0</v>
      </c>
      <c r="Y1311" s="2">
        <f>I!AE90</f>
        <v>0</v>
      </c>
      <c r="Z1311" s="2">
        <f>J!AC90</f>
        <v>0</v>
      </c>
      <c r="AA1311" s="2">
        <f>J!AD90</f>
        <v>0</v>
      </c>
      <c r="AB1311" s="2">
        <f>J!AE90</f>
        <v>0</v>
      </c>
    </row>
    <row r="1312" spans="1:28">
      <c r="A1312" s="69" t="s">
        <v>98</v>
      </c>
      <c r="B1312" s="127">
        <f>B!AC91</f>
        <v>1.8016899999999999E-2</v>
      </c>
      <c r="C1312" s="127" t="str">
        <f>B!AD91</f>
        <v>10-Jul</v>
      </c>
      <c r="D1312" s="122">
        <f>B!AE91</f>
        <v>13</v>
      </c>
      <c r="E1312" s="133">
        <f>'C'!AC91</f>
        <v>1.77E-2</v>
      </c>
      <c r="F1312" s="126">
        <f>'C'!AD91</f>
        <v>37447</v>
      </c>
      <c r="G1312" s="122">
        <f>'C'!AE91</f>
        <v>12</v>
      </c>
      <c r="H1312" s="133">
        <f>D!AC91</f>
        <v>1.7600000000000001E-2</v>
      </c>
      <c r="I1312" s="126">
        <f>D!AD91</f>
        <v>37447</v>
      </c>
      <c r="J1312" s="122">
        <f>D!AE91</f>
        <v>12</v>
      </c>
      <c r="K1312" s="133">
        <f>E!AC91</f>
        <v>1.7702793120556701E-2</v>
      </c>
      <c r="L1312" s="127" t="str">
        <f>E!AD91</f>
        <v>10/01</v>
      </c>
      <c r="M1312" s="122" t="str">
        <f>E!AE91</f>
        <v>11:00</v>
      </c>
      <c r="N1312" s="139">
        <f>F!AC91</f>
        <v>1.7547E-2</v>
      </c>
      <c r="O1312" s="128">
        <f>F!AD91</f>
        <v>192</v>
      </c>
      <c r="P1312" s="350">
        <f>F!AE91</f>
        <v>12</v>
      </c>
      <c r="Q1312" s="139">
        <f>G!AC91</f>
        <v>1.77E-2</v>
      </c>
      <c r="R1312" s="128">
        <f>G!AD91</f>
        <v>37812</v>
      </c>
      <c r="S1312" s="350">
        <f>G!AE91</f>
        <v>12</v>
      </c>
      <c r="T1312">
        <f>YD!AC91</f>
        <v>0</v>
      </c>
      <c r="U1312">
        <f>YD!AD91</f>
        <v>0</v>
      </c>
      <c r="V1312">
        <f>YD!AE91</f>
        <v>0</v>
      </c>
      <c r="W1312" s="2">
        <f>I!AC91</f>
        <v>0</v>
      </c>
      <c r="X1312" s="2">
        <f>I!AD91</f>
        <v>0</v>
      </c>
      <c r="Y1312" s="2">
        <f>I!AE91</f>
        <v>0</v>
      </c>
      <c r="Z1312" s="2">
        <f>J!AC91</f>
        <v>0</v>
      </c>
      <c r="AA1312" s="2">
        <f>J!AD91</f>
        <v>0</v>
      </c>
      <c r="AB1312" s="2">
        <f>J!AE91</f>
        <v>0</v>
      </c>
    </row>
    <row r="1313" spans="1:28">
      <c r="A1313" s="69" t="s">
        <v>102</v>
      </c>
      <c r="B1313" s="127">
        <f>B!AC92</f>
        <v>1.7651400000000001E-2</v>
      </c>
      <c r="C1313" s="127" t="str">
        <f>B!AD92</f>
        <v>10-Jul</v>
      </c>
      <c r="D1313" s="122">
        <f>B!AE92</f>
        <v>12</v>
      </c>
      <c r="E1313" s="133">
        <f>'C'!AC92</f>
        <v>1.78E-2</v>
      </c>
      <c r="F1313" s="126">
        <f>'C'!AD92</f>
        <v>37896</v>
      </c>
      <c r="G1313" s="122">
        <f>'C'!AE92</f>
        <v>9</v>
      </c>
      <c r="H1313" s="133">
        <f>D!AC92</f>
        <v>1.77E-2</v>
      </c>
      <c r="I1313" s="126">
        <f>D!AD92</f>
        <v>37447</v>
      </c>
      <c r="J1313" s="122">
        <f>D!AE92</f>
        <v>13</v>
      </c>
      <c r="K1313" s="133">
        <f>E!AC92</f>
        <v>1.7823450757128899E-2</v>
      </c>
      <c r="L1313" s="127" t="str">
        <f>E!AD92</f>
        <v>07/10</v>
      </c>
      <c r="M1313" s="122" t="str">
        <f>E!AE92</f>
        <v>12:00</v>
      </c>
      <c r="N1313" s="139">
        <f>F!AC92</f>
        <v>1.7045000000000001E-2</v>
      </c>
      <c r="O1313" s="128">
        <f>F!AD92</f>
        <v>192</v>
      </c>
      <c r="P1313" s="350">
        <f>F!AE92</f>
        <v>13</v>
      </c>
      <c r="Q1313" s="139">
        <f>G!AC92</f>
        <v>1.77E-2</v>
      </c>
      <c r="R1313" s="128">
        <f>G!AD92</f>
        <v>37812</v>
      </c>
      <c r="S1313" s="350">
        <f>G!AE92</f>
        <v>12</v>
      </c>
      <c r="T1313">
        <f>YD!AC92</f>
        <v>0</v>
      </c>
      <c r="U1313">
        <f>YD!AD92</f>
        <v>0</v>
      </c>
      <c r="V1313">
        <f>YD!AE92</f>
        <v>0</v>
      </c>
      <c r="W1313" s="2">
        <f>I!AC92</f>
        <v>0</v>
      </c>
      <c r="X1313" s="2">
        <f>I!AD92</f>
        <v>0</v>
      </c>
      <c r="Y1313" s="2">
        <f>I!AE92</f>
        <v>0</v>
      </c>
      <c r="Z1313" s="2">
        <f>J!AC92</f>
        <v>0</v>
      </c>
      <c r="AA1313" s="2">
        <f>J!AD92</f>
        <v>0</v>
      </c>
      <c r="AB1313" s="2">
        <f>J!AE92</f>
        <v>0</v>
      </c>
    </row>
    <row r="1314" spans="1:28">
      <c r="A1314" s="69" t="s">
        <v>356</v>
      </c>
      <c r="B1314" s="127">
        <f>B!AC93</f>
        <v>1.7871399999999999E-2</v>
      </c>
      <c r="C1314" s="127" t="str">
        <f>B!AD93</f>
        <v>10-Jul</v>
      </c>
      <c r="D1314" s="122">
        <f>B!AE93</f>
        <v>13</v>
      </c>
      <c r="E1314" s="133">
        <f>'C'!AC93</f>
        <v>1.77E-2</v>
      </c>
      <c r="F1314" s="126">
        <f>'C'!AD93</f>
        <v>37447</v>
      </c>
      <c r="G1314" s="122">
        <f>'C'!AE93</f>
        <v>12</v>
      </c>
      <c r="H1314" s="133">
        <f>D!AC93</f>
        <v>1.7399999999999999E-2</v>
      </c>
      <c r="I1314" s="126">
        <f>D!AD93</f>
        <v>37447</v>
      </c>
      <c r="J1314" s="122">
        <f>D!AE93</f>
        <v>12</v>
      </c>
      <c r="K1314" s="133">
        <f>E!AC93</f>
        <v>1.77073946781496E-2</v>
      </c>
      <c r="L1314" s="127" t="str">
        <f>E!AD93</f>
        <v>07/10</v>
      </c>
      <c r="M1314" s="122" t="str">
        <f>E!AE93</f>
        <v>12:00</v>
      </c>
      <c r="N1314" s="139">
        <f>F!AC93</f>
        <v>1.7271999999999999E-2</v>
      </c>
      <c r="O1314" s="128">
        <f>F!AD93</f>
        <v>192</v>
      </c>
      <c r="P1314" s="350">
        <f>F!AE93</f>
        <v>13</v>
      </c>
      <c r="Q1314" s="139">
        <f>G!AC93</f>
        <v>1.77E-2</v>
      </c>
      <c r="R1314" s="128">
        <f>G!AD93</f>
        <v>37812</v>
      </c>
      <c r="S1314" s="350">
        <f>G!AE93</f>
        <v>12</v>
      </c>
      <c r="T1314">
        <f>YD!AC93</f>
        <v>0</v>
      </c>
      <c r="U1314">
        <f>YD!AD93</f>
        <v>0</v>
      </c>
      <c r="V1314">
        <f>YD!AE93</f>
        <v>0</v>
      </c>
      <c r="W1314" s="2">
        <f>I!AC93</f>
        <v>0</v>
      </c>
      <c r="X1314" s="2">
        <f>I!AD93</f>
        <v>0</v>
      </c>
      <c r="Y1314" s="2">
        <f>I!AE93</f>
        <v>0</v>
      </c>
      <c r="Z1314" s="2">
        <f>J!AC93</f>
        <v>0</v>
      </c>
      <c r="AA1314" s="2">
        <f>J!AD93</f>
        <v>0</v>
      </c>
      <c r="AB1314" s="2">
        <f>J!AE93</f>
        <v>0</v>
      </c>
    </row>
    <row r="1315" spans="1:28">
      <c r="A1315" s="69" t="s">
        <v>105</v>
      </c>
      <c r="B1315" s="127">
        <f>B!AC94</f>
        <v>1.6758200000000001E-2</v>
      </c>
      <c r="C1315" s="127" t="str">
        <f>B!AD94</f>
        <v>01-Oct</v>
      </c>
      <c r="D1315" s="122">
        <f>B!AE94</f>
        <v>24</v>
      </c>
      <c r="E1315" s="133">
        <f>'C'!AC94</f>
        <v>1.9900000000000001E-2</v>
      </c>
      <c r="F1315" s="126">
        <f>'C'!AD94</f>
        <v>37470</v>
      </c>
      <c r="G1315" s="122">
        <f>'C'!AE94</f>
        <v>22</v>
      </c>
      <c r="H1315" s="133">
        <f>D!AC94</f>
        <v>1.9900000000000001E-2</v>
      </c>
      <c r="I1315" s="126">
        <f>D!AD94</f>
        <v>37470</v>
      </c>
      <c r="J1315" s="122">
        <f>D!AE94</f>
        <v>22</v>
      </c>
      <c r="K1315" s="133">
        <f>E!AC94</f>
        <v>1.6944945323193399E-2</v>
      </c>
      <c r="L1315" s="127" t="str">
        <f>E!AD94</f>
        <v>10/02</v>
      </c>
      <c r="M1315" s="122" t="str">
        <f>E!AE94</f>
        <v>01:00</v>
      </c>
      <c r="N1315" s="139">
        <f>F!AC94</f>
        <v>1.6479000000000001E-2</v>
      </c>
      <c r="O1315" s="128">
        <f>F!AD94</f>
        <v>276</v>
      </c>
      <c r="P1315" s="350">
        <f>F!AE94</f>
        <v>2</v>
      </c>
      <c r="Q1315" s="139">
        <f>G!AC94</f>
        <v>1.66E-2</v>
      </c>
      <c r="R1315" s="128">
        <f>G!AD94</f>
        <v>37896</v>
      </c>
      <c r="S1315" s="350">
        <f>G!AE94</f>
        <v>1</v>
      </c>
      <c r="T1315">
        <f>YD!AC94</f>
        <v>0</v>
      </c>
      <c r="U1315">
        <f>YD!AD94</f>
        <v>0</v>
      </c>
      <c r="V1315">
        <f>YD!AE94</f>
        <v>0</v>
      </c>
      <c r="W1315" s="2">
        <f>I!AC94</f>
        <v>0</v>
      </c>
      <c r="X1315" s="2">
        <f>I!AD94</f>
        <v>0</v>
      </c>
      <c r="Y1315" s="2">
        <f>I!AE94</f>
        <v>0</v>
      </c>
      <c r="Z1315" s="2">
        <f>J!AC94</f>
        <v>0</v>
      </c>
      <c r="AA1315" s="2">
        <f>J!AD94</f>
        <v>0</v>
      </c>
      <c r="AB1315" s="2">
        <f>J!AE94</f>
        <v>0</v>
      </c>
    </row>
    <row r="1316" spans="1:28">
      <c r="A1316" s="69" t="s">
        <v>108</v>
      </c>
      <c r="B1316" s="127">
        <f>B!AC95</f>
        <v>1.34334E-2</v>
      </c>
      <c r="C1316" s="127" t="str">
        <f>B!AD95</f>
        <v>10-Jul</v>
      </c>
      <c r="D1316" s="122">
        <f>B!AE95</f>
        <v>13</v>
      </c>
      <c r="E1316" s="133">
        <f>'C'!AC95</f>
        <v>1.38E-2</v>
      </c>
      <c r="F1316" s="126">
        <f>'C'!AD95</f>
        <v>37211</v>
      </c>
      <c r="G1316" s="122">
        <f>'C'!AE95</f>
        <v>16</v>
      </c>
      <c r="H1316" s="133">
        <f>D!AC95</f>
        <v>1.37E-2</v>
      </c>
      <c r="I1316" s="126">
        <f>D!AD95</f>
        <v>37941</v>
      </c>
      <c r="J1316" s="122">
        <f>D!AE95</f>
        <v>16</v>
      </c>
      <c r="K1316" s="133">
        <f>E!AC95</f>
        <v>1.35204580758931E-2</v>
      </c>
      <c r="L1316" s="127" t="str">
        <f>E!AD95</f>
        <v>11/16</v>
      </c>
      <c r="M1316" s="122" t="str">
        <f>E!AE95</f>
        <v>17:00</v>
      </c>
      <c r="N1316" s="139">
        <f>F!AC95</f>
        <v>1.3457E-2</v>
      </c>
      <c r="O1316" s="128">
        <f>F!AD95</f>
        <v>321</v>
      </c>
      <c r="P1316" s="350">
        <f>F!AE95</f>
        <v>16</v>
      </c>
      <c r="Q1316" s="139">
        <f>G!AC95</f>
        <v>1.34E-2</v>
      </c>
      <c r="R1316" s="128">
        <f>G!AD95</f>
        <v>37941</v>
      </c>
      <c r="S1316" s="350">
        <f>G!AE95</f>
        <v>16</v>
      </c>
      <c r="T1316">
        <f>YD!AC95</f>
        <v>0</v>
      </c>
      <c r="U1316">
        <f>YD!AD95</f>
        <v>0</v>
      </c>
      <c r="V1316">
        <f>YD!AE95</f>
        <v>0</v>
      </c>
      <c r="W1316" s="2">
        <f>I!AC95</f>
        <v>0</v>
      </c>
      <c r="X1316" s="2">
        <f>I!AD95</f>
        <v>0</v>
      </c>
      <c r="Y1316" s="2">
        <f>I!AE95</f>
        <v>0</v>
      </c>
      <c r="Z1316" s="2">
        <f>J!AC95</f>
        <v>0</v>
      </c>
      <c r="AA1316" s="2">
        <f>J!AD95</f>
        <v>0</v>
      </c>
      <c r="AB1316" s="2">
        <f>J!AE95</f>
        <v>0</v>
      </c>
    </row>
    <row r="1317" spans="1:28">
      <c r="A1317" s="69" t="s">
        <v>109</v>
      </c>
      <c r="B1317" s="127">
        <f>B!AC96</f>
        <v>1.69436E-2</v>
      </c>
      <c r="C1317" s="127" t="str">
        <f>B!AD96</f>
        <v>05-Apr</v>
      </c>
      <c r="D1317" s="122">
        <f>B!AE96</f>
        <v>22</v>
      </c>
      <c r="E1317" s="133">
        <f>'C'!AC96</f>
        <v>1.7000000000000001E-2</v>
      </c>
      <c r="F1317" s="126">
        <f>'C'!AD96</f>
        <v>37351</v>
      </c>
      <c r="G1317" s="122">
        <f>'C'!AE96</f>
        <v>21</v>
      </c>
      <c r="H1317" s="133">
        <f>D!AC96</f>
        <v>1.7000000000000001E-2</v>
      </c>
      <c r="I1317" s="126">
        <f>D!AD96</f>
        <v>37716</v>
      </c>
      <c r="J1317" s="122">
        <f>D!AE96</f>
        <v>21</v>
      </c>
      <c r="K1317" s="133">
        <f>E!AC96</f>
        <v>1.6893284106592101E-2</v>
      </c>
      <c r="L1317" s="127" t="str">
        <f>E!AD96</f>
        <v>04/05</v>
      </c>
      <c r="M1317" s="122" t="str">
        <f>E!AE96</f>
        <v>22:00</v>
      </c>
      <c r="N1317" s="139">
        <f>F!AC96</f>
        <v>0</v>
      </c>
      <c r="O1317" s="128">
        <f>F!AD96</f>
        <v>0</v>
      </c>
      <c r="P1317" s="350">
        <f>F!AE96</f>
        <v>0</v>
      </c>
      <c r="Q1317" s="139">
        <f>G!AC96</f>
        <v>1.7299999999999999E-2</v>
      </c>
      <c r="R1317" s="128">
        <f>G!AD96</f>
        <v>37733</v>
      </c>
      <c r="S1317" s="350">
        <f>G!AE96</f>
        <v>6</v>
      </c>
      <c r="T1317">
        <f>YD!AC96</f>
        <v>0</v>
      </c>
      <c r="U1317">
        <f>YD!AD96</f>
        <v>0</v>
      </c>
      <c r="V1317">
        <f>YD!AE96</f>
        <v>0</v>
      </c>
      <c r="W1317" s="2">
        <f>I!AC96</f>
        <v>0</v>
      </c>
      <c r="X1317" s="2">
        <f>I!AD96</f>
        <v>0</v>
      </c>
      <c r="Y1317" s="2">
        <f>I!AE96</f>
        <v>0</v>
      </c>
      <c r="Z1317" s="2">
        <f>J!AC96</f>
        <v>0</v>
      </c>
      <c r="AA1317" s="2">
        <f>J!AD96</f>
        <v>0</v>
      </c>
      <c r="AB1317" s="2">
        <f>J!AE96</f>
        <v>0</v>
      </c>
    </row>
    <row r="1318" spans="1:28">
      <c r="A1318" s="69" t="s">
        <v>111</v>
      </c>
      <c r="B1318" s="127">
        <f>B!AC97</f>
        <v>1.68355E-2</v>
      </c>
      <c r="C1318" s="127" t="str">
        <f>B!AD97</f>
        <v>05-Apr</v>
      </c>
      <c r="D1318" s="122">
        <f>B!AE97</f>
        <v>22</v>
      </c>
      <c r="E1318" s="133">
        <f>'C'!AC97</f>
        <v>1.6899999999999998E-2</v>
      </c>
      <c r="F1318" s="126">
        <f>'C'!AD97</f>
        <v>37348</v>
      </c>
      <c r="G1318" s="122">
        <f>'C'!AE97</f>
        <v>5</v>
      </c>
      <c r="H1318" s="133">
        <f>D!AC97</f>
        <v>1.6899999999999998E-2</v>
      </c>
      <c r="I1318" s="126">
        <f>D!AD97</f>
        <v>37348</v>
      </c>
      <c r="J1318" s="122">
        <f>D!AE97</f>
        <v>5</v>
      </c>
      <c r="K1318" s="133">
        <f>E!AC97</f>
        <v>1.64314982385791E-2</v>
      </c>
      <c r="L1318" s="127" t="str">
        <f>E!AD97</f>
        <v>04/06</v>
      </c>
      <c r="M1318" s="122" t="str">
        <f>E!AE97</f>
        <v>05:00</v>
      </c>
      <c r="N1318" s="139">
        <f>F!AC97</f>
        <v>0</v>
      </c>
      <c r="O1318" s="128">
        <f>F!AD97</f>
        <v>0</v>
      </c>
      <c r="P1318" s="350">
        <f>F!AE97</f>
        <v>0</v>
      </c>
      <c r="Q1318" s="139">
        <f>G!AC97</f>
        <v>1.7299999999999999E-2</v>
      </c>
      <c r="R1318" s="128">
        <f>G!AD97</f>
        <v>37733</v>
      </c>
      <c r="S1318" s="350">
        <f>G!AE97</f>
        <v>6</v>
      </c>
      <c r="T1318">
        <f>YD!AC97</f>
        <v>0</v>
      </c>
      <c r="U1318">
        <f>YD!AD97</f>
        <v>0</v>
      </c>
      <c r="V1318">
        <f>YD!AE97</f>
        <v>0</v>
      </c>
      <c r="W1318" s="2">
        <f>I!AC97</f>
        <v>0</v>
      </c>
      <c r="X1318" s="2">
        <f>I!AD97</f>
        <v>0</v>
      </c>
      <c r="Y1318" s="2">
        <f>I!AE97</f>
        <v>0</v>
      </c>
      <c r="Z1318" s="2">
        <f>J!AC97</f>
        <v>0</v>
      </c>
      <c r="AA1318" s="2">
        <f>J!AD97</f>
        <v>0</v>
      </c>
      <c r="AB1318" s="2">
        <f>J!AE97</f>
        <v>0</v>
      </c>
    </row>
    <row r="1319" spans="1:28">
      <c r="A1319" s="69" t="s">
        <v>112</v>
      </c>
      <c r="B1319" s="127">
        <f>B!AC98</f>
        <v>1.42968E-2</v>
      </c>
      <c r="C1319" s="127" t="str">
        <f>B!AD98</f>
        <v>02-Apr</v>
      </c>
      <c r="D1319" s="122">
        <f>B!AE98</f>
        <v>10</v>
      </c>
      <c r="E1319" s="133">
        <f>'C'!AC98</f>
        <v>1.47E-2</v>
      </c>
      <c r="F1319" s="126">
        <f>'C'!AD98</f>
        <v>37712</v>
      </c>
      <c r="G1319" s="122">
        <f>'C'!AE98</f>
        <v>21</v>
      </c>
      <c r="H1319" s="133">
        <f>D!AC98</f>
        <v>1.41E-2</v>
      </c>
      <c r="I1319" s="126">
        <f>D!AD98</f>
        <v>37363</v>
      </c>
      <c r="J1319" s="122">
        <f>D!AE98</f>
        <v>3</v>
      </c>
      <c r="K1319" s="133">
        <f>E!AC98</f>
        <v>1.46066109554102E-2</v>
      </c>
      <c r="L1319" s="127" t="str">
        <f>E!AD98</f>
        <v>04/02</v>
      </c>
      <c r="M1319" s="122" t="str">
        <f>E!AE98</f>
        <v>18:00</v>
      </c>
      <c r="N1319" s="139">
        <f>F!AC98</f>
        <v>0</v>
      </c>
      <c r="O1319" s="128">
        <f>F!AD98</f>
        <v>0</v>
      </c>
      <c r="P1319" s="350">
        <f>F!AE98</f>
        <v>0</v>
      </c>
      <c r="Q1319" s="139">
        <f>G!AC98</f>
        <v>1.47E-2</v>
      </c>
      <c r="R1319" s="128">
        <f>G!AD98</f>
        <v>37713</v>
      </c>
      <c r="S1319" s="350">
        <f>G!AE98</f>
        <v>18</v>
      </c>
      <c r="T1319">
        <f>YD!AC98</f>
        <v>0</v>
      </c>
      <c r="U1319">
        <f>YD!AD98</f>
        <v>0</v>
      </c>
      <c r="V1319">
        <f>YD!AE98</f>
        <v>0</v>
      </c>
      <c r="W1319" s="2">
        <f>I!AC98</f>
        <v>0</v>
      </c>
      <c r="X1319" s="2">
        <f>I!AD98</f>
        <v>0</v>
      </c>
      <c r="Y1319" s="2">
        <f>I!AE98</f>
        <v>0</v>
      </c>
      <c r="Z1319" s="2">
        <f>J!AC98</f>
        <v>0</v>
      </c>
      <c r="AA1319" s="2">
        <f>J!AD98</f>
        <v>0</v>
      </c>
      <c r="AB1319" s="2">
        <f>J!AE98</f>
        <v>0</v>
      </c>
    </row>
    <row r="1320" spans="1:28">
      <c r="A1320" s="69" t="s">
        <v>113</v>
      </c>
      <c r="B1320" s="127">
        <f>B!AC99</f>
        <v>1.6230600000000001E-2</v>
      </c>
      <c r="C1320" s="127" t="str">
        <f>B!AD99</f>
        <v>02-Apr</v>
      </c>
      <c r="D1320" s="122">
        <f>B!AE99</f>
        <v>5</v>
      </c>
      <c r="E1320" s="133">
        <f>'C'!AC99</f>
        <v>1.5599999999999999E-2</v>
      </c>
      <c r="F1320" s="126">
        <f>'C'!AD99</f>
        <v>37348</v>
      </c>
      <c r="G1320" s="122">
        <f>'C'!AE99</f>
        <v>4</v>
      </c>
      <c r="H1320" s="133">
        <f>D!AC99</f>
        <v>1.5599999999999999E-2</v>
      </c>
      <c r="I1320" s="126">
        <f>D!AD99</f>
        <v>37713</v>
      </c>
      <c r="J1320" s="122">
        <f>D!AE99</f>
        <v>4</v>
      </c>
      <c r="K1320" s="133">
        <f>E!AC99</f>
        <v>1.6146153506642301E-2</v>
      </c>
      <c r="L1320" s="127" t="str">
        <f>E!AD99</f>
        <v>04/02</v>
      </c>
      <c r="M1320" s="122" t="str">
        <f>E!AE99</f>
        <v>05:00</v>
      </c>
      <c r="N1320" s="139">
        <f>F!AC99</f>
        <v>0</v>
      </c>
      <c r="O1320" s="128">
        <f>F!AD99</f>
        <v>0</v>
      </c>
      <c r="P1320" s="350">
        <f>F!AE99</f>
        <v>0</v>
      </c>
      <c r="Q1320" s="139">
        <f>G!AC99</f>
        <v>1.5800000000000002E-2</v>
      </c>
      <c r="R1320" s="128">
        <f>G!AD99</f>
        <v>37713</v>
      </c>
      <c r="S1320" s="350">
        <f>G!AE99</f>
        <v>5</v>
      </c>
      <c r="T1320">
        <f>YD!AC99</f>
        <v>0</v>
      </c>
      <c r="U1320">
        <f>YD!AD99</f>
        <v>0</v>
      </c>
      <c r="V1320">
        <f>YD!AE99</f>
        <v>0</v>
      </c>
      <c r="W1320" s="2">
        <f>I!AC99</f>
        <v>0</v>
      </c>
      <c r="X1320" s="2">
        <f>I!AD99</f>
        <v>0</v>
      </c>
      <c r="Y1320" s="2">
        <f>I!AE99</f>
        <v>0</v>
      </c>
      <c r="Z1320" s="2">
        <f>J!AC99</f>
        <v>0</v>
      </c>
      <c r="AA1320" s="2">
        <f>J!AD99</f>
        <v>0</v>
      </c>
      <c r="AB1320" s="2">
        <f>J!AE99</f>
        <v>0</v>
      </c>
    </row>
    <row r="1321" spans="1:28">
      <c r="A1321" s="69" t="s">
        <v>114</v>
      </c>
      <c r="B1321" s="127">
        <f>B!AC100</f>
        <v>1.33128E-2</v>
      </c>
      <c r="C1321" s="127" t="str">
        <f>B!AD100</f>
        <v>16-Nov</v>
      </c>
      <c r="D1321" s="122">
        <f>B!AE100</f>
        <v>17</v>
      </c>
      <c r="E1321" s="133">
        <f>'C'!AC100</f>
        <v>1.38E-2</v>
      </c>
      <c r="F1321" s="126">
        <f>'C'!AD100</f>
        <v>37211</v>
      </c>
      <c r="G1321" s="122">
        <f>'C'!AE100</f>
        <v>16</v>
      </c>
      <c r="H1321" s="133">
        <f>D!AC100</f>
        <v>1.37E-2</v>
      </c>
      <c r="I1321" s="126">
        <f>D!AD100</f>
        <v>37941</v>
      </c>
      <c r="J1321" s="122">
        <f>D!AE100</f>
        <v>16</v>
      </c>
      <c r="K1321" s="133">
        <f>E!AC100</f>
        <v>1.35204933108933E-2</v>
      </c>
      <c r="L1321" s="127" t="str">
        <f>E!AD100</f>
        <v>11/16</v>
      </c>
      <c r="M1321" s="122" t="str">
        <f>E!AE100</f>
        <v>17:00</v>
      </c>
      <c r="N1321" s="139">
        <f>F!AC100</f>
        <v>0</v>
      </c>
      <c r="O1321" s="128">
        <f>F!AD100</f>
        <v>0</v>
      </c>
      <c r="P1321" s="350">
        <f>F!AE100</f>
        <v>0</v>
      </c>
      <c r="Q1321" s="139">
        <f>G!AC100</f>
        <v>1.34E-2</v>
      </c>
      <c r="R1321" s="128">
        <f>G!AD100</f>
        <v>37941</v>
      </c>
      <c r="S1321" s="350">
        <f>G!AE100</f>
        <v>16</v>
      </c>
      <c r="T1321">
        <f>YD!AC100</f>
        <v>0</v>
      </c>
      <c r="U1321">
        <f>YD!AD100</f>
        <v>0</v>
      </c>
      <c r="V1321">
        <f>YD!AE100</f>
        <v>0</v>
      </c>
      <c r="W1321" s="2">
        <f>I!AC100</f>
        <v>0</v>
      </c>
      <c r="X1321" s="2">
        <f>I!AD100</f>
        <v>0</v>
      </c>
      <c r="Y1321" s="2">
        <f>I!AE100</f>
        <v>0</v>
      </c>
      <c r="Z1321" s="2">
        <f>J!AC100</f>
        <v>0</v>
      </c>
      <c r="AA1321" s="2">
        <f>J!AD100</f>
        <v>0</v>
      </c>
      <c r="AB1321" s="2">
        <f>J!AE100</f>
        <v>0</v>
      </c>
    </row>
    <row r="1322" spans="1:28">
      <c r="A1322" s="69" t="s">
        <v>115</v>
      </c>
      <c r="B1322" s="127">
        <f>B!AC101</f>
        <v>1.17197E-2</v>
      </c>
      <c r="C1322" s="127" t="str">
        <f>B!AD101</f>
        <v>11-Jul</v>
      </c>
      <c r="D1322" s="122">
        <f>B!AE101</f>
        <v>15</v>
      </c>
      <c r="E1322" s="133">
        <f>'C'!AC101</f>
        <v>1.1900000000000001E-2</v>
      </c>
      <c r="F1322" s="126">
        <f>'C'!AD101</f>
        <v>38188</v>
      </c>
      <c r="G1322" s="122">
        <f>'C'!AE101</f>
        <v>15</v>
      </c>
      <c r="H1322" s="133">
        <f>D!AC101</f>
        <v>1.18E-2</v>
      </c>
      <c r="I1322" s="126">
        <f>D!AD101</f>
        <v>38083</v>
      </c>
      <c r="J1322" s="122">
        <f>D!AE101</f>
        <v>10</v>
      </c>
      <c r="K1322" s="133">
        <f>E!AC101</f>
        <v>1.1379725785156501E-2</v>
      </c>
      <c r="L1322" s="127" t="str">
        <f>E!AD101</f>
        <v>07/20</v>
      </c>
      <c r="M1322" s="122" t="str">
        <f>E!AE101</f>
        <v>15:00</v>
      </c>
      <c r="N1322" s="139">
        <f>F!AC101</f>
        <v>1.1712999999999999E-2</v>
      </c>
      <c r="O1322" s="128">
        <f>F!AD101</f>
        <v>202</v>
      </c>
      <c r="P1322" s="350">
        <f>F!AE101</f>
        <v>15</v>
      </c>
      <c r="Q1322" s="139">
        <f>G!AC101</f>
        <v>1.15E-2</v>
      </c>
      <c r="R1322" s="128">
        <f>G!AD101</f>
        <v>37691</v>
      </c>
      <c r="S1322" s="350">
        <f>G!AE101</f>
        <v>10</v>
      </c>
      <c r="T1322">
        <f>YD!AC101</f>
        <v>0</v>
      </c>
      <c r="U1322">
        <f>YD!AD101</f>
        <v>0</v>
      </c>
      <c r="V1322">
        <f>YD!AE101</f>
        <v>0</v>
      </c>
      <c r="W1322" s="2">
        <f>I!AC101</f>
        <v>0</v>
      </c>
      <c r="X1322" s="2">
        <f>I!AD101</f>
        <v>0</v>
      </c>
      <c r="Y1322" s="2">
        <f>I!AE101</f>
        <v>0</v>
      </c>
      <c r="Z1322" s="2">
        <f>J!AC101</f>
        <v>0</v>
      </c>
      <c r="AA1322" s="2">
        <f>J!AD101</f>
        <v>0</v>
      </c>
      <c r="AB1322" s="2">
        <f>J!AE101</f>
        <v>0</v>
      </c>
    </row>
    <row r="1323" spans="1:28">
      <c r="A1323" s="69" t="s">
        <v>121</v>
      </c>
      <c r="B1323" s="127">
        <f>B!AC102</f>
        <v>1.1871400000000001E-2</v>
      </c>
      <c r="C1323" s="127" t="str">
        <f>B!AD102</f>
        <v>07-Sep</v>
      </c>
      <c r="D1323" s="122">
        <f>B!AE102</f>
        <v>15</v>
      </c>
      <c r="E1323" s="133">
        <f>'C'!AC102</f>
        <v>1.1900000000000001E-2</v>
      </c>
      <c r="F1323" s="126">
        <f>'C'!AD102</f>
        <v>37092</v>
      </c>
      <c r="G1323" s="122">
        <f>'C'!AE102</f>
        <v>15</v>
      </c>
      <c r="H1323" s="133">
        <f>D!AC102</f>
        <v>1.1900000000000001E-2</v>
      </c>
      <c r="I1323" s="126">
        <f>D!AD102</f>
        <v>37092</v>
      </c>
      <c r="J1323" s="122">
        <f>D!AE102</f>
        <v>15</v>
      </c>
      <c r="K1323" s="133">
        <f>E!AC102</f>
        <v>1.1389731906607199E-2</v>
      </c>
      <c r="L1323" s="127" t="str">
        <f>E!AD102</f>
        <v>07/20</v>
      </c>
      <c r="M1323" s="122" t="str">
        <f>E!AE102</f>
        <v>15:00</v>
      </c>
      <c r="N1323" s="139">
        <f>F!AC102</f>
        <v>1.1716000000000001E-2</v>
      </c>
      <c r="O1323" s="128">
        <f>F!AD102</f>
        <v>202</v>
      </c>
      <c r="P1323" s="350">
        <f>F!AE102</f>
        <v>15</v>
      </c>
      <c r="Q1323" s="139">
        <f>G!AC102</f>
        <v>1.15E-2</v>
      </c>
      <c r="R1323" s="128">
        <f>G!AD102</f>
        <v>37691</v>
      </c>
      <c r="S1323" s="350">
        <f>G!AE102</f>
        <v>10</v>
      </c>
      <c r="T1323">
        <f>YD!AC102</f>
        <v>0</v>
      </c>
      <c r="U1323">
        <f>YD!AD102</f>
        <v>0</v>
      </c>
      <c r="V1323">
        <f>YD!AE102</f>
        <v>0</v>
      </c>
      <c r="W1323" s="2">
        <f>I!AC102</f>
        <v>0</v>
      </c>
      <c r="X1323" s="2">
        <f>I!AD102</f>
        <v>0</v>
      </c>
      <c r="Y1323" s="2">
        <f>I!AE102</f>
        <v>0</v>
      </c>
      <c r="Z1323" s="2">
        <f>J!AC102</f>
        <v>0</v>
      </c>
      <c r="AA1323" s="2">
        <f>J!AD102</f>
        <v>0</v>
      </c>
      <c r="AB1323" s="2">
        <f>J!AE102</f>
        <v>0</v>
      </c>
    </row>
    <row r="1324" spans="1:28">
      <c r="A1324" s="69" t="s">
        <v>125</v>
      </c>
      <c r="B1324" s="127">
        <f>B!AC103</f>
        <v>7.5403099999999997E-3</v>
      </c>
      <c r="C1324" s="127" t="str">
        <f>B!AD103</f>
        <v>07-Sep</v>
      </c>
      <c r="D1324" s="122">
        <f>B!AE103</f>
        <v>15</v>
      </c>
      <c r="E1324" s="133">
        <f>'C'!AC103</f>
        <v>7.7000000000000002E-3</v>
      </c>
      <c r="F1324" s="126">
        <f>'C'!AD103</f>
        <v>38178</v>
      </c>
      <c r="G1324" s="122">
        <f>'C'!AE103</f>
        <v>16</v>
      </c>
      <c r="H1324" s="133">
        <f>D!AC103</f>
        <v>7.7999999999999996E-3</v>
      </c>
      <c r="I1324" s="126">
        <f>D!AD103</f>
        <v>38075</v>
      </c>
      <c r="J1324" s="122">
        <f>D!AE103</f>
        <v>10</v>
      </c>
      <c r="K1324" s="133">
        <f>E!AC103</f>
        <v>7.1039765582544398E-3</v>
      </c>
      <c r="L1324" s="127" t="str">
        <f>E!AD103</f>
        <v>07/20</v>
      </c>
      <c r="M1324" s="122" t="str">
        <f>E!AE103</f>
        <v>16:00</v>
      </c>
      <c r="N1324" s="139">
        <f>F!AC103</f>
        <v>7.5659999999999998E-3</v>
      </c>
      <c r="O1324" s="128">
        <f>F!AD103</f>
        <v>202</v>
      </c>
      <c r="P1324" s="350">
        <f>F!AE103</f>
        <v>15</v>
      </c>
      <c r="Q1324" s="139">
        <f>G!AC103</f>
        <v>1.06E-2</v>
      </c>
      <c r="R1324" s="128">
        <f>G!AD103</f>
        <v>37626</v>
      </c>
      <c r="S1324" s="350">
        <f>G!AE103</f>
        <v>16</v>
      </c>
      <c r="T1324">
        <f>YD!AC103</f>
        <v>0</v>
      </c>
      <c r="U1324">
        <f>YD!AD103</f>
        <v>0</v>
      </c>
      <c r="V1324">
        <f>YD!AE103</f>
        <v>0</v>
      </c>
      <c r="W1324" s="2">
        <f>I!AC103</f>
        <v>0</v>
      </c>
      <c r="X1324" s="2">
        <f>I!AD103</f>
        <v>0</v>
      </c>
      <c r="Y1324" s="2">
        <f>I!AE103</f>
        <v>0</v>
      </c>
      <c r="Z1324" s="2">
        <f>J!AC103</f>
        <v>0</v>
      </c>
      <c r="AA1324" s="2">
        <f>J!AD103</f>
        <v>0</v>
      </c>
      <c r="AB1324" s="2">
        <f>J!AE103</f>
        <v>0</v>
      </c>
    </row>
    <row r="1325" spans="1:28">
      <c r="A1325" s="69" t="s">
        <v>127</v>
      </c>
      <c r="B1325" s="127">
        <f>B!AC104</f>
        <v>9.42635E-3</v>
      </c>
      <c r="C1325" s="127" t="str">
        <f>B!AD104</f>
        <v>20-Jul</v>
      </c>
      <c r="D1325" s="122">
        <f>B!AE104</f>
        <v>16</v>
      </c>
      <c r="E1325" s="133">
        <f>'C'!AC104</f>
        <v>9.4999999999999998E-3</v>
      </c>
      <c r="F1325" s="126">
        <f>'C'!AD104</f>
        <v>37776</v>
      </c>
      <c r="G1325" s="122">
        <f>'C'!AE104</f>
        <v>15</v>
      </c>
      <c r="H1325" s="133">
        <f>D!AC104</f>
        <v>1.38E-2</v>
      </c>
      <c r="I1325" s="126">
        <f>D!AD104</f>
        <v>38083</v>
      </c>
      <c r="J1325" s="122">
        <f>D!AE104</f>
        <v>10</v>
      </c>
      <c r="K1325" s="133">
        <f>E!AC104</f>
        <v>8.9745117656923005E-3</v>
      </c>
      <c r="L1325" s="127" t="str">
        <f>E!AD104</f>
        <v>07/20</v>
      </c>
      <c r="M1325" s="122" t="str">
        <f>E!AE104</f>
        <v>15:00</v>
      </c>
      <c r="N1325" s="139">
        <f>F!AC104</f>
        <v>9.3980000000000001E-3</v>
      </c>
      <c r="O1325" s="128">
        <f>F!AD104</f>
        <v>202</v>
      </c>
      <c r="P1325" s="350">
        <f>F!AE104</f>
        <v>15</v>
      </c>
      <c r="Q1325" s="139">
        <f>G!AC104</f>
        <v>1.0699999999999999E-2</v>
      </c>
      <c r="R1325" s="128">
        <f>G!AD104</f>
        <v>37622</v>
      </c>
      <c r="S1325" s="350">
        <f>G!AE104</f>
        <v>2</v>
      </c>
      <c r="T1325">
        <f>YD!AC104</f>
        <v>0</v>
      </c>
      <c r="U1325">
        <f>YD!AD104</f>
        <v>0</v>
      </c>
      <c r="V1325">
        <f>YD!AE104</f>
        <v>0</v>
      </c>
      <c r="W1325" s="2">
        <f>I!AC104</f>
        <v>0</v>
      </c>
      <c r="X1325" s="2">
        <f>I!AD104</f>
        <v>0</v>
      </c>
      <c r="Y1325" s="2">
        <f>I!AE104</f>
        <v>0</v>
      </c>
      <c r="Z1325" s="2">
        <f>J!AC104</f>
        <v>0</v>
      </c>
      <c r="AA1325" s="2">
        <f>J!AD104</f>
        <v>0</v>
      </c>
      <c r="AB1325" s="2">
        <f>J!AE104</f>
        <v>0</v>
      </c>
    </row>
    <row r="1326" spans="1:28">
      <c r="A1326" s="69" t="s">
        <v>130</v>
      </c>
      <c r="B1326" s="127">
        <f>B!AC105</f>
        <v>1.7932400000000001E-2</v>
      </c>
      <c r="C1326" s="127" t="str">
        <f>B!AD105</f>
        <v>10-Mai</v>
      </c>
      <c r="D1326" s="122">
        <f>B!AE105</f>
        <v>16</v>
      </c>
      <c r="E1326" s="133">
        <f>'C'!AC105</f>
        <v>1.7999999999999999E-2</v>
      </c>
      <c r="F1326" s="126">
        <f>'C'!AD105</f>
        <v>38188</v>
      </c>
      <c r="G1326" s="122">
        <f>'C'!AE105</f>
        <v>15</v>
      </c>
      <c r="H1326" s="133">
        <f>D!AC105</f>
        <v>1.7999999999999999E-2</v>
      </c>
      <c r="I1326" s="126">
        <f>D!AD105</f>
        <v>37457</v>
      </c>
      <c r="J1326" s="122">
        <f>D!AE105</f>
        <v>15</v>
      </c>
      <c r="K1326" s="133">
        <f>E!AC105</f>
        <v>1.78484256691855E-2</v>
      </c>
      <c r="L1326" s="127" t="str">
        <f>E!AD105</f>
        <v>07/20</v>
      </c>
      <c r="M1326" s="122" t="str">
        <f>E!AE105</f>
        <v>15:00</v>
      </c>
      <c r="N1326" s="139">
        <f>F!AC105</f>
        <v>1.7625999999999999E-2</v>
      </c>
      <c r="O1326" s="128">
        <f>F!AD105</f>
        <v>202</v>
      </c>
      <c r="P1326" s="350">
        <f>F!AE105</f>
        <v>15</v>
      </c>
      <c r="Q1326" s="139">
        <f>G!AC105</f>
        <v>1.7299999999999999E-2</v>
      </c>
      <c r="R1326" s="128">
        <f>G!AD105</f>
        <v>37822</v>
      </c>
      <c r="S1326" s="350">
        <f>G!AE105</f>
        <v>15</v>
      </c>
      <c r="T1326">
        <f>YD!AC105</f>
        <v>0</v>
      </c>
      <c r="U1326">
        <f>YD!AD105</f>
        <v>0</v>
      </c>
      <c r="V1326">
        <f>YD!AE105</f>
        <v>0</v>
      </c>
      <c r="W1326" s="2">
        <f>I!AC105</f>
        <v>0</v>
      </c>
      <c r="X1326" s="2">
        <f>I!AD105</f>
        <v>0</v>
      </c>
      <c r="Y1326" s="2">
        <f>I!AE105</f>
        <v>0</v>
      </c>
      <c r="Z1326" s="2">
        <f>J!AC105</f>
        <v>0</v>
      </c>
      <c r="AA1326" s="2">
        <f>J!AD105</f>
        <v>0</v>
      </c>
      <c r="AB1326" s="2">
        <f>J!AE105</f>
        <v>0</v>
      </c>
    </row>
    <row r="1327" spans="1:28">
      <c r="A1327" s="69" t="s">
        <v>132</v>
      </c>
      <c r="B1327" s="127">
        <f>B!AC106</f>
        <v>6.9891500000000004E-3</v>
      </c>
      <c r="C1327" s="127" t="str">
        <f>B!AD106</f>
        <v>01-Jan</v>
      </c>
      <c r="D1327" s="122">
        <f>B!AE106</f>
        <v>1</v>
      </c>
      <c r="E1327" s="133">
        <f>'C'!AC106</f>
        <v>8.0999999999999996E-3</v>
      </c>
      <c r="F1327" s="126">
        <f>'C'!AD106</f>
        <v>37092</v>
      </c>
      <c r="G1327" s="122">
        <f>'C'!AE106</f>
        <v>15</v>
      </c>
      <c r="H1327" s="133">
        <f>D!AC106</f>
        <v>8.0999999999999996E-3</v>
      </c>
      <c r="I1327" s="126">
        <f>D!AD106</f>
        <v>38188</v>
      </c>
      <c r="J1327" s="122">
        <f>D!AE106</f>
        <v>15</v>
      </c>
      <c r="K1327" s="133">
        <f>E!AC106</f>
        <v>6.7903925251216E-3</v>
      </c>
      <c r="L1327" s="127" t="str">
        <f>E!AD106</f>
        <v>03/11</v>
      </c>
      <c r="M1327" s="122" t="str">
        <f>E!AE106</f>
        <v>01:00</v>
      </c>
      <c r="N1327" s="139">
        <f>F!AC106</f>
        <v>5.4910000000000002E-3</v>
      </c>
      <c r="O1327" s="128">
        <f>F!AD106</f>
        <v>92</v>
      </c>
      <c r="P1327" s="350">
        <f>F!AE106</f>
        <v>1</v>
      </c>
      <c r="Q1327" s="139">
        <f>G!AC106</f>
        <v>6.77E-3</v>
      </c>
      <c r="R1327" s="128">
        <f>G!AD106</f>
        <v>37920</v>
      </c>
      <c r="S1327" s="350">
        <f>G!AE106</f>
        <v>9</v>
      </c>
      <c r="T1327">
        <f>YD!AC106</f>
        <v>0</v>
      </c>
      <c r="U1327">
        <f>YD!AD106</f>
        <v>0</v>
      </c>
      <c r="V1327">
        <f>YD!AE106</f>
        <v>0</v>
      </c>
      <c r="W1327" s="2">
        <f>I!AC106</f>
        <v>0</v>
      </c>
      <c r="X1327" s="2">
        <f>I!AD106</f>
        <v>0</v>
      </c>
      <c r="Y1327" s="2">
        <f>I!AE106</f>
        <v>0</v>
      </c>
      <c r="Z1327" s="2">
        <f>J!AC106</f>
        <v>0</v>
      </c>
      <c r="AA1327" s="2">
        <f>J!AD106</f>
        <v>0</v>
      </c>
      <c r="AB1327" s="2">
        <f>J!AE106</f>
        <v>0</v>
      </c>
    </row>
    <row r="1328" spans="1:28">
      <c r="A1328" s="69" t="s">
        <v>135</v>
      </c>
      <c r="B1328" s="127">
        <f>B!AC107</f>
        <v>6.0840499999999997E-3</v>
      </c>
      <c r="C1328" s="127" t="str">
        <f>B!AD107</f>
        <v>01-Jan</v>
      </c>
      <c r="D1328" s="122">
        <f>B!AE107</f>
        <v>1</v>
      </c>
      <c r="E1328" s="133">
        <f>'C'!AC107</f>
        <v>5.0000000000000001E-3</v>
      </c>
      <c r="F1328" s="126">
        <f>'C'!AD107</f>
        <v>37776</v>
      </c>
      <c r="G1328" s="122">
        <f>'C'!AE107</f>
        <v>13</v>
      </c>
      <c r="H1328" s="133">
        <f>D!AC107</f>
        <v>6.3E-3</v>
      </c>
      <c r="I1328" s="126">
        <f>D!AD107</f>
        <v>38085</v>
      </c>
      <c r="J1328" s="122">
        <f>D!AE107</f>
        <v>8</v>
      </c>
      <c r="K1328" s="133">
        <f>E!AC107</f>
        <v>6.7903925251215401E-3</v>
      </c>
      <c r="L1328" s="127" t="str">
        <f>E!AD107</f>
        <v>03/11</v>
      </c>
      <c r="M1328" s="122" t="str">
        <f>E!AE107</f>
        <v>01:00</v>
      </c>
      <c r="N1328" s="139">
        <f>F!AC107</f>
        <v>3.2560000000000002E-3</v>
      </c>
      <c r="O1328" s="128">
        <f>F!AD107</f>
        <v>92</v>
      </c>
      <c r="P1328" s="350">
        <f>F!AE107</f>
        <v>1</v>
      </c>
      <c r="Q1328" s="139">
        <f>G!AC107</f>
        <v>6.3400000000000001E-3</v>
      </c>
      <c r="R1328" s="128">
        <f>G!AD107</f>
        <v>37691</v>
      </c>
      <c r="S1328" s="350">
        <f>G!AE107</f>
        <v>9</v>
      </c>
      <c r="T1328">
        <f>YD!AC107</f>
        <v>0</v>
      </c>
      <c r="U1328">
        <f>YD!AD107</f>
        <v>0</v>
      </c>
      <c r="V1328">
        <f>YD!AE107</f>
        <v>0</v>
      </c>
      <c r="W1328" s="2">
        <f>I!AC107</f>
        <v>0</v>
      </c>
      <c r="X1328" s="2">
        <f>I!AD107</f>
        <v>0</v>
      </c>
      <c r="Y1328" s="2">
        <f>I!AE107</f>
        <v>0</v>
      </c>
      <c r="Z1328" s="2">
        <f>J!AC107</f>
        <v>0</v>
      </c>
      <c r="AA1328" s="2">
        <f>J!AD107</f>
        <v>0</v>
      </c>
      <c r="AB1328" s="2">
        <f>J!AE107</f>
        <v>0</v>
      </c>
    </row>
    <row r="1329" spans="1:28">
      <c r="A1329" s="70" t="s">
        <v>138</v>
      </c>
      <c r="B1329" s="127">
        <f>B!AC108</f>
        <v>6.9891500000000004E-3</v>
      </c>
      <c r="C1329" s="127" t="str">
        <f>B!AD108</f>
        <v>01-Jan</v>
      </c>
      <c r="D1329" s="122">
        <f>B!AE108</f>
        <v>1</v>
      </c>
      <c r="E1329" s="133">
        <f>'C'!AC108</f>
        <v>1.2200000000000001E-2</v>
      </c>
      <c r="F1329" s="126">
        <f>'C'!AD108</f>
        <v>38188</v>
      </c>
      <c r="G1329" s="122">
        <f>'C'!AE108</f>
        <v>15</v>
      </c>
      <c r="H1329" s="133">
        <f>D!AC108</f>
        <v>1.2200000000000001E-2</v>
      </c>
      <c r="I1329" s="126">
        <f>D!AD108</f>
        <v>38188</v>
      </c>
      <c r="J1329" s="122">
        <f>D!AE108</f>
        <v>15</v>
      </c>
      <c r="K1329" s="133">
        <f>E!AC108</f>
        <v>6.7903925251259298E-3</v>
      </c>
      <c r="L1329" s="127" t="str">
        <f>E!AD108</f>
        <v>12/31</v>
      </c>
      <c r="M1329" s="122" t="str">
        <f>E!AE108</f>
        <v>17:00</v>
      </c>
      <c r="N1329" s="139">
        <f>F!AC108</f>
        <v>6.6889999999999996E-3</v>
      </c>
      <c r="O1329" s="128">
        <f>F!AD108</f>
        <v>92</v>
      </c>
      <c r="P1329" s="350">
        <f>F!AE108</f>
        <v>1</v>
      </c>
      <c r="Q1329" s="139">
        <f>G!AC108</f>
        <v>7.6299999999999996E-3</v>
      </c>
      <c r="R1329" s="128">
        <f>G!AD108</f>
        <v>37930</v>
      </c>
      <c r="S1329" s="350">
        <f>G!AE108</f>
        <v>9</v>
      </c>
      <c r="T1329">
        <f>YD!AC108</f>
        <v>0</v>
      </c>
      <c r="U1329">
        <f>YD!AD108</f>
        <v>0</v>
      </c>
      <c r="V1329">
        <f>YD!AE108</f>
        <v>0</v>
      </c>
      <c r="W1329" s="2">
        <f>I!AC108</f>
        <v>0</v>
      </c>
      <c r="X1329" s="2">
        <f>I!AD108</f>
        <v>0</v>
      </c>
      <c r="Y1329" s="2">
        <f>I!AE108</f>
        <v>0</v>
      </c>
      <c r="Z1329" s="2">
        <f>J!AC108</f>
        <v>0</v>
      </c>
      <c r="AA1329" s="2">
        <f>J!AD108</f>
        <v>0</v>
      </c>
      <c r="AB1329" s="2">
        <f>J!AE108</f>
        <v>0</v>
      </c>
    </row>
    <row r="1330" spans="1:28">
      <c r="A1330" s="15"/>
      <c r="B1330" s="16"/>
      <c r="C1330" s="16"/>
      <c r="D1330" s="115"/>
      <c r="E1330" s="134"/>
      <c r="F1330" s="129"/>
      <c r="G1330" s="115"/>
      <c r="H1330" s="134"/>
      <c r="I1330" s="129"/>
      <c r="J1330" s="115"/>
      <c r="K1330" s="134"/>
      <c r="L1330" s="16"/>
      <c r="M1330" s="115"/>
      <c r="N1330" s="132"/>
      <c r="P1330" s="116"/>
      <c r="Q1330" s="132"/>
      <c r="R1330" s="2"/>
      <c r="S1330" s="115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15"/>
      <c r="E1331" s="134"/>
      <c r="F1331" s="129"/>
      <c r="G1331" s="115"/>
      <c r="H1331" s="134"/>
      <c r="I1331" s="129"/>
      <c r="J1331" s="115"/>
      <c r="K1331" s="134"/>
      <c r="L1331" s="16"/>
      <c r="M1331" s="115"/>
      <c r="N1331" s="132"/>
      <c r="P1331" s="116"/>
      <c r="Q1331" s="132"/>
      <c r="R1331" s="2"/>
      <c r="S1331" s="115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15"/>
      <c r="E1332" s="134"/>
      <c r="F1332" s="129"/>
      <c r="G1332" s="115"/>
      <c r="H1332" s="134"/>
      <c r="I1332" s="129"/>
      <c r="J1332" s="115"/>
      <c r="K1332" s="134"/>
      <c r="L1332" s="16"/>
      <c r="M1332" s="115"/>
      <c r="N1332" s="132"/>
      <c r="P1332" s="116"/>
      <c r="Q1332" s="132"/>
      <c r="R1332" s="2"/>
      <c r="S1332" s="115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15"/>
      <c r="E1333" s="134"/>
      <c r="F1333" s="129"/>
      <c r="G1333" s="115"/>
      <c r="H1333" s="134"/>
      <c r="I1333" s="129"/>
      <c r="J1333" s="115"/>
      <c r="K1333" s="134"/>
      <c r="L1333" s="16"/>
      <c r="M1333" s="115"/>
      <c r="N1333" s="132"/>
      <c r="P1333" s="116"/>
      <c r="Q1333" s="132"/>
      <c r="R1333" s="2"/>
      <c r="S1333" s="115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15"/>
      <c r="E1334" s="134"/>
      <c r="F1334" s="129"/>
      <c r="G1334" s="115"/>
      <c r="H1334" s="134"/>
      <c r="I1334" s="129"/>
      <c r="J1334" s="115"/>
      <c r="K1334" s="134"/>
      <c r="L1334" s="16"/>
      <c r="M1334" s="115"/>
      <c r="N1334" s="132"/>
      <c r="P1334" s="116"/>
      <c r="Q1334" s="132"/>
      <c r="R1334" s="2"/>
      <c r="S1334" s="115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15"/>
      <c r="E1335" s="134"/>
      <c r="F1335" s="129"/>
      <c r="G1335" s="115"/>
      <c r="H1335" s="134"/>
      <c r="I1335" s="129"/>
      <c r="J1335" s="115"/>
      <c r="K1335" s="134"/>
      <c r="L1335" s="16"/>
      <c r="M1335" s="115"/>
      <c r="N1335" s="132"/>
      <c r="P1335" s="116"/>
      <c r="Q1335" s="132"/>
      <c r="R1335" s="2"/>
      <c r="S1335" s="115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15"/>
      <c r="E1336" s="134"/>
      <c r="F1336" s="129"/>
      <c r="G1336" s="115"/>
      <c r="H1336" s="134"/>
      <c r="I1336" s="129"/>
      <c r="J1336" s="115"/>
      <c r="K1336" s="134"/>
      <c r="L1336" s="16"/>
      <c r="M1336" s="115"/>
      <c r="N1336" s="132"/>
      <c r="P1336" s="116"/>
      <c r="Q1336" s="132"/>
      <c r="R1336" s="2"/>
      <c r="S1336" s="115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254</v>
      </c>
      <c r="B1337" s="39"/>
      <c r="C1337" s="12"/>
      <c r="D1337" s="115"/>
      <c r="E1337" s="131"/>
      <c r="F1337" s="126"/>
      <c r="G1337" s="122"/>
      <c r="H1337" s="137"/>
      <c r="I1337" s="126"/>
      <c r="J1337" s="122"/>
      <c r="K1337" s="137"/>
      <c r="L1337" s="121"/>
      <c r="M1337" s="122"/>
      <c r="N1337" s="132"/>
      <c r="O1337" s="120"/>
      <c r="P1337" s="350"/>
      <c r="Q1337" s="132"/>
      <c r="R1337" s="121"/>
      <c r="S1337" s="12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6"/>
      <c r="E1338" s="10"/>
      <c r="F1338" s="120"/>
      <c r="G1338" s="350"/>
      <c r="H1338" s="130"/>
      <c r="I1338" s="121"/>
      <c r="J1338" s="122"/>
      <c r="K1338" s="10"/>
      <c r="L1338" s="121"/>
      <c r="M1338" s="122"/>
      <c r="N1338" s="10"/>
      <c r="O1338" s="120"/>
      <c r="P1338" s="350"/>
      <c r="Q1338" s="132"/>
      <c r="R1338" s="121"/>
      <c r="S1338" s="122"/>
      <c r="V1338" s="2"/>
      <c r="W1338" s="2"/>
      <c r="X1338" s="2"/>
      <c r="Y1338" s="2"/>
      <c r="Z1338" s="2"/>
      <c r="AA1338" s="2"/>
      <c r="AB1338" s="2"/>
    </row>
    <row r="1339" spans="1:28">
      <c r="A1339" s="2"/>
      <c r="B1339" s="10" t="s">
        <v>245</v>
      </c>
      <c r="C1339" t="s">
        <v>77</v>
      </c>
      <c r="D1339" t="s">
        <v>78</v>
      </c>
      <c r="E1339" s="10" t="s">
        <v>257</v>
      </c>
      <c r="F1339" s="120" t="s">
        <v>77</v>
      </c>
      <c r="G1339" s="120" t="s">
        <v>78</v>
      </c>
      <c r="H1339" s="10" t="s">
        <v>258</v>
      </c>
      <c r="I1339" s="120" t="s">
        <v>77</v>
      </c>
      <c r="J1339" s="120" t="s">
        <v>78</v>
      </c>
      <c r="K1339" s="10" t="s">
        <v>515</v>
      </c>
      <c r="L1339" s="120" t="s">
        <v>77</v>
      </c>
      <c r="M1339" s="120" t="s">
        <v>78</v>
      </c>
      <c r="N1339" s="10" t="s">
        <v>373</v>
      </c>
      <c r="O1339" s="120" t="s">
        <v>77</v>
      </c>
      <c r="P1339" s="120" t="s">
        <v>78</v>
      </c>
      <c r="Q1339" s="10" t="s">
        <v>482</v>
      </c>
      <c r="R1339" s="120" t="s">
        <v>77</v>
      </c>
      <c r="S1339" s="120" t="s">
        <v>78</v>
      </c>
      <c r="T1339" s="10" t="s">
        <v>516</v>
      </c>
      <c r="U1339" s="120" t="s">
        <v>77</v>
      </c>
      <c r="V1339" s="120" t="s">
        <v>78</v>
      </c>
      <c r="W1339" s="10" t="s">
        <v>517</v>
      </c>
      <c r="X1339" s="120" t="s">
        <v>77</v>
      </c>
      <c r="Y1339" s="120" t="s">
        <v>78</v>
      </c>
      <c r="Z1339" s="10" t="s">
        <v>517</v>
      </c>
      <c r="AA1339" s="120" t="s">
        <v>77</v>
      </c>
      <c r="AB1339" s="120" t="s">
        <v>78</v>
      </c>
    </row>
    <row r="1340" spans="1:28">
      <c r="A1340" s="69" t="s">
        <v>91</v>
      </c>
      <c r="B1340" s="127">
        <f>B!AF89</f>
        <v>1.87685E-3</v>
      </c>
      <c r="C1340" s="127" t="str">
        <f>B!AG89</f>
        <v>11-Jan</v>
      </c>
      <c r="D1340" s="122">
        <f>B!AH89</f>
        <v>3</v>
      </c>
      <c r="E1340" s="133">
        <f>'C'!AF89</f>
        <v>1.6999999999999999E-3</v>
      </c>
      <c r="F1340" s="126">
        <f>'C'!AG89</f>
        <v>36895</v>
      </c>
      <c r="G1340" s="122">
        <f>'C'!AH89</f>
        <v>24</v>
      </c>
      <c r="H1340" s="133">
        <f>D!AF89</f>
        <v>1.6999999999999999E-3</v>
      </c>
      <c r="I1340" s="126">
        <f>D!AG89</f>
        <v>36895</v>
      </c>
      <c r="J1340" s="122">
        <f>D!AH89</f>
        <v>24</v>
      </c>
      <c r="K1340" s="133">
        <f>E!AF89</f>
        <v>1.9292157767827299E-3</v>
      </c>
      <c r="L1340" s="127" t="str">
        <f>E!AG89</f>
        <v>01/11</v>
      </c>
      <c r="M1340" s="122" t="str">
        <f>E!AH89</f>
        <v>03:00</v>
      </c>
      <c r="N1340" s="139">
        <f>F!AF89</f>
        <v>1.9680000000000001E-3</v>
      </c>
      <c r="O1340" s="128">
        <f>F!AG89</f>
        <v>11</v>
      </c>
      <c r="P1340" s="350">
        <f>F!AH89</f>
        <v>3</v>
      </c>
      <c r="Q1340" s="139">
        <f>G!AF89</f>
        <v>1.97E-3</v>
      </c>
      <c r="R1340" s="128">
        <f>G!AG89</f>
        <v>37626</v>
      </c>
      <c r="S1340" s="350">
        <f>G!AH89</f>
        <v>6</v>
      </c>
      <c r="T1340">
        <f>YD!AF89</f>
        <v>0</v>
      </c>
      <c r="U1340">
        <f>YD!AG89</f>
        <v>0</v>
      </c>
      <c r="V1340">
        <f>YD!AH89</f>
        <v>0</v>
      </c>
      <c r="W1340" s="2">
        <f>I!AF89</f>
        <v>0</v>
      </c>
      <c r="X1340" s="2">
        <f>I!AG89</f>
        <v>0</v>
      </c>
      <c r="Y1340" s="2">
        <f>I!AH89</f>
        <v>0</v>
      </c>
      <c r="Z1340" s="2">
        <f>J!AF89</f>
        <v>0</v>
      </c>
      <c r="AA1340" s="2">
        <f>J!AG89</f>
        <v>0</v>
      </c>
      <c r="AB1340" s="2">
        <f>J!AH89</f>
        <v>0</v>
      </c>
    </row>
    <row r="1341" spans="1:28">
      <c r="A1341" s="69" t="s">
        <v>96</v>
      </c>
      <c r="B1341" s="127">
        <f>B!AF90</f>
        <v>1.8768599999999999E-3</v>
      </c>
      <c r="C1341" s="127" t="str">
        <f>B!AG90</f>
        <v>11-Jan</v>
      </c>
      <c r="D1341" s="122">
        <f>B!AH90</f>
        <v>3</v>
      </c>
      <c r="E1341" s="133">
        <f>'C'!AF90</f>
        <v>1.6999999999999999E-3</v>
      </c>
      <c r="F1341" s="126">
        <f>'C'!AG90</f>
        <v>36895</v>
      </c>
      <c r="G1341" s="122">
        <f>'C'!AH90</f>
        <v>24</v>
      </c>
      <c r="H1341" s="133">
        <f>D!AF90</f>
        <v>1.6999999999999999E-3</v>
      </c>
      <c r="I1341" s="126">
        <f>D!AG90</f>
        <v>36895</v>
      </c>
      <c r="J1341" s="122">
        <f>D!AH90</f>
        <v>24</v>
      </c>
      <c r="K1341" s="133">
        <f>E!AF90</f>
        <v>1.94348508990299E-3</v>
      </c>
      <c r="L1341" s="127" t="str">
        <f>E!AG90</f>
        <v>01/05</v>
      </c>
      <c r="M1341" s="122" t="str">
        <f>E!AH90</f>
        <v>07:00</v>
      </c>
      <c r="N1341" s="139">
        <f>F!AF90</f>
        <v>2.019E-3</v>
      </c>
      <c r="O1341" s="128">
        <f>F!AG90</f>
        <v>5</v>
      </c>
      <c r="P1341" s="350">
        <f>F!AH90</f>
        <v>7</v>
      </c>
      <c r="Q1341" s="139">
        <f>G!AF90</f>
        <v>1.9599999999999999E-3</v>
      </c>
      <c r="R1341" s="128">
        <f>G!AG90</f>
        <v>37626</v>
      </c>
      <c r="S1341" s="350">
        <f>G!AH90</f>
        <v>7</v>
      </c>
      <c r="T1341">
        <f>YD!AF90</f>
        <v>0</v>
      </c>
      <c r="U1341">
        <f>YD!AG90</f>
        <v>0</v>
      </c>
      <c r="V1341">
        <f>YD!AH90</f>
        <v>0</v>
      </c>
      <c r="W1341" s="2">
        <f>I!AF90</f>
        <v>0</v>
      </c>
      <c r="X1341" s="2">
        <f>I!AG90</f>
        <v>0</v>
      </c>
      <c r="Y1341" s="2">
        <f>I!AH90</f>
        <v>0</v>
      </c>
      <c r="Z1341" s="2">
        <f>J!AF90</f>
        <v>0</v>
      </c>
      <c r="AA1341" s="2">
        <f>J!AG90</f>
        <v>0</v>
      </c>
      <c r="AB1341" s="2">
        <f>J!AH90</f>
        <v>0</v>
      </c>
    </row>
    <row r="1342" spans="1:28">
      <c r="A1342" s="69" t="s">
        <v>98</v>
      </c>
      <c r="B1342" s="127">
        <f>B!AF91</f>
        <v>1.87685E-3</v>
      </c>
      <c r="C1342" s="127" t="str">
        <f>B!AG91</f>
        <v>11-Jan</v>
      </c>
      <c r="D1342" s="122">
        <f>B!AH91</f>
        <v>3</v>
      </c>
      <c r="E1342" s="133">
        <f>'C'!AF91</f>
        <v>1.6999999999999999E-3</v>
      </c>
      <c r="F1342" s="126">
        <f>'C'!AG91</f>
        <v>36895</v>
      </c>
      <c r="G1342" s="122">
        <f>'C'!AH91</f>
        <v>24</v>
      </c>
      <c r="H1342" s="133">
        <f>D!AF91</f>
        <v>1.6999999999999999E-3</v>
      </c>
      <c r="I1342" s="126">
        <f>D!AG91</f>
        <v>36895</v>
      </c>
      <c r="J1342" s="122">
        <f>D!AH91</f>
        <v>24</v>
      </c>
      <c r="K1342" s="133">
        <f>E!AF91</f>
        <v>1.9350936123160301E-3</v>
      </c>
      <c r="L1342" s="127" t="str">
        <f>E!AG91</f>
        <v>01/11</v>
      </c>
      <c r="M1342" s="122" t="str">
        <f>E!AH91</f>
        <v>03:00</v>
      </c>
      <c r="N1342" s="139">
        <f>F!AF91</f>
        <v>1.9680000000000001E-3</v>
      </c>
      <c r="O1342" s="128">
        <f>F!AG91</f>
        <v>11</v>
      </c>
      <c r="P1342" s="350">
        <f>F!AH91</f>
        <v>3</v>
      </c>
      <c r="Q1342" s="139">
        <f>G!AF91</f>
        <v>1.97E-3</v>
      </c>
      <c r="R1342" s="128">
        <f>G!AG91</f>
        <v>37626</v>
      </c>
      <c r="S1342" s="350">
        <f>G!AH91</f>
        <v>6</v>
      </c>
      <c r="T1342">
        <f>YD!AF91</f>
        <v>0</v>
      </c>
      <c r="U1342">
        <f>YD!AG91</f>
        <v>0</v>
      </c>
      <c r="V1342">
        <f>YD!AH91</f>
        <v>0</v>
      </c>
      <c r="W1342" s="2">
        <f>I!AF91</f>
        <v>0</v>
      </c>
      <c r="X1342" s="2">
        <f>I!AG91</f>
        <v>0</v>
      </c>
      <c r="Y1342" s="2">
        <f>I!AH91</f>
        <v>0</v>
      </c>
      <c r="Z1342" s="2">
        <f>J!AF91</f>
        <v>0</v>
      </c>
      <c r="AA1342" s="2">
        <f>J!AG91</f>
        <v>0</v>
      </c>
      <c r="AB1342" s="2">
        <f>J!AH91</f>
        <v>0</v>
      </c>
    </row>
    <row r="1343" spans="1:28">
      <c r="A1343" s="69" t="s">
        <v>102</v>
      </c>
      <c r="B1343" s="127">
        <f>B!AF92</f>
        <v>1.87685E-3</v>
      </c>
      <c r="C1343" s="127" t="str">
        <f>B!AG92</f>
        <v>11-Jan</v>
      </c>
      <c r="D1343" s="122">
        <f>B!AH92</f>
        <v>3</v>
      </c>
      <c r="E1343" s="133">
        <f>'C'!AF92</f>
        <v>1.6999999999999999E-3</v>
      </c>
      <c r="F1343" s="126">
        <f>'C'!AG92</f>
        <v>36895</v>
      </c>
      <c r="G1343" s="122">
        <f>'C'!AH92</f>
        <v>24</v>
      </c>
      <c r="H1343" s="133">
        <f>D!AF92</f>
        <v>1.6999999999999999E-3</v>
      </c>
      <c r="I1343" s="126">
        <f>D!AG92</f>
        <v>36895</v>
      </c>
      <c r="J1343" s="122">
        <f>D!AH92</f>
        <v>24</v>
      </c>
      <c r="K1343" s="133">
        <f>E!AF92</f>
        <v>1.92919867778698E-3</v>
      </c>
      <c r="L1343" s="127" t="str">
        <f>E!AG92</f>
        <v>01/11</v>
      </c>
      <c r="M1343" s="122" t="str">
        <f>E!AH92</f>
        <v>03:00</v>
      </c>
      <c r="N1343" s="139">
        <f>F!AF92</f>
        <v>1.9680000000000001E-3</v>
      </c>
      <c r="O1343" s="128">
        <f>F!AG92</f>
        <v>11</v>
      </c>
      <c r="P1343" s="350">
        <f>F!AH92</f>
        <v>3</v>
      </c>
      <c r="Q1343" s="139">
        <f>G!AF92</f>
        <v>1.97E-3</v>
      </c>
      <c r="R1343" s="128">
        <f>G!AG92</f>
        <v>37626</v>
      </c>
      <c r="S1343" s="350">
        <f>G!AH92</f>
        <v>6</v>
      </c>
      <c r="T1343">
        <f>YD!AF92</f>
        <v>0</v>
      </c>
      <c r="U1343">
        <f>YD!AG92</f>
        <v>0</v>
      </c>
      <c r="V1343">
        <f>YD!AH92</f>
        <v>0</v>
      </c>
      <c r="W1343" s="2">
        <f>I!AF92</f>
        <v>0</v>
      </c>
      <c r="X1343" s="2">
        <f>I!AG92</f>
        <v>0</v>
      </c>
      <c r="Y1343" s="2">
        <f>I!AH92</f>
        <v>0</v>
      </c>
      <c r="Z1343" s="2">
        <f>J!AF92</f>
        <v>0</v>
      </c>
      <c r="AA1343" s="2">
        <f>J!AG92</f>
        <v>0</v>
      </c>
      <c r="AB1343" s="2">
        <f>J!AH92</f>
        <v>0</v>
      </c>
    </row>
    <row r="1344" spans="1:28">
      <c r="A1344" s="69" t="s">
        <v>356</v>
      </c>
      <c r="B1344" s="127">
        <f>B!AF93</f>
        <v>1.87685E-3</v>
      </c>
      <c r="C1344" s="127" t="str">
        <f>B!AG93</f>
        <v>11-Jan</v>
      </c>
      <c r="D1344" s="122">
        <f>B!AH93</f>
        <v>3</v>
      </c>
      <c r="E1344" s="133">
        <f>'C'!AF93</f>
        <v>1.6999999999999999E-3</v>
      </c>
      <c r="F1344" s="126">
        <f>'C'!AG93</f>
        <v>36895</v>
      </c>
      <c r="G1344" s="122">
        <f>'C'!AH93</f>
        <v>24</v>
      </c>
      <c r="H1344" s="133">
        <f>D!AF93</f>
        <v>1.6999999999999999E-3</v>
      </c>
      <c r="I1344" s="126">
        <f>D!AG93</f>
        <v>36895</v>
      </c>
      <c r="J1344" s="122">
        <f>D!AH93</f>
        <v>24</v>
      </c>
      <c r="K1344" s="133">
        <f>E!AF93</f>
        <v>1.92919867778698E-3</v>
      </c>
      <c r="L1344" s="127" t="str">
        <f>E!AG93</f>
        <v>01/11</v>
      </c>
      <c r="M1344" s="122" t="str">
        <f>E!AH93</f>
        <v>03:00</v>
      </c>
      <c r="N1344" s="139">
        <f>F!AF93</f>
        <v>1.9680000000000001E-3</v>
      </c>
      <c r="O1344" s="128">
        <f>F!AG93</f>
        <v>11</v>
      </c>
      <c r="P1344" s="350">
        <f>F!AH93</f>
        <v>3</v>
      </c>
      <c r="Q1344" s="139">
        <f>G!AF93</f>
        <v>1.97E-3</v>
      </c>
      <c r="R1344" s="128">
        <f>G!AG93</f>
        <v>37626</v>
      </c>
      <c r="S1344" s="350">
        <f>G!AH93</f>
        <v>6</v>
      </c>
      <c r="T1344">
        <f>YD!AF93</f>
        <v>0</v>
      </c>
      <c r="U1344">
        <f>YD!AG93</f>
        <v>0</v>
      </c>
      <c r="V1344">
        <f>YD!AH93</f>
        <v>0</v>
      </c>
      <c r="W1344" s="2">
        <f>I!AF93</f>
        <v>0</v>
      </c>
      <c r="X1344" s="2">
        <f>I!AG93</f>
        <v>0</v>
      </c>
      <c r="Y1344" s="2">
        <f>I!AH93</f>
        <v>0</v>
      </c>
      <c r="Z1344" s="2">
        <f>J!AF93</f>
        <v>0</v>
      </c>
      <c r="AA1344" s="2">
        <f>J!AG93</f>
        <v>0</v>
      </c>
      <c r="AB1344" s="2">
        <f>J!AH93</f>
        <v>0</v>
      </c>
    </row>
    <row r="1345" spans="1:28">
      <c r="A1345" s="69" t="s">
        <v>105</v>
      </c>
      <c r="B1345" s="127">
        <f>B!AF94</f>
        <v>1.87685E-3</v>
      </c>
      <c r="C1345" s="127" t="str">
        <f>B!AG94</f>
        <v>11-Jan</v>
      </c>
      <c r="D1345" s="122">
        <f>B!AH94</f>
        <v>3</v>
      </c>
      <c r="E1345" s="133">
        <f>'C'!AF94</f>
        <v>1.6999999999999999E-3</v>
      </c>
      <c r="F1345" s="126">
        <f>'C'!AG94</f>
        <v>36895</v>
      </c>
      <c r="G1345" s="122">
        <f>'C'!AH94</f>
        <v>24</v>
      </c>
      <c r="H1345" s="133">
        <f>D!AF94</f>
        <v>1.6999999999999999E-3</v>
      </c>
      <c r="I1345" s="126">
        <f>D!AG94</f>
        <v>36895</v>
      </c>
      <c r="J1345" s="122">
        <f>D!AH94</f>
        <v>24</v>
      </c>
      <c r="K1345" s="133">
        <f>E!AF94</f>
        <v>1.9292157767827299E-3</v>
      </c>
      <c r="L1345" s="127" t="str">
        <f>E!AG94</f>
        <v>01/11</v>
      </c>
      <c r="M1345" s="122" t="str">
        <f>E!AH94</f>
        <v>03:00</v>
      </c>
      <c r="N1345" s="139">
        <f>F!AF94</f>
        <v>1.9680000000000001E-3</v>
      </c>
      <c r="O1345" s="128">
        <f>F!AG94</f>
        <v>11</v>
      </c>
      <c r="P1345" s="350">
        <f>F!AH94</f>
        <v>3</v>
      </c>
      <c r="Q1345" s="139">
        <f>G!AF94</f>
        <v>1.97E-3</v>
      </c>
      <c r="R1345" s="128">
        <f>G!AG94</f>
        <v>37626</v>
      </c>
      <c r="S1345" s="350">
        <f>G!AH94</f>
        <v>6</v>
      </c>
      <c r="T1345">
        <f>YD!AF94</f>
        <v>0</v>
      </c>
      <c r="U1345">
        <f>YD!AG94</f>
        <v>0</v>
      </c>
      <c r="V1345">
        <f>YD!AH94</f>
        <v>0</v>
      </c>
      <c r="W1345" s="2">
        <f>I!AF94</f>
        <v>0</v>
      </c>
      <c r="X1345" s="2">
        <f>I!AG94</f>
        <v>0</v>
      </c>
      <c r="Y1345" s="2">
        <f>I!AH94</f>
        <v>0</v>
      </c>
      <c r="Z1345" s="2">
        <f>J!AF94</f>
        <v>0</v>
      </c>
      <c r="AA1345" s="2">
        <f>J!AG94</f>
        <v>0</v>
      </c>
      <c r="AB1345" s="2">
        <f>J!AH94</f>
        <v>0</v>
      </c>
    </row>
    <row r="1346" spans="1:28">
      <c r="A1346" s="69" t="s">
        <v>108</v>
      </c>
      <c r="B1346" s="127">
        <f>B!AF95</f>
        <v>1.87685E-3</v>
      </c>
      <c r="C1346" s="127" t="str">
        <f>B!AG95</f>
        <v>11-Jan</v>
      </c>
      <c r="D1346" s="122">
        <f>B!AH95</f>
        <v>3</v>
      </c>
      <c r="E1346" s="133">
        <f>'C'!AF95</f>
        <v>1.6999999999999999E-3</v>
      </c>
      <c r="F1346" s="126">
        <f>'C'!AG95</f>
        <v>36895</v>
      </c>
      <c r="G1346" s="122">
        <f>'C'!AH95</f>
        <v>24</v>
      </c>
      <c r="H1346" s="133">
        <f>D!AF95</f>
        <v>1.6999999999999999E-3</v>
      </c>
      <c r="I1346" s="126">
        <f>D!AG95</f>
        <v>36895</v>
      </c>
      <c r="J1346" s="122">
        <f>D!AH95</f>
        <v>24</v>
      </c>
      <c r="K1346" s="133">
        <f>E!AF95</f>
        <v>1.9292157545680701E-3</v>
      </c>
      <c r="L1346" s="127" t="str">
        <f>E!AG95</f>
        <v>01/11</v>
      </c>
      <c r="M1346" s="122" t="str">
        <f>E!AH95</f>
        <v>03:00</v>
      </c>
      <c r="N1346" s="139">
        <f>F!AF95</f>
        <v>1.9680000000000001E-3</v>
      </c>
      <c r="O1346" s="128">
        <f>F!AG95</f>
        <v>11</v>
      </c>
      <c r="P1346" s="350">
        <f>F!AH95</f>
        <v>3</v>
      </c>
      <c r="Q1346" s="139">
        <f>G!AF95</f>
        <v>1.97E-3</v>
      </c>
      <c r="R1346" s="128">
        <f>G!AG95</f>
        <v>37626</v>
      </c>
      <c r="S1346" s="350">
        <f>G!AH95</f>
        <v>6</v>
      </c>
      <c r="T1346">
        <f>YD!AF95</f>
        <v>0</v>
      </c>
      <c r="U1346">
        <f>YD!AG95</f>
        <v>0</v>
      </c>
      <c r="V1346">
        <f>YD!AH95</f>
        <v>0</v>
      </c>
      <c r="W1346" s="2">
        <f>I!AF95</f>
        <v>0</v>
      </c>
      <c r="X1346" s="2">
        <f>I!AG95</f>
        <v>0</v>
      </c>
      <c r="Y1346" s="2">
        <f>I!AH95</f>
        <v>0</v>
      </c>
      <c r="Z1346" s="2">
        <f>J!AF95</f>
        <v>0</v>
      </c>
      <c r="AA1346" s="2">
        <f>J!AG95</f>
        <v>0</v>
      </c>
      <c r="AB1346" s="2">
        <f>J!AH95</f>
        <v>0</v>
      </c>
    </row>
    <row r="1347" spans="1:28">
      <c r="A1347" s="69" t="s">
        <v>109</v>
      </c>
      <c r="B1347" s="127">
        <f>B!AF96</f>
        <v>1.87685E-3</v>
      </c>
      <c r="C1347" s="127" t="str">
        <f>B!AG96</f>
        <v>11-Jan</v>
      </c>
      <c r="D1347" s="122">
        <f>B!AH96</f>
        <v>3</v>
      </c>
      <c r="E1347" s="133">
        <f>'C'!AF96</f>
        <v>1.6999999999999999E-3</v>
      </c>
      <c r="F1347" s="126">
        <f>'C'!AG96</f>
        <v>36895</v>
      </c>
      <c r="G1347" s="122">
        <f>'C'!AH96</f>
        <v>24</v>
      </c>
      <c r="H1347" s="133">
        <f>D!AF96</f>
        <v>1.6999999999999999E-3</v>
      </c>
      <c r="I1347" s="126">
        <f>D!AG96</f>
        <v>36895</v>
      </c>
      <c r="J1347" s="122">
        <f>D!AH96</f>
        <v>24</v>
      </c>
      <c r="K1347" s="133">
        <f>E!AF96</f>
        <v>1.9292157798758199E-3</v>
      </c>
      <c r="L1347" s="127" t="str">
        <f>E!AG96</f>
        <v>01/11</v>
      </c>
      <c r="M1347" s="122" t="str">
        <f>E!AH96</f>
        <v>03:00</v>
      </c>
      <c r="N1347" s="139">
        <f>F!AF96</f>
        <v>0</v>
      </c>
      <c r="O1347" s="128">
        <f>F!AG96</f>
        <v>0</v>
      </c>
      <c r="P1347" s="350">
        <f>F!AH96</f>
        <v>0</v>
      </c>
      <c r="Q1347" s="139">
        <f>G!AF96</f>
        <v>1.97E-3</v>
      </c>
      <c r="R1347" s="128">
        <f>G!AG96</f>
        <v>37626</v>
      </c>
      <c r="S1347" s="350">
        <f>G!AH96</f>
        <v>6</v>
      </c>
      <c r="T1347">
        <f>YD!AF96</f>
        <v>0</v>
      </c>
      <c r="U1347">
        <f>YD!AG96</f>
        <v>0</v>
      </c>
      <c r="V1347">
        <f>YD!AH96</f>
        <v>0</v>
      </c>
      <c r="W1347" s="2">
        <f>I!AF96</f>
        <v>0</v>
      </c>
      <c r="X1347" s="2">
        <f>I!AG96</f>
        <v>0</v>
      </c>
      <c r="Y1347" s="2">
        <f>I!AH96</f>
        <v>0</v>
      </c>
      <c r="Z1347" s="2">
        <f>J!AF96</f>
        <v>0</v>
      </c>
      <c r="AA1347" s="2">
        <f>J!AG96</f>
        <v>0</v>
      </c>
      <c r="AB1347" s="2">
        <f>J!AH96</f>
        <v>0</v>
      </c>
    </row>
    <row r="1348" spans="1:28">
      <c r="A1348" s="69" t="s">
        <v>111</v>
      </c>
      <c r="B1348" s="127">
        <f>B!AF97</f>
        <v>1.87685E-3</v>
      </c>
      <c r="C1348" s="127" t="str">
        <f>B!AG97</f>
        <v>11-Jan</v>
      </c>
      <c r="D1348" s="122">
        <f>B!AH97</f>
        <v>3</v>
      </c>
      <c r="E1348" s="133">
        <f>'C'!AF97</f>
        <v>1.6999999999999999E-3</v>
      </c>
      <c r="F1348" s="126">
        <f>'C'!AG97</f>
        <v>36895</v>
      </c>
      <c r="G1348" s="122">
        <f>'C'!AH97</f>
        <v>24</v>
      </c>
      <c r="H1348" s="133">
        <f>D!AF97</f>
        <v>1.6999999999999999E-3</v>
      </c>
      <c r="I1348" s="126">
        <f>D!AG97</f>
        <v>36895</v>
      </c>
      <c r="J1348" s="122">
        <f>D!AH97</f>
        <v>24</v>
      </c>
      <c r="K1348" s="133">
        <f>E!AF97</f>
        <v>1.9292157792105101E-3</v>
      </c>
      <c r="L1348" s="127" t="str">
        <f>E!AG97</f>
        <v>01/11</v>
      </c>
      <c r="M1348" s="122" t="str">
        <f>E!AH97</f>
        <v>03:00</v>
      </c>
      <c r="N1348" s="139">
        <f>F!AF97</f>
        <v>0</v>
      </c>
      <c r="O1348" s="128">
        <f>F!AG97</f>
        <v>0</v>
      </c>
      <c r="P1348" s="350">
        <f>F!AH97</f>
        <v>0</v>
      </c>
      <c r="Q1348" s="139">
        <f>G!AF97</f>
        <v>1.97E-3</v>
      </c>
      <c r="R1348" s="128">
        <f>G!AG97</f>
        <v>37626</v>
      </c>
      <c r="S1348" s="350">
        <f>G!AH97</f>
        <v>6</v>
      </c>
      <c r="T1348">
        <f>YD!AF97</f>
        <v>0</v>
      </c>
      <c r="U1348">
        <f>YD!AG97</f>
        <v>0</v>
      </c>
      <c r="V1348">
        <f>YD!AH97</f>
        <v>0</v>
      </c>
      <c r="W1348" s="2">
        <f>I!AF97</f>
        <v>0</v>
      </c>
      <c r="X1348" s="2">
        <f>I!AG97</f>
        <v>0</v>
      </c>
      <c r="Y1348" s="2">
        <f>I!AH97</f>
        <v>0</v>
      </c>
      <c r="Z1348" s="2">
        <f>J!AF97</f>
        <v>0</v>
      </c>
      <c r="AA1348" s="2">
        <f>J!AG97</f>
        <v>0</v>
      </c>
      <c r="AB1348" s="2">
        <f>J!AH97</f>
        <v>0</v>
      </c>
    </row>
    <row r="1349" spans="1:28">
      <c r="A1349" s="69" t="s">
        <v>112</v>
      </c>
      <c r="B1349" s="127">
        <f>B!AF98</f>
        <v>1.87685E-3</v>
      </c>
      <c r="C1349" s="127" t="str">
        <f>B!AG98</f>
        <v>11-Jan</v>
      </c>
      <c r="D1349" s="122">
        <f>B!AH98</f>
        <v>3</v>
      </c>
      <c r="E1349" s="133">
        <f>'C'!AF98</f>
        <v>1.6999999999999999E-3</v>
      </c>
      <c r="F1349" s="126">
        <f>'C'!AG98</f>
        <v>36895</v>
      </c>
      <c r="G1349" s="122">
        <f>'C'!AH98</f>
        <v>24</v>
      </c>
      <c r="H1349" s="133">
        <f>D!AF98</f>
        <v>1.6999999999999999E-3</v>
      </c>
      <c r="I1349" s="126">
        <f>D!AG98</f>
        <v>36895</v>
      </c>
      <c r="J1349" s="122">
        <f>D!AH98</f>
        <v>24</v>
      </c>
      <c r="K1349" s="133">
        <f>E!AF98</f>
        <v>1.9292157760132599E-3</v>
      </c>
      <c r="L1349" s="127" t="str">
        <f>E!AG98</f>
        <v>01/11</v>
      </c>
      <c r="M1349" s="122" t="str">
        <f>E!AH98</f>
        <v>03:00</v>
      </c>
      <c r="N1349" s="139">
        <f>F!AF98</f>
        <v>0</v>
      </c>
      <c r="O1349" s="128">
        <f>F!AG98</f>
        <v>0</v>
      </c>
      <c r="P1349" s="350">
        <f>F!AH98</f>
        <v>0</v>
      </c>
      <c r="Q1349" s="139">
        <f>G!AF98</f>
        <v>1.97E-3</v>
      </c>
      <c r="R1349" s="128">
        <f>G!AG98</f>
        <v>37626</v>
      </c>
      <c r="S1349" s="350">
        <f>G!AH98</f>
        <v>6</v>
      </c>
      <c r="T1349">
        <f>YD!AF98</f>
        <v>0</v>
      </c>
      <c r="U1349">
        <f>YD!AG98</f>
        <v>0</v>
      </c>
      <c r="V1349">
        <f>YD!AH98</f>
        <v>0</v>
      </c>
      <c r="W1349" s="2">
        <f>I!AF98</f>
        <v>0</v>
      </c>
      <c r="X1349" s="2">
        <f>I!AG98</f>
        <v>0</v>
      </c>
      <c r="Y1349" s="2">
        <f>I!AH98</f>
        <v>0</v>
      </c>
      <c r="Z1349" s="2">
        <f>J!AF98</f>
        <v>0</v>
      </c>
      <c r="AA1349" s="2">
        <f>J!AG98</f>
        <v>0</v>
      </c>
      <c r="AB1349" s="2">
        <f>J!AH98</f>
        <v>0</v>
      </c>
    </row>
    <row r="1350" spans="1:28">
      <c r="A1350" s="69" t="s">
        <v>113</v>
      </c>
      <c r="B1350" s="127">
        <f>B!AF99</f>
        <v>1.87685E-3</v>
      </c>
      <c r="C1350" s="127" t="str">
        <f>B!AG99</f>
        <v>11-Jan</v>
      </c>
      <c r="D1350" s="122">
        <f>B!AH99</f>
        <v>3</v>
      </c>
      <c r="E1350" s="133">
        <f>'C'!AF99</f>
        <v>1.6999999999999999E-3</v>
      </c>
      <c r="F1350" s="126">
        <f>'C'!AG99</f>
        <v>36895</v>
      </c>
      <c r="G1350" s="122">
        <f>'C'!AH99</f>
        <v>24</v>
      </c>
      <c r="H1350" s="133">
        <f>D!AF99</f>
        <v>1.6999999999999999E-3</v>
      </c>
      <c r="I1350" s="126">
        <f>D!AG99</f>
        <v>36895</v>
      </c>
      <c r="J1350" s="122">
        <f>D!AH99</f>
        <v>24</v>
      </c>
      <c r="K1350" s="133">
        <f>E!AF99</f>
        <v>1.9292157798758199E-3</v>
      </c>
      <c r="L1350" s="127" t="str">
        <f>E!AG99</f>
        <v>01/11</v>
      </c>
      <c r="M1350" s="122" t="str">
        <f>E!AH99</f>
        <v>03:00</v>
      </c>
      <c r="N1350" s="139">
        <f>F!AF99</f>
        <v>0</v>
      </c>
      <c r="O1350" s="128">
        <f>F!AG99</f>
        <v>0</v>
      </c>
      <c r="P1350" s="350">
        <f>F!AH99</f>
        <v>0</v>
      </c>
      <c r="Q1350" s="139">
        <f>G!AF99</f>
        <v>1.97E-3</v>
      </c>
      <c r="R1350" s="128">
        <f>G!AG99</f>
        <v>37626</v>
      </c>
      <c r="S1350" s="350">
        <f>G!AH99</f>
        <v>6</v>
      </c>
      <c r="T1350">
        <f>YD!AF99</f>
        <v>0</v>
      </c>
      <c r="U1350">
        <f>YD!AG99</f>
        <v>0</v>
      </c>
      <c r="V1350">
        <f>YD!AH99</f>
        <v>0</v>
      </c>
      <c r="W1350" s="2">
        <f>I!AF99</f>
        <v>0</v>
      </c>
      <c r="X1350" s="2">
        <f>I!AG99</f>
        <v>0</v>
      </c>
      <c r="Y1350" s="2">
        <f>I!AH99</f>
        <v>0</v>
      </c>
      <c r="Z1350" s="2">
        <f>J!AF99</f>
        <v>0</v>
      </c>
      <c r="AA1350" s="2">
        <f>J!AG99</f>
        <v>0</v>
      </c>
      <c r="AB1350" s="2">
        <f>J!AH99</f>
        <v>0</v>
      </c>
    </row>
    <row r="1351" spans="1:28">
      <c r="A1351" s="69" t="s">
        <v>114</v>
      </c>
      <c r="B1351" s="127">
        <f>B!AF100</f>
        <v>1.87685E-3</v>
      </c>
      <c r="C1351" s="127" t="str">
        <f>B!AG100</f>
        <v>11-Jan</v>
      </c>
      <c r="D1351" s="122">
        <f>B!AH100</f>
        <v>3</v>
      </c>
      <c r="E1351" s="133">
        <f>'C'!AF100</f>
        <v>1.6999999999999999E-3</v>
      </c>
      <c r="F1351" s="126">
        <f>'C'!AG100</f>
        <v>36895</v>
      </c>
      <c r="G1351" s="122">
        <f>'C'!AH100</f>
        <v>24</v>
      </c>
      <c r="H1351" s="133">
        <f>D!AF100</f>
        <v>1.6999999999999999E-3</v>
      </c>
      <c r="I1351" s="126">
        <f>D!AG100</f>
        <v>36895</v>
      </c>
      <c r="J1351" s="122">
        <f>D!AH100</f>
        <v>24</v>
      </c>
      <c r="K1351" s="133">
        <f>E!AF100</f>
        <v>1.9292157758506901E-3</v>
      </c>
      <c r="L1351" s="127" t="str">
        <f>E!AG100</f>
        <v>01/11</v>
      </c>
      <c r="M1351" s="122" t="str">
        <f>E!AH100</f>
        <v>03:00</v>
      </c>
      <c r="N1351" s="139">
        <f>F!AF100</f>
        <v>0</v>
      </c>
      <c r="O1351" s="128">
        <f>F!AG100</f>
        <v>0</v>
      </c>
      <c r="P1351" s="350">
        <f>F!AH100</f>
        <v>0</v>
      </c>
      <c r="Q1351" s="139">
        <f>G!AF100</f>
        <v>1.97E-3</v>
      </c>
      <c r="R1351" s="128">
        <f>G!AG100</f>
        <v>37626</v>
      </c>
      <c r="S1351" s="350">
        <f>G!AH100</f>
        <v>7</v>
      </c>
      <c r="T1351">
        <f>YD!AF100</f>
        <v>0</v>
      </c>
      <c r="U1351">
        <f>YD!AG100</f>
        <v>0</v>
      </c>
      <c r="V1351">
        <f>YD!AH100</f>
        <v>0</v>
      </c>
      <c r="W1351" s="2">
        <f>I!AF100</f>
        <v>0</v>
      </c>
      <c r="X1351" s="2">
        <f>I!AG100</f>
        <v>0</v>
      </c>
      <c r="Y1351" s="2">
        <f>I!AH100</f>
        <v>0</v>
      </c>
      <c r="Z1351" s="2">
        <f>J!AF100</f>
        <v>0</v>
      </c>
      <c r="AA1351" s="2">
        <f>J!AG100</f>
        <v>0</v>
      </c>
      <c r="AB1351" s="2">
        <f>J!AH100</f>
        <v>0</v>
      </c>
    </row>
    <row r="1352" spans="1:28">
      <c r="A1352" s="69" t="s">
        <v>115</v>
      </c>
      <c r="B1352" s="127">
        <f>B!AF101</f>
        <v>6.8275599999999999E-3</v>
      </c>
      <c r="C1352" s="127" t="str">
        <f>B!AG101</f>
        <v>20-Dec</v>
      </c>
      <c r="D1352" s="122">
        <f>B!AH101</f>
        <v>22</v>
      </c>
      <c r="E1352" s="133" t="str">
        <f>'C'!AF101</f>
        <v>system off gives 0.000</v>
      </c>
      <c r="F1352" s="126">
        <f>'C'!AG101</f>
        <v>0</v>
      </c>
      <c r="G1352" s="122">
        <f>'C'!AH101</f>
        <v>0</v>
      </c>
      <c r="H1352" s="133" t="str">
        <f>D!AF101</f>
        <v>system off gives 0.000</v>
      </c>
      <c r="I1352" s="126">
        <f>D!AG101</f>
        <v>0</v>
      </c>
      <c r="J1352" s="122">
        <f>D!AH101</f>
        <v>0</v>
      </c>
      <c r="K1352" s="133">
        <f>E!AF101</f>
        <v>6.9608057741923903E-3</v>
      </c>
      <c r="L1352" s="127" t="str">
        <f>E!AG101</f>
        <v>12/20</v>
      </c>
      <c r="M1352" s="122" t="str">
        <f>E!AH101</f>
        <v>12:00</v>
      </c>
      <c r="N1352" s="139">
        <f>F!AF101</f>
        <v>6.9080000000000001E-3</v>
      </c>
      <c r="O1352" s="128">
        <f>F!AG101</f>
        <v>355</v>
      </c>
      <c r="P1352" s="350">
        <f>F!AH101</f>
        <v>20</v>
      </c>
      <c r="Q1352" s="139">
        <f>G!AF101</f>
        <v>1.03E-2</v>
      </c>
      <c r="R1352" s="128">
        <f>G!AG101</f>
        <v>37927</v>
      </c>
      <c r="S1352" s="350">
        <f>G!AH101</f>
        <v>2</v>
      </c>
      <c r="T1352">
        <f>YD!AF101</f>
        <v>0</v>
      </c>
      <c r="U1352">
        <f>YD!AG101</f>
        <v>0</v>
      </c>
      <c r="V1352">
        <f>YD!AH101</f>
        <v>0</v>
      </c>
      <c r="W1352" s="2">
        <f>I!AF101</f>
        <v>0</v>
      </c>
      <c r="X1352" s="2">
        <f>I!AG101</f>
        <v>0</v>
      </c>
      <c r="Y1352" s="2">
        <f>I!AH101</f>
        <v>0</v>
      </c>
      <c r="Z1352" s="2">
        <f>J!AF101</f>
        <v>0</v>
      </c>
      <c r="AA1352" s="2">
        <f>J!AG101</f>
        <v>0</v>
      </c>
      <c r="AB1352" s="2">
        <f>J!AH101</f>
        <v>0</v>
      </c>
    </row>
    <row r="1353" spans="1:28">
      <c r="A1353" s="69" t="s">
        <v>121</v>
      </c>
      <c r="B1353" s="127">
        <f>B!AF102</f>
        <v>6.8275599999999999E-3</v>
      </c>
      <c r="C1353" s="127" t="str">
        <f>B!AG102</f>
        <v>20-Dec</v>
      </c>
      <c r="D1353" s="122">
        <f>B!AH102</f>
        <v>22</v>
      </c>
      <c r="E1353" s="133" t="str">
        <f>'C'!AF102</f>
        <v>system off gives 0.000</v>
      </c>
      <c r="F1353" s="126">
        <f>'C'!AG102</f>
        <v>0</v>
      </c>
      <c r="G1353" s="122">
        <f>'C'!AH102</f>
        <v>0</v>
      </c>
      <c r="H1353" s="133" t="str">
        <f>D!AF102</f>
        <v>system off gives 0.000</v>
      </c>
      <c r="I1353" s="126">
        <f>D!AG102</f>
        <v>0</v>
      </c>
      <c r="J1353" s="122">
        <f>D!AH102</f>
        <v>0</v>
      </c>
      <c r="K1353" s="133">
        <f>E!AF102</f>
        <v>6.9608057741923903E-3</v>
      </c>
      <c r="L1353" s="127" t="str">
        <f>E!AG102</f>
        <v>12/20</v>
      </c>
      <c r="M1353" s="122" t="str">
        <f>E!AH102</f>
        <v>12:00</v>
      </c>
      <c r="N1353" s="139">
        <f>F!AF102</f>
        <v>6.9080000000000001E-3</v>
      </c>
      <c r="O1353" s="128">
        <f>F!AG102</f>
        <v>355</v>
      </c>
      <c r="P1353" s="350">
        <f>F!AH102</f>
        <v>20</v>
      </c>
      <c r="Q1353" s="139">
        <f>G!AF102</f>
        <v>1.0500000000000001E-2</v>
      </c>
      <c r="R1353" s="128">
        <f>G!AG102</f>
        <v>37713</v>
      </c>
      <c r="S1353" s="350">
        <f>G!AH102</f>
        <v>22</v>
      </c>
      <c r="T1353">
        <f>YD!AF102</f>
        <v>0</v>
      </c>
      <c r="U1353">
        <f>YD!AG102</f>
        <v>0</v>
      </c>
      <c r="V1353">
        <f>YD!AH102</f>
        <v>0</v>
      </c>
      <c r="W1353" s="2">
        <f>I!AF102</f>
        <v>0</v>
      </c>
      <c r="X1353" s="2">
        <f>I!AG102</f>
        <v>0</v>
      </c>
      <c r="Y1353" s="2">
        <f>I!AH102</f>
        <v>0</v>
      </c>
      <c r="Z1353" s="2">
        <f>J!AF102</f>
        <v>0</v>
      </c>
      <c r="AA1353" s="2">
        <f>J!AG102</f>
        <v>0</v>
      </c>
      <c r="AB1353" s="2">
        <f>J!AH102</f>
        <v>0</v>
      </c>
    </row>
    <row r="1354" spans="1:28">
      <c r="A1354" s="69" t="s">
        <v>125</v>
      </c>
      <c r="B1354" s="127">
        <f>B!AF103</f>
        <v>6.1029600000000002E-3</v>
      </c>
      <c r="C1354" s="127" t="str">
        <f>B!AG103</f>
        <v>26-Nov</v>
      </c>
      <c r="D1354" s="122">
        <f>B!AH103</f>
        <v>2</v>
      </c>
      <c r="E1354" s="133" t="str">
        <f>'C'!AF103</f>
        <v>system off gives 0.000</v>
      </c>
      <c r="F1354" s="126">
        <f>'C'!AG103</f>
        <v>0</v>
      </c>
      <c r="G1354" s="122">
        <f>'C'!AH103</f>
        <v>0</v>
      </c>
      <c r="H1354" s="133" t="str">
        <f>D!AF103</f>
        <v>system off gives 0.000</v>
      </c>
      <c r="I1354" s="126">
        <f>D!AG103</f>
        <v>0</v>
      </c>
      <c r="J1354" s="122">
        <f>D!AH103</f>
        <v>0</v>
      </c>
      <c r="K1354" s="133">
        <f>E!AF103</f>
        <v>6.4660207705716996E-3</v>
      </c>
      <c r="L1354" s="127" t="str">
        <f>E!AG103</f>
        <v>11/10</v>
      </c>
      <c r="M1354" s="122" t="str">
        <f>E!AH103</f>
        <v>07:00</v>
      </c>
      <c r="N1354" s="139">
        <f>F!AF103</f>
        <v>6.5250000000000004E-3</v>
      </c>
      <c r="O1354" s="128">
        <f>F!AG103</f>
        <v>332</v>
      </c>
      <c r="P1354" s="350">
        <f>F!AH103</f>
        <v>23</v>
      </c>
      <c r="Q1354" s="139">
        <f>G!AF103</f>
        <v>6.5700000000000003E-3</v>
      </c>
      <c r="R1354" s="128">
        <f>G!AG103</f>
        <v>37926</v>
      </c>
      <c r="S1354" s="350">
        <f>G!AH103</f>
        <v>7</v>
      </c>
      <c r="T1354">
        <f>YD!AF103</f>
        <v>0</v>
      </c>
      <c r="U1354">
        <f>YD!AG103</f>
        <v>0</v>
      </c>
      <c r="V1354">
        <f>YD!AH103</f>
        <v>0</v>
      </c>
      <c r="W1354" s="2">
        <f>I!AF103</f>
        <v>0</v>
      </c>
      <c r="X1354" s="2">
        <f>I!AG103</f>
        <v>0</v>
      </c>
      <c r="Y1354" s="2">
        <f>I!AH103</f>
        <v>0</v>
      </c>
      <c r="Z1354" s="2">
        <f>J!AF103</f>
        <v>0</v>
      </c>
      <c r="AA1354" s="2">
        <f>J!AG103</f>
        <v>0</v>
      </c>
      <c r="AB1354" s="2">
        <f>J!AH103</f>
        <v>0</v>
      </c>
    </row>
    <row r="1355" spans="1:28">
      <c r="A1355" s="69" t="s">
        <v>127</v>
      </c>
      <c r="B1355" s="127">
        <f>B!AF104</f>
        <v>6.8214900000000004E-3</v>
      </c>
      <c r="C1355" s="127" t="str">
        <f>B!AG104</f>
        <v>20-Dec</v>
      </c>
      <c r="D1355" s="122">
        <f>B!AH104</f>
        <v>22</v>
      </c>
      <c r="E1355" s="133" t="str">
        <f>'C'!AF104</f>
        <v>system off gives 0.000</v>
      </c>
      <c r="F1355" s="126">
        <f>'C'!AG104</f>
        <v>0</v>
      </c>
      <c r="G1355" s="122">
        <f>'C'!AH104</f>
        <v>0</v>
      </c>
      <c r="H1355" s="133" t="str">
        <f>D!AF104</f>
        <v>system off gives 0.000</v>
      </c>
      <c r="I1355" s="126">
        <f>D!AG104</f>
        <v>0</v>
      </c>
      <c r="J1355" s="122">
        <f>D!AH104</f>
        <v>0</v>
      </c>
      <c r="K1355" s="133">
        <f>E!AF104</f>
        <v>6.9387995884298099E-3</v>
      </c>
      <c r="L1355" s="127" t="str">
        <f>E!AG104</f>
        <v>12/20</v>
      </c>
      <c r="M1355" s="122" t="str">
        <f>E!AH104</f>
        <v>12:00</v>
      </c>
      <c r="N1355" s="139">
        <f>F!AF104</f>
        <v>6.9080000000000001E-3</v>
      </c>
      <c r="O1355" s="128">
        <f>F!AG104</f>
        <v>355</v>
      </c>
      <c r="P1355" s="350">
        <f>F!AH104</f>
        <v>20</v>
      </c>
      <c r="Q1355" s="139">
        <f>G!AF104</f>
        <v>7.8300000000000002E-3</v>
      </c>
      <c r="R1355" s="128">
        <f>G!AG104</f>
        <v>37713</v>
      </c>
      <c r="S1355" s="350">
        <f>G!AH104</f>
        <v>21</v>
      </c>
      <c r="T1355">
        <f>YD!AF104</f>
        <v>0</v>
      </c>
      <c r="U1355">
        <f>YD!AG104</f>
        <v>0</v>
      </c>
      <c r="V1355">
        <f>YD!AH104</f>
        <v>0</v>
      </c>
      <c r="W1355" s="2">
        <f>I!AF104</f>
        <v>0</v>
      </c>
      <c r="X1355" s="2">
        <f>I!AG104</f>
        <v>0</v>
      </c>
      <c r="Y1355" s="2">
        <f>I!AH104</f>
        <v>0</v>
      </c>
      <c r="Z1355" s="2">
        <f>J!AF104</f>
        <v>0</v>
      </c>
      <c r="AA1355" s="2">
        <f>J!AG104</f>
        <v>0</v>
      </c>
      <c r="AB1355" s="2">
        <f>J!AH104</f>
        <v>0</v>
      </c>
    </row>
    <row r="1356" spans="1:28">
      <c r="A1356" s="69" t="s">
        <v>130</v>
      </c>
      <c r="B1356" s="127">
        <f>B!AF105</f>
        <v>6.8356199999999997E-3</v>
      </c>
      <c r="C1356" s="127" t="str">
        <f>B!AG105</f>
        <v>20-Dec</v>
      </c>
      <c r="D1356" s="122">
        <f>B!AH105</f>
        <v>22</v>
      </c>
      <c r="E1356" s="133" t="str">
        <f>'C'!AF105</f>
        <v>system off gives 0.000</v>
      </c>
      <c r="F1356" s="126">
        <f>'C'!AG105</f>
        <v>0</v>
      </c>
      <c r="G1356" s="122">
        <f>'C'!AH105</f>
        <v>0</v>
      </c>
      <c r="H1356" s="133" t="str">
        <f>D!AF105</f>
        <v>system off gives 0.000</v>
      </c>
      <c r="I1356" s="126">
        <f>D!AG105</f>
        <v>0</v>
      </c>
      <c r="J1356" s="122">
        <f>D!AH105</f>
        <v>0</v>
      </c>
      <c r="K1356" s="133">
        <f>E!AF105</f>
        <v>6.9980062607424599E-3</v>
      </c>
      <c r="L1356" s="127" t="str">
        <f>E!AG105</f>
        <v>12/20</v>
      </c>
      <c r="M1356" s="122" t="str">
        <f>E!AH105</f>
        <v>12:00</v>
      </c>
      <c r="N1356" s="139">
        <f>F!AF105</f>
        <v>6.9090000000000002E-3</v>
      </c>
      <c r="O1356" s="128">
        <f>F!AG105</f>
        <v>355</v>
      </c>
      <c r="P1356" s="350">
        <f>F!AH105</f>
        <v>20</v>
      </c>
      <c r="Q1356" s="139">
        <f>G!AF105</f>
        <v>1.54E-2</v>
      </c>
      <c r="R1356" s="128">
        <f>G!AG105</f>
        <v>37927</v>
      </c>
      <c r="S1356" s="350">
        <f>G!AH105</f>
        <v>2</v>
      </c>
      <c r="T1356">
        <f>YD!AF105</f>
        <v>0</v>
      </c>
      <c r="U1356">
        <f>YD!AG105</f>
        <v>0</v>
      </c>
      <c r="V1356">
        <f>YD!AH105</f>
        <v>0</v>
      </c>
      <c r="W1356" s="2">
        <f>I!AF105</f>
        <v>0</v>
      </c>
      <c r="X1356" s="2">
        <f>I!AG105</f>
        <v>0</v>
      </c>
      <c r="Y1356" s="2">
        <f>I!AH105</f>
        <v>0</v>
      </c>
      <c r="Z1356" s="2">
        <f>J!AF105</f>
        <v>0</v>
      </c>
      <c r="AA1356" s="2">
        <f>J!AG105</f>
        <v>0</v>
      </c>
      <c r="AB1356" s="2">
        <f>J!AH105</f>
        <v>0</v>
      </c>
    </row>
    <row r="1357" spans="1:28">
      <c r="A1357" s="69" t="s">
        <v>132</v>
      </c>
      <c r="B1357" s="127">
        <f>B!AF106</f>
        <v>6.2079700000000002E-3</v>
      </c>
      <c r="C1357" s="127" t="str">
        <f>B!AG106</f>
        <v>01-Apr</v>
      </c>
      <c r="D1357" s="122">
        <f>B!AH106</f>
        <v>1</v>
      </c>
      <c r="E1357" s="133" t="str">
        <f>'C'!AF106</f>
        <v>system off gives 0.000</v>
      </c>
      <c r="F1357" s="126">
        <f>'C'!AG106</f>
        <v>0</v>
      </c>
      <c r="G1357" s="122">
        <f>'C'!AH106</f>
        <v>0</v>
      </c>
      <c r="H1357" s="133" t="str">
        <f>D!AF106</f>
        <v>system off gives 0.000</v>
      </c>
      <c r="I1357" s="126">
        <f>D!AG106</f>
        <v>0</v>
      </c>
      <c r="J1357" s="122">
        <f>D!AH106</f>
        <v>0</v>
      </c>
      <c r="K1357" s="133">
        <f>E!AF106</f>
        <v>6.4432480936546903E-3</v>
      </c>
      <c r="L1357" s="127" t="str">
        <f>E!AG106</f>
        <v>10/17</v>
      </c>
      <c r="M1357" s="122" t="str">
        <f>E!AH106</f>
        <v>10:00</v>
      </c>
      <c r="N1357" s="139">
        <f>F!AF106</f>
        <v>5.4539999999999996E-3</v>
      </c>
      <c r="O1357" s="128">
        <f>F!AG106</f>
        <v>306</v>
      </c>
      <c r="P1357" s="350">
        <f>F!AH106</f>
        <v>21</v>
      </c>
      <c r="Q1357" s="139">
        <f>G!AF106</f>
        <v>6.6299999999999996E-3</v>
      </c>
      <c r="R1357" s="128">
        <f>G!AG106</f>
        <v>37712</v>
      </c>
      <c r="S1357" s="350">
        <f>G!AH106</f>
        <v>5</v>
      </c>
      <c r="T1357">
        <f>YD!AF106</f>
        <v>0</v>
      </c>
      <c r="U1357">
        <f>YD!AG106</f>
        <v>0</v>
      </c>
      <c r="V1357">
        <f>YD!AH106</f>
        <v>0</v>
      </c>
      <c r="W1357" s="2">
        <f>I!AF106</f>
        <v>0</v>
      </c>
      <c r="X1357" s="2">
        <f>I!AG106</f>
        <v>0</v>
      </c>
      <c r="Y1357" s="2">
        <f>I!AH106</f>
        <v>0</v>
      </c>
      <c r="Z1357" s="2">
        <f>J!AF106</f>
        <v>0</v>
      </c>
      <c r="AA1357" s="2">
        <f>J!AG106</f>
        <v>0</v>
      </c>
      <c r="AB1357" s="2">
        <f>J!AH106</f>
        <v>0</v>
      </c>
    </row>
    <row r="1358" spans="1:28">
      <c r="A1358" s="69" t="s">
        <v>135</v>
      </c>
      <c r="B1358" s="127">
        <f>B!AF107</f>
        <v>4.1096300000000004E-3</v>
      </c>
      <c r="C1358" s="127" t="str">
        <f>B!AG107</f>
        <v>05-Oct</v>
      </c>
      <c r="D1358" s="122">
        <f>B!AH107</f>
        <v>3</v>
      </c>
      <c r="E1358" s="133" t="str">
        <f>'C'!AF107</f>
        <v>system off gives 0.000</v>
      </c>
      <c r="F1358" s="126">
        <f>'C'!AG107</f>
        <v>0</v>
      </c>
      <c r="G1358" s="122">
        <f>'C'!AH107</f>
        <v>0</v>
      </c>
      <c r="H1358" s="133" t="str">
        <f>D!AF107</f>
        <v>system off gives 0.000</v>
      </c>
      <c r="I1358" s="126">
        <f>D!AG107</f>
        <v>0</v>
      </c>
      <c r="J1358" s="122">
        <f>D!AH107</f>
        <v>0</v>
      </c>
      <c r="K1358" s="133">
        <f>E!AF107</f>
        <v>3.8106394744408601E-3</v>
      </c>
      <c r="L1358" s="127" t="str">
        <f>E!AG107</f>
        <v>10/17</v>
      </c>
      <c r="M1358" s="122" t="str">
        <f>E!AH107</f>
        <v>10:00</v>
      </c>
      <c r="N1358" s="139">
        <f>F!AF107</f>
        <v>3.2529999999999998E-3</v>
      </c>
      <c r="O1358" s="128">
        <f>F!AG107</f>
        <v>120</v>
      </c>
      <c r="P1358" s="350">
        <f>F!AH107</f>
        <v>23</v>
      </c>
      <c r="Q1358" s="139">
        <f>G!AF107</f>
        <v>4.1999999999999997E-3</v>
      </c>
      <c r="R1358" s="128">
        <f>G!AG107</f>
        <v>37909</v>
      </c>
      <c r="S1358" s="350">
        <f>G!AH107</f>
        <v>5</v>
      </c>
      <c r="T1358">
        <f>YD!AF107</f>
        <v>0</v>
      </c>
      <c r="U1358">
        <f>YD!AG107</f>
        <v>0</v>
      </c>
      <c r="V1358">
        <f>YD!AH107</f>
        <v>0</v>
      </c>
      <c r="W1358" s="2">
        <f>I!AF107</f>
        <v>0</v>
      </c>
      <c r="X1358" s="2">
        <f>I!AG107</f>
        <v>0</v>
      </c>
      <c r="Y1358" s="2">
        <f>I!AH107</f>
        <v>0</v>
      </c>
      <c r="Z1358" s="2">
        <f>J!AF107</f>
        <v>0</v>
      </c>
      <c r="AA1358" s="2">
        <f>J!AG107</f>
        <v>0</v>
      </c>
      <c r="AB1358" s="2">
        <f>J!AH107</f>
        <v>0</v>
      </c>
    </row>
    <row r="1359" spans="1:28">
      <c r="A1359" s="70" t="s">
        <v>138</v>
      </c>
      <c r="B1359" s="127">
        <f>B!AF108</f>
        <v>6.2079700000000002E-3</v>
      </c>
      <c r="C1359" s="127" t="str">
        <f>B!AG108</f>
        <v>01-Apr</v>
      </c>
      <c r="D1359" s="122">
        <f>B!AH108</f>
        <v>1</v>
      </c>
      <c r="E1359" s="133" t="str">
        <f>'C'!AF108</f>
        <v>system off gives 0.000</v>
      </c>
      <c r="F1359" s="126">
        <f>'C'!AG108</f>
        <v>0</v>
      </c>
      <c r="G1359" s="122">
        <f>'C'!AH108</f>
        <v>0</v>
      </c>
      <c r="H1359" s="133" t="str">
        <f>D!AF108</f>
        <v>system off gives 0.000</v>
      </c>
      <c r="I1359" s="126">
        <f>D!AG108</f>
        <v>0</v>
      </c>
      <c r="J1359" s="122">
        <f>D!AH108</f>
        <v>0</v>
      </c>
      <c r="K1359" s="133">
        <f>E!AF108</f>
        <v>6.7903925251219504E-3</v>
      </c>
      <c r="L1359" s="127" t="str">
        <f>E!AG108</f>
        <v>04/01</v>
      </c>
      <c r="M1359" s="122" t="str">
        <f>E!AH108</f>
        <v>01:00</v>
      </c>
      <c r="N1359" s="139">
        <f>F!AF108</f>
        <v>6.685E-3</v>
      </c>
      <c r="O1359" s="128">
        <f>F!AG108</f>
        <v>202</v>
      </c>
      <c r="P1359" s="350">
        <f>F!AH108</f>
        <v>15</v>
      </c>
      <c r="Q1359" s="139">
        <f>G!AF108</f>
        <v>7.0000000000000001E-3</v>
      </c>
      <c r="R1359" s="128">
        <f>G!AG108</f>
        <v>37712</v>
      </c>
      <c r="S1359" s="350">
        <f>G!AH108</f>
        <v>8</v>
      </c>
      <c r="T1359">
        <f>YD!AF108</f>
        <v>0</v>
      </c>
      <c r="U1359">
        <f>YD!AG108</f>
        <v>0</v>
      </c>
      <c r="V1359">
        <f>YD!AH108</f>
        <v>0</v>
      </c>
      <c r="W1359" s="2">
        <f>I!AF108</f>
        <v>0</v>
      </c>
      <c r="X1359" s="2">
        <f>I!AG108</f>
        <v>0</v>
      </c>
      <c r="Y1359" s="2">
        <f>I!AH108</f>
        <v>0</v>
      </c>
      <c r="Z1359" s="2">
        <f>J!AF108</f>
        <v>0</v>
      </c>
      <c r="AA1359" s="2">
        <f>J!AG108</f>
        <v>0</v>
      </c>
      <c r="AB1359" s="2">
        <f>J!AH108</f>
        <v>0</v>
      </c>
    </row>
    <row r="1360" spans="1:28">
      <c r="A1360" s="15"/>
      <c r="B1360" s="16"/>
      <c r="C1360" s="16"/>
      <c r="D1360" s="115"/>
      <c r="E1360" s="134"/>
      <c r="F1360" s="129"/>
      <c r="G1360" s="115"/>
      <c r="H1360" s="134"/>
      <c r="I1360" s="129"/>
      <c r="J1360" s="115"/>
      <c r="K1360" s="134"/>
      <c r="L1360" s="16"/>
      <c r="M1360" s="115"/>
      <c r="N1360" s="132"/>
      <c r="P1360" s="116"/>
      <c r="Q1360" s="132"/>
      <c r="R1360" s="2"/>
      <c r="S1360" s="115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15"/>
      <c r="E1361" s="134"/>
      <c r="F1361" s="129"/>
      <c r="G1361" s="115"/>
      <c r="H1361" s="134"/>
      <c r="I1361" s="129"/>
      <c r="J1361" s="115"/>
      <c r="K1361" s="134"/>
      <c r="L1361" s="16"/>
      <c r="M1361" s="115"/>
      <c r="N1361" s="132"/>
      <c r="P1361" s="116"/>
      <c r="Q1361" s="132"/>
      <c r="R1361" s="2"/>
      <c r="S1361" s="115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15"/>
      <c r="E1362" s="134"/>
      <c r="F1362" s="129"/>
      <c r="G1362" s="115"/>
      <c r="H1362" s="134"/>
      <c r="I1362" s="129"/>
      <c r="J1362" s="115"/>
      <c r="K1362" s="134"/>
      <c r="L1362" s="16"/>
      <c r="M1362" s="115"/>
      <c r="N1362" s="132"/>
      <c r="P1362" s="116"/>
      <c r="Q1362" s="132"/>
      <c r="R1362" s="2"/>
      <c r="S1362" s="115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15"/>
      <c r="E1363" s="134"/>
      <c r="F1363" s="129"/>
      <c r="G1363" s="115"/>
      <c r="H1363" s="134"/>
      <c r="I1363" s="129"/>
      <c r="J1363" s="115"/>
      <c r="K1363" s="134"/>
      <c r="L1363" s="16"/>
      <c r="M1363" s="115"/>
      <c r="N1363" s="132"/>
      <c r="P1363" s="116"/>
      <c r="Q1363" s="132"/>
      <c r="R1363" s="2"/>
      <c r="S1363" s="115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15"/>
      <c r="E1364" s="134"/>
      <c r="F1364" s="129"/>
      <c r="G1364" s="115"/>
      <c r="H1364" s="134"/>
      <c r="I1364" s="129"/>
      <c r="J1364" s="115"/>
      <c r="K1364" s="134"/>
      <c r="L1364" s="16"/>
      <c r="M1364" s="115"/>
      <c r="N1364" s="132"/>
      <c r="P1364" s="116"/>
      <c r="Q1364" s="132"/>
      <c r="R1364" s="2"/>
      <c r="S1364" s="115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15"/>
      <c r="E1365" s="134"/>
      <c r="F1365" s="129"/>
      <c r="G1365" s="115"/>
      <c r="H1365" s="134"/>
      <c r="I1365" s="129"/>
      <c r="J1365" s="115"/>
      <c r="K1365" s="134"/>
      <c r="L1365" s="16"/>
      <c r="M1365" s="115"/>
      <c r="N1365" s="132"/>
      <c r="P1365" s="116"/>
      <c r="Q1365" s="132"/>
      <c r="R1365" s="2"/>
      <c r="S1365" s="115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15"/>
      <c r="E1366" s="134"/>
      <c r="F1366" s="129"/>
      <c r="G1366" s="115"/>
      <c r="H1366" s="134"/>
      <c r="I1366" s="129"/>
      <c r="J1366" s="115"/>
      <c r="K1366" s="134"/>
      <c r="L1366" s="16"/>
      <c r="M1366" s="115"/>
      <c r="N1366" s="132"/>
      <c r="P1366" s="116"/>
      <c r="Q1366" s="132"/>
      <c r="R1366" s="2"/>
      <c r="S1366" s="115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255</v>
      </c>
      <c r="B1367" s="39"/>
      <c r="C1367" s="12"/>
      <c r="D1367" s="115"/>
      <c r="E1367" s="131"/>
      <c r="F1367" s="126"/>
      <c r="G1367" s="122"/>
      <c r="H1367" s="137"/>
      <c r="I1367" s="126"/>
      <c r="J1367" s="122"/>
      <c r="K1367" s="137"/>
      <c r="L1367" s="121"/>
      <c r="M1367" s="122"/>
      <c r="N1367" s="132"/>
      <c r="O1367" s="120"/>
      <c r="P1367" s="350"/>
      <c r="Q1367" s="132"/>
      <c r="R1367" s="121"/>
      <c r="S1367" s="12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6"/>
      <c r="E1368" s="10"/>
      <c r="F1368" s="120"/>
      <c r="G1368" s="350"/>
      <c r="H1368" s="130"/>
      <c r="I1368" s="121"/>
      <c r="J1368" s="122"/>
      <c r="K1368" s="10"/>
      <c r="L1368" s="121"/>
      <c r="M1368" s="122"/>
      <c r="N1368" s="10"/>
      <c r="O1368" s="120"/>
      <c r="P1368" s="350"/>
      <c r="Q1368" s="132"/>
      <c r="R1368" s="121"/>
      <c r="S1368" s="122"/>
      <c r="V1368" s="2"/>
      <c r="W1368" s="2"/>
      <c r="X1368" s="2"/>
      <c r="Y1368" s="2"/>
      <c r="Z1368" s="2"/>
      <c r="AA1368" s="2"/>
      <c r="AB1368" s="2"/>
    </row>
    <row r="1369" spans="1:28">
      <c r="A1369" s="2"/>
      <c r="B1369" s="10" t="s">
        <v>245</v>
      </c>
      <c r="C1369" t="s">
        <v>77</v>
      </c>
      <c r="D1369" t="s">
        <v>78</v>
      </c>
      <c r="E1369" s="10" t="s">
        <v>257</v>
      </c>
      <c r="F1369" s="120" t="s">
        <v>77</v>
      </c>
      <c r="G1369" s="120" t="s">
        <v>78</v>
      </c>
      <c r="H1369" s="10" t="s">
        <v>258</v>
      </c>
      <c r="I1369" s="120" t="s">
        <v>77</v>
      </c>
      <c r="J1369" s="120" t="s">
        <v>78</v>
      </c>
      <c r="K1369" s="10" t="s">
        <v>515</v>
      </c>
      <c r="L1369" s="120" t="s">
        <v>77</v>
      </c>
      <c r="M1369" s="120" t="s">
        <v>78</v>
      </c>
      <c r="N1369" s="10" t="s">
        <v>373</v>
      </c>
      <c r="O1369" s="120" t="s">
        <v>77</v>
      </c>
      <c r="P1369" s="120" t="s">
        <v>78</v>
      </c>
      <c r="Q1369" s="10" t="s">
        <v>482</v>
      </c>
      <c r="R1369" s="120" t="s">
        <v>77</v>
      </c>
      <c r="S1369" s="120" t="s">
        <v>78</v>
      </c>
      <c r="T1369" s="10" t="s">
        <v>516</v>
      </c>
      <c r="U1369" s="120" t="s">
        <v>77</v>
      </c>
      <c r="V1369" s="120" t="s">
        <v>78</v>
      </c>
      <c r="W1369" s="10" t="s">
        <v>517</v>
      </c>
      <c r="X1369" s="120" t="s">
        <v>77</v>
      </c>
      <c r="Y1369" s="120" t="s">
        <v>78</v>
      </c>
      <c r="Z1369" s="10" t="s">
        <v>517</v>
      </c>
      <c r="AA1369" s="120" t="s">
        <v>77</v>
      </c>
      <c r="AB1369" s="120" t="s">
        <v>78</v>
      </c>
    </row>
    <row r="1370" spans="1:28">
      <c r="A1370" s="69" t="s">
        <v>91</v>
      </c>
      <c r="B1370" s="127">
        <f>B!AI89</f>
        <v>68.789199999999994</v>
      </c>
      <c r="C1370" s="127" t="str">
        <f>B!AJ89</f>
        <v>16-Nov</v>
      </c>
      <c r="D1370" s="122">
        <f>B!AK89</f>
        <v>17</v>
      </c>
      <c r="E1370" s="133">
        <f>'C'!AI89</f>
        <v>69.349999999999994</v>
      </c>
      <c r="F1370" s="126">
        <f>'C'!AJ89</f>
        <v>37576</v>
      </c>
      <c r="G1370" s="122">
        <f>'C'!AK89</f>
        <v>16</v>
      </c>
      <c r="H1370" s="133">
        <f>D!AI89</f>
        <v>68.849999999999994</v>
      </c>
      <c r="I1370" s="126">
        <f>D!AJ89</f>
        <v>37941</v>
      </c>
      <c r="J1370" s="122">
        <f>D!AK89</f>
        <v>16</v>
      </c>
      <c r="K1370" s="133">
        <f>E!AI89</f>
        <v>67.776165484930999</v>
      </c>
      <c r="L1370" s="127" t="str">
        <f>E!AJ89</f>
        <v>11/16</v>
      </c>
      <c r="M1370" s="122" t="str">
        <f>E!AK89</f>
        <v>17:00</v>
      </c>
      <c r="N1370" s="139">
        <f>F!AI89</f>
        <v>68</v>
      </c>
      <c r="O1370" s="128">
        <f>F!AJ89</f>
        <v>321</v>
      </c>
      <c r="P1370" s="350">
        <f>F!AK89</f>
        <v>16</v>
      </c>
      <c r="Q1370" s="139">
        <f>G!AI89</f>
        <v>67.44</v>
      </c>
      <c r="R1370" s="128">
        <f>G!AJ89</f>
        <v>37941</v>
      </c>
      <c r="S1370" s="350">
        <f>G!AK89</f>
        <v>16</v>
      </c>
      <c r="T1370">
        <f>YD!AI89</f>
        <v>0</v>
      </c>
      <c r="U1370">
        <f>YD!AJ89</f>
        <v>0</v>
      </c>
      <c r="V1370">
        <f>YD!AK89</f>
        <v>0</v>
      </c>
      <c r="W1370" s="2">
        <f>I!AI89</f>
        <v>0</v>
      </c>
      <c r="X1370" s="2">
        <f>I!AJ89</f>
        <v>0</v>
      </c>
      <c r="Y1370" s="2">
        <f>I!AK89</f>
        <v>0</v>
      </c>
      <c r="Z1370" s="2">
        <f>J!AI89</f>
        <v>0</v>
      </c>
      <c r="AA1370" s="2">
        <f>J!AJ89</f>
        <v>0</v>
      </c>
      <c r="AB1370" s="2">
        <f>J!AK89</f>
        <v>0</v>
      </c>
    </row>
    <row r="1371" spans="1:28">
      <c r="A1371" s="69" t="s">
        <v>96</v>
      </c>
      <c r="B1371" s="127">
        <f>B!AI90</f>
        <v>77.7029</v>
      </c>
      <c r="C1371" s="127" t="str">
        <f>B!AJ90</f>
        <v>02-Oct</v>
      </c>
      <c r="D1371" s="122">
        <f>B!AK90</f>
        <v>4</v>
      </c>
      <c r="E1371" s="133">
        <f>'C'!AI90</f>
        <v>100.18</v>
      </c>
      <c r="F1371" s="126">
        <f>'C'!AJ90</f>
        <v>37544</v>
      </c>
      <c r="G1371" s="122">
        <f>'C'!AK90</f>
        <v>9</v>
      </c>
      <c r="H1371" s="133">
        <f>D!AI90</f>
        <v>100.7</v>
      </c>
      <c r="I1371" s="126">
        <f>D!AJ90</f>
        <v>37544</v>
      </c>
      <c r="J1371" s="122">
        <f>D!AK90</f>
        <v>9</v>
      </c>
      <c r="K1371" s="133">
        <f>E!AI90</f>
        <v>77.925478398181497</v>
      </c>
      <c r="L1371" s="127" t="str">
        <f>E!AJ90</f>
        <v>10/02</v>
      </c>
      <c r="M1371" s="122" t="str">
        <f>E!AK90</f>
        <v>08:00</v>
      </c>
      <c r="N1371" s="139">
        <f>F!AI90</f>
        <v>77</v>
      </c>
      <c r="O1371" s="128">
        <f>F!AJ90</f>
        <v>164</v>
      </c>
      <c r="P1371" s="350">
        <f>F!AK90</f>
        <v>8</v>
      </c>
      <c r="Q1371" s="139">
        <f>G!AI90</f>
        <v>78.19</v>
      </c>
      <c r="R1371" s="128">
        <f>G!AJ90</f>
        <v>37896</v>
      </c>
      <c r="S1371" s="350">
        <f>G!AK90</f>
        <v>8</v>
      </c>
      <c r="T1371">
        <f>YD!AI90</f>
        <v>0</v>
      </c>
      <c r="U1371">
        <f>YD!AJ90</f>
        <v>0</v>
      </c>
      <c r="V1371">
        <f>YD!AK90</f>
        <v>0</v>
      </c>
      <c r="W1371" s="2">
        <f>I!AI90</f>
        <v>0</v>
      </c>
      <c r="X1371" s="2">
        <f>I!AJ90</f>
        <v>0</v>
      </c>
      <c r="Y1371" s="2">
        <f>I!AK90</f>
        <v>0</v>
      </c>
      <c r="Z1371" s="2">
        <f>J!AI90</f>
        <v>0</v>
      </c>
      <c r="AA1371" s="2">
        <f>J!AJ90</f>
        <v>0</v>
      </c>
      <c r="AB1371" s="2">
        <f>J!AK90</f>
        <v>0</v>
      </c>
    </row>
    <row r="1372" spans="1:28">
      <c r="A1372" s="69" t="s">
        <v>98</v>
      </c>
      <c r="B1372" s="127">
        <f>B!AI91</f>
        <v>81.835800000000006</v>
      </c>
      <c r="C1372" s="127" t="str">
        <f>B!AJ91</f>
        <v>18-Sep</v>
      </c>
      <c r="D1372" s="122">
        <f>B!AK91</f>
        <v>10</v>
      </c>
      <c r="E1372" s="133">
        <f>'C'!AI91</f>
        <v>83.41</v>
      </c>
      <c r="F1372" s="126">
        <f>'C'!AJ91</f>
        <v>38262</v>
      </c>
      <c r="G1372" s="122">
        <f>'C'!AK91</f>
        <v>9</v>
      </c>
      <c r="H1372" s="133">
        <f>D!AI91</f>
        <v>83.67</v>
      </c>
      <c r="I1372" s="126">
        <f>D!AJ91</f>
        <v>37733</v>
      </c>
      <c r="J1372" s="122">
        <f>D!AK91</f>
        <v>18</v>
      </c>
      <c r="K1372" s="133">
        <f>E!AI91</f>
        <v>82.714930820301504</v>
      </c>
      <c r="L1372" s="127" t="str">
        <f>E!AJ91</f>
        <v>09/18</v>
      </c>
      <c r="M1372" s="122" t="str">
        <f>E!AK91</f>
        <v>10:00</v>
      </c>
      <c r="N1372" s="139">
        <f>F!AI91</f>
        <v>83</v>
      </c>
      <c r="O1372" s="128">
        <f>F!AJ91</f>
        <v>247</v>
      </c>
      <c r="P1372" s="350">
        <f>F!AK91</f>
        <v>17</v>
      </c>
      <c r="Q1372" s="139">
        <f>G!AI91</f>
        <v>81.88</v>
      </c>
      <c r="R1372" s="128">
        <f>G!AJ91</f>
        <v>37880</v>
      </c>
      <c r="S1372" s="350">
        <f>G!AK91</f>
        <v>20</v>
      </c>
      <c r="T1372">
        <f>YD!AI91</f>
        <v>0</v>
      </c>
      <c r="U1372">
        <f>YD!AJ91</f>
        <v>0</v>
      </c>
      <c r="V1372">
        <f>YD!AK91</f>
        <v>0</v>
      </c>
      <c r="W1372" s="2">
        <f>I!AI91</f>
        <v>0</v>
      </c>
      <c r="X1372" s="2">
        <f>I!AJ91</f>
        <v>0</v>
      </c>
      <c r="Y1372" s="2">
        <f>I!AK91</f>
        <v>0</v>
      </c>
      <c r="Z1372" s="2">
        <f>J!AI91</f>
        <v>0</v>
      </c>
      <c r="AA1372" s="2">
        <f>J!AJ91</f>
        <v>0</v>
      </c>
      <c r="AB1372" s="2">
        <f>J!AK91</f>
        <v>0</v>
      </c>
    </row>
    <row r="1373" spans="1:28">
      <c r="A1373" s="69" t="s">
        <v>102</v>
      </c>
      <c r="B1373" s="127">
        <f>B!AI92</f>
        <v>76.659099999999995</v>
      </c>
      <c r="C1373" s="127" t="str">
        <f>B!AJ92</f>
        <v>22-Sep</v>
      </c>
      <c r="D1373" s="122">
        <f>B!AK92</f>
        <v>20</v>
      </c>
      <c r="E1373" s="133">
        <f>'C'!AI92</f>
        <v>78.459999999999994</v>
      </c>
      <c r="F1373" s="126">
        <f>'C'!AJ92</f>
        <v>38262</v>
      </c>
      <c r="G1373" s="122">
        <f>'C'!AK92</f>
        <v>9</v>
      </c>
      <c r="H1373" s="133">
        <f>D!AI92</f>
        <v>77.94</v>
      </c>
      <c r="I1373" s="126">
        <f>D!AJ92</f>
        <v>37882</v>
      </c>
      <c r="J1373" s="122">
        <f>D!AK92</f>
        <v>9</v>
      </c>
      <c r="K1373" s="133">
        <f>E!AI92</f>
        <v>76.638631048181793</v>
      </c>
      <c r="L1373" s="127" t="str">
        <f>E!AJ92</f>
        <v>09/22</v>
      </c>
      <c r="M1373" s="122" t="str">
        <f>E!AK92</f>
        <v>20:00</v>
      </c>
      <c r="N1373" s="139">
        <f>F!AI92</f>
        <v>76</v>
      </c>
      <c r="O1373" s="128">
        <f>F!AJ92</f>
        <v>162</v>
      </c>
      <c r="P1373" s="350">
        <f>F!AK92</f>
        <v>18</v>
      </c>
      <c r="Q1373" s="139">
        <f>G!AI92</f>
        <v>78.7</v>
      </c>
      <c r="R1373" s="128">
        <f>G!AJ92</f>
        <v>37866</v>
      </c>
      <c r="S1373" s="350">
        <f>G!AK92</f>
        <v>12</v>
      </c>
      <c r="T1373">
        <f>YD!AI92</f>
        <v>0</v>
      </c>
      <c r="U1373">
        <f>YD!AJ92</f>
        <v>0</v>
      </c>
      <c r="V1373">
        <f>YD!AK92</f>
        <v>0</v>
      </c>
      <c r="W1373" s="2">
        <f>I!AI92</f>
        <v>0</v>
      </c>
      <c r="X1373" s="2">
        <f>I!AJ92</f>
        <v>0</v>
      </c>
      <c r="Y1373" s="2">
        <f>I!AK92</f>
        <v>0</v>
      </c>
      <c r="Z1373" s="2">
        <f>J!AI92</f>
        <v>0</v>
      </c>
      <c r="AA1373" s="2">
        <f>J!AJ92</f>
        <v>0</v>
      </c>
      <c r="AB1373" s="2">
        <f>J!AK92</f>
        <v>0</v>
      </c>
    </row>
    <row r="1374" spans="1:28">
      <c r="A1374" s="69" t="s">
        <v>356</v>
      </c>
      <c r="B1374" s="127">
        <f>B!AI93</f>
        <v>79.929299999999998</v>
      </c>
      <c r="C1374" s="127" t="str">
        <f>B!AJ93</f>
        <v>18-Sep</v>
      </c>
      <c r="D1374" s="122">
        <f>B!AK93</f>
        <v>10</v>
      </c>
      <c r="E1374" s="133">
        <f>'C'!AI93</f>
        <v>81.37</v>
      </c>
      <c r="F1374" s="126">
        <f>'C'!AJ93</f>
        <v>38248</v>
      </c>
      <c r="G1374" s="122">
        <f>'C'!AK93</f>
        <v>9</v>
      </c>
      <c r="H1374" s="133">
        <f>D!AI93</f>
        <v>81.260000000000005</v>
      </c>
      <c r="I1374" s="126">
        <f>D!AJ93</f>
        <v>37733</v>
      </c>
      <c r="J1374" s="122">
        <f>D!AK93</f>
        <v>18</v>
      </c>
      <c r="K1374" s="133">
        <f>E!AI93</f>
        <v>80.545245540903295</v>
      </c>
      <c r="L1374" s="127" t="str">
        <f>E!AJ93</f>
        <v>09/18</v>
      </c>
      <c r="M1374" s="122" t="str">
        <f>E!AK93</f>
        <v>10:00</v>
      </c>
      <c r="N1374" s="139">
        <f>F!AI93</f>
        <v>80</v>
      </c>
      <c r="O1374" s="128">
        <f>F!AJ93</f>
        <v>247</v>
      </c>
      <c r="P1374" s="350">
        <f>F!AK93</f>
        <v>17</v>
      </c>
      <c r="Q1374" s="139">
        <f>G!AI93</f>
        <v>80.25</v>
      </c>
      <c r="R1374" s="128">
        <f>G!AJ93</f>
        <v>37880</v>
      </c>
      <c r="S1374" s="350">
        <f>G!AK93</f>
        <v>20</v>
      </c>
      <c r="T1374">
        <f>YD!AI93</f>
        <v>0</v>
      </c>
      <c r="U1374">
        <f>YD!AJ93</f>
        <v>0</v>
      </c>
      <c r="V1374">
        <f>YD!AK93</f>
        <v>0</v>
      </c>
      <c r="W1374" s="2">
        <f>I!AI93</f>
        <v>0</v>
      </c>
      <c r="X1374" s="2">
        <f>I!AJ93</f>
        <v>0</v>
      </c>
      <c r="Y1374" s="2">
        <f>I!AK93</f>
        <v>0</v>
      </c>
      <c r="Z1374" s="2">
        <f>J!AI93</f>
        <v>0</v>
      </c>
      <c r="AA1374" s="2">
        <f>J!AJ93</f>
        <v>0</v>
      </c>
      <c r="AB1374" s="2">
        <f>J!AK93</f>
        <v>0</v>
      </c>
    </row>
    <row r="1375" spans="1:28">
      <c r="A1375" s="69" t="s">
        <v>105</v>
      </c>
      <c r="B1375" s="127">
        <f>B!AI94</f>
        <v>68.789199999999994</v>
      </c>
      <c r="C1375" s="127" t="str">
        <f>B!AJ94</f>
        <v>16-Nov</v>
      </c>
      <c r="D1375" s="122">
        <f>B!AK94</f>
        <v>17</v>
      </c>
      <c r="E1375" s="133">
        <f>'C'!AI94</f>
        <v>81.12</v>
      </c>
      <c r="F1375" s="126">
        <f>'C'!AJ94</f>
        <v>37840</v>
      </c>
      <c r="G1375" s="122">
        <f>'C'!AK94</f>
        <v>21</v>
      </c>
      <c r="H1375" s="133">
        <f>D!AI94</f>
        <v>81.12</v>
      </c>
      <c r="I1375" s="126">
        <f>D!AJ94</f>
        <v>37840</v>
      </c>
      <c r="J1375" s="122">
        <f>D!AK94</f>
        <v>21</v>
      </c>
      <c r="K1375" s="133">
        <f>E!AI94</f>
        <v>67.7761654849309</v>
      </c>
      <c r="L1375" s="127" t="str">
        <f>E!AJ94</f>
        <v>11/16</v>
      </c>
      <c r="M1375" s="122" t="str">
        <f>E!AK94</f>
        <v>17:00</v>
      </c>
      <c r="N1375" s="139">
        <f>F!AI94</f>
        <v>70</v>
      </c>
      <c r="O1375" s="128">
        <f>F!AJ94</f>
        <v>276</v>
      </c>
      <c r="P1375" s="350">
        <f>F!AK94</f>
        <v>8</v>
      </c>
      <c r="Q1375" s="139">
        <f>G!AI94</f>
        <v>72.650000000000006</v>
      </c>
      <c r="R1375" s="128">
        <f>G!AJ94</f>
        <v>37836</v>
      </c>
      <c r="S1375" s="350">
        <f>G!AK94</f>
        <v>7</v>
      </c>
      <c r="T1375">
        <f>YD!AI94</f>
        <v>0</v>
      </c>
      <c r="U1375">
        <f>YD!AJ94</f>
        <v>0</v>
      </c>
      <c r="V1375">
        <f>YD!AK94</f>
        <v>0</v>
      </c>
      <c r="W1375" s="2">
        <f>I!AI94</f>
        <v>0</v>
      </c>
      <c r="X1375" s="2">
        <f>I!AJ94</f>
        <v>0</v>
      </c>
      <c r="Y1375" s="2">
        <f>I!AK94</f>
        <v>0</v>
      </c>
      <c r="Z1375" s="2">
        <f>J!AI94</f>
        <v>0</v>
      </c>
      <c r="AA1375" s="2">
        <f>J!AJ94</f>
        <v>0</v>
      </c>
      <c r="AB1375" s="2">
        <f>J!AK94</f>
        <v>0</v>
      </c>
    </row>
    <row r="1376" spans="1:28">
      <c r="A1376" s="69" t="s">
        <v>108</v>
      </c>
      <c r="B1376" s="127">
        <f>B!AI95</f>
        <v>68.789199999999994</v>
      </c>
      <c r="C1376" s="127" t="str">
        <f>B!AJ95</f>
        <v>16-Nov</v>
      </c>
      <c r="D1376" s="122">
        <f>B!AK95</f>
        <v>17</v>
      </c>
      <c r="E1376" s="133">
        <f>'C'!AI95</f>
        <v>69.349999999999994</v>
      </c>
      <c r="F1376" s="126">
        <f>'C'!AJ95</f>
        <v>37576</v>
      </c>
      <c r="G1376" s="122">
        <f>'C'!AK95</f>
        <v>16</v>
      </c>
      <c r="H1376" s="133">
        <f>D!AI95</f>
        <v>68.849999999999994</v>
      </c>
      <c r="I1376" s="126">
        <f>D!AJ95</f>
        <v>37941</v>
      </c>
      <c r="J1376" s="122">
        <f>D!AK95</f>
        <v>16</v>
      </c>
      <c r="K1376" s="133">
        <f>E!AI95</f>
        <v>67.775992622175806</v>
      </c>
      <c r="L1376" s="127" t="str">
        <f>E!AJ95</f>
        <v>11/16</v>
      </c>
      <c r="M1376" s="122" t="str">
        <f>E!AK95</f>
        <v>17:00</v>
      </c>
      <c r="N1376" s="139">
        <f>F!AI95</f>
        <v>68</v>
      </c>
      <c r="O1376" s="128">
        <f>F!AJ95</f>
        <v>321</v>
      </c>
      <c r="P1376" s="350">
        <f>F!AK95</f>
        <v>16</v>
      </c>
      <c r="Q1376" s="139">
        <f>G!AI95</f>
        <v>67.44</v>
      </c>
      <c r="R1376" s="128">
        <f>G!AJ95</f>
        <v>37941</v>
      </c>
      <c r="S1376" s="350">
        <f>G!AK95</f>
        <v>16</v>
      </c>
      <c r="T1376">
        <f>YD!AI95</f>
        <v>0</v>
      </c>
      <c r="U1376">
        <f>YD!AJ95</f>
        <v>0</v>
      </c>
      <c r="V1376">
        <f>YD!AK95</f>
        <v>0</v>
      </c>
      <c r="W1376" s="2">
        <f>I!AI95</f>
        <v>0</v>
      </c>
      <c r="X1376" s="2">
        <f>I!AJ95</f>
        <v>0</v>
      </c>
      <c r="Y1376" s="2">
        <f>I!AK95</f>
        <v>0</v>
      </c>
      <c r="Z1376" s="2">
        <f>J!AI95</f>
        <v>0</v>
      </c>
      <c r="AA1376" s="2">
        <f>J!AJ95</f>
        <v>0</v>
      </c>
      <c r="AB1376" s="2">
        <f>J!AK95</f>
        <v>0</v>
      </c>
    </row>
    <row r="1377" spans="1:28">
      <c r="A1377" s="69" t="s">
        <v>109</v>
      </c>
      <c r="B1377" s="127">
        <f>B!AI96</f>
        <v>83.753399999999999</v>
      </c>
      <c r="C1377" s="127" t="str">
        <f>B!AJ96</f>
        <v>05-Apr</v>
      </c>
      <c r="D1377" s="122">
        <f>B!AK96</f>
        <v>22</v>
      </c>
      <c r="E1377" s="133">
        <f>'C'!AI96</f>
        <v>85.57</v>
      </c>
      <c r="F1377" s="126">
        <f>'C'!AJ96</f>
        <v>37351</v>
      </c>
      <c r="G1377" s="122">
        <f>'C'!AK96</f>
        <v>21</v>
      </c>
      <c r="H1377" s="133">
        <f>D!AI96</f>
        <v>85.57</v>
      </c>
      <c r="I1377" s="126">
        <f>D!AJ96</f>
        <v>37716</v>
      </c>
      <c r="J1377" s="122">
        <f>D!AK96</f>
        <v>21</v>
      </c>
      <c r="K1377" s="133">
        <f>E!AI96</f>
        <v>84.632127983594401</v>
      </c>
      <c r="L1377" s="127" t="str">
        <f>E!AJ96</f>
        <v>04/05</v>
      </c>
      <c r="M1377" s="122" t="str">
        <f>E!AK96</f>
        <v>22:00</v>
      </c>
      <c r="N1377" s="139">
        <f>F!AI96</f>
        <v>0</v>
      </c>
      <c r="O1377" s="128">
        <f>F!AJ96</f>
        <v>0</v>
      </c>
      <c r="P1377" s="350">
        <f>F!AK96</f>
        <v>0</v>
      </c>
      <c r="Q1377" s="139">
        <f>G!AI96</f>
        <v>86.31</v>
      </c>
      <c r="R1377" s="128">
        <f>G!AJ96</f>
        <v>37733</v>
      </c>
      <c r="S1377" s="350">
        <f>G!AK96</f>
        <v>6</v>
      </c>
      <c r="T1377">
        <f>YD!AI96</f>
        <v>0</v>
      </c>
      <c r="U1377">
        <f>YD!AJ96</f>
        <v>0</v>
      </c>
      <c r="V1377">
        <f>YD!AK96</f>
        <v>0</v>
      </c>
      <c r="W1377" s="2">
        <f>I!AI96</f>
        <v>0</v>
      </c>
      <c r="X1377" s="2">
        <f>I!AJ96</f>
        <v>0</v>
      </c>
      <c r="Y1377" s="2">
        <f>I!AK96</f>
        <v>0</v>
      </c>
      <c r="Z1377" s="2">
        <f>J!AI96</f>
        <v>0</v>
      </c>
      <c r="AA1377" s="2">
        <f>J!AJ96</f>
        <v>0</v>
      </c>
      <c r="AB1377" s="2">
        <f>J!AK96</f>
        <v>0</v>
      </c>
    </row>
    <row r="1378" spans="1:28">
      <c r="A1378" s="69" t="s">
        <v>111</v>
      </c>
      <c r="B1378" s="127">
        <f>B!AI97</f>
        <v>83.224699999999999</v>
      </c>
      <c r="C1378" s="127" t="str">
        <f>B!AJ97</f>
        <v>05-Apr</v>
      </c>
      <c r="D1378" s="122">
        <f>B!AK97</f>
        <v>22</v>
      </c>
      <c r="E1378" s="133">
        <f>'C'!AI97</f>
        <v>84.79</v>
      </c>
      <c r="F1378" s="126">
        <f>'C'!AJ97</f>
        <v>37348</v>
      </c>
      <c r="G1378" s="122">
        <f>'C'!AK97</f>
        <v>5</v>
      </c>
      <c r="H1378" s="133">
        <f>D!AI97</f>
        <v>84.79</v>
      </c>
      <c r="I1378" s="126">
        <f>D!AJ97</f>
        <v>37348</v>
      </c>
      <c r="J1378" s="122">
        <f>D!AK97</f>
        <v>5</v>
      </c>
      <c r="K1378" s="133">
        <f>E!AI97</f>
        <v>82.368805186952997</v>
      </c>
      <c r="L1378" s="127" t="str">
        <f>E!AJ97</f>
        <v>04/06</v>
      </c>
      <c r="M1378" s="122" t="str">
        <f>E!AK97</f>
        <v>01:00</v>
      </c>
      <c r="N1378" s="139">
        <f>F!AI97</f>
        <v>0</v>
      </c>
      <c r="O1378" s="128">
        <f>F!AJ97</f>
        <v>0</v>
      </c>
      <c r="P1378" s="350">
        <f>F!AK97</f>
        <v>0</v>
      </c>
      <c r="Q1378" s="139">
        <f>G!AI97</f>
        <v>86.18</v>
      </c>
      <c r="R1378" s="128">
        <f>G!AJ97</f>
        <v>37733</v>
      </c>
      <c r="S1378" s="350">
        <f>G!AK97</f>
        <v>6</v>
      </c>
      <c r="T1378">
        <f>YD!AI97</f>
        <v>0</v>
      </c>
      <c r="U1378">
        <f>YD!AJ97</f>
        <v>0</v>
      </c>
      <c r="V1378">
        <f>YD!AK97</f>
        <v>0</v>
      </c>
      <c r="W1378" s="2">
        <f>I!AI97</f>
        <v>0</v>
      </c>
      <c r="X1378" s="2">
        <f>I!AJ97</f>
        <v>0</v>
      </c>
      <c r="Y1378" s="2">
        <f>I!AK97</f>
        <v>0</v>
      </c>
      <c r="Z1378" s="2">
        <f>J!AI97</f>
        <v>0</v>
      </c>
      <c r="AA1378" s="2">
        <f>J!AJ97</f>
        <v>0</v>
      </c>
      <c r="AB1378" s="2">
        <f>J!AK97</f>
        <v>0</v>
      </c>
    </row>
    <row r="1379" spans="1:28">
      <c r="A1379" s="69" t="s">
        <v>112</v>
      </c>
      <c r="B1379" s="127">
        <f>B!AI98</f>
        <v>70.841099999999997</v>
      </c>
      <c r="C1379" s="127" t="str">
        <f>B!AJ98</f>
        <v>02-Apr</v>
      </c>
      <c r="D1379" s="122">
        <f>B!AK98</f>
        <v>10</v>
      </c>
      <c r="E1379" s="133">
        <f>'C'!AI98</f>
        <v>74.510000000000005</v>
      </c>
      <c r="F1379" s="126">
        <f>'C'!AJ98</f>
        <v>37728</v>
      </c>
      <c r="G1379" s="122">
        <f>'C'!AK98</f>
        <v>7</v>
      </c>
      <c r="H1379" s="133">
        <f>D!AI98</f>
        <v>71.53</v>
      </c>
      <c r="I1379" s="126">
        <f>D!AJ98</f>
        <v>37363</v>
      </c>
      <c r="J1379" s="122">
        <f>D!AK98</f>
        <v>3</v>
      </c>
      <c r="K1379" s="133">
        <f>E!AI98</f>
        <v>73.277079977751598</v>
      </c>
      <c r="L1379" s="127" t="str">
        <f>E!AJ98</f>
        <v>04/02</v>
      </c>
      <c r="M1379" s="122" t="str">
        <f>E!AK98</f>
        <v>18:00</v>
      </c>
      <c r="N1379" s="139">
        <f>F!AI98</f>
        <v>0</v>
      </c>
      <c r="O1379" s="128">
        <f>F!AJ98</f>
        <v>0</v>
      </c>
      <c r="P1379" s="350">
        <f>F!AK98</f>
        <v>0</v>
      </c>
      <c r="Q1379" s="139">
        <f>G!AI98</f>
        <v>73.849999999999994</v>
      </c>
      <c r="R1379" s="128">
        <f>G!AJ98</f>
        <v>37713</v>
      </c>
      <c r="S1379" s="350">
        <f>G!AK98</f>
        <v>18</v>
      </c>
      <c r="T1379">
        <f>YD!AI98</f>
        <v>0</v>
      </c>
      <c r="U1379">
        <f>YD!AJ98</f>
        <v>0</v>
      </c>
      <c r="V1379">
        <f>YD!AK98</f>
        <v>0</v>
      </c>
      <c r="W1379" s="2">
        <f>I!AI98</f>
        <v>0</v>
      </c>
      <c r="X1379" s="2">
        <f>I!AJ98</f>
        <v>0</v>
      </c>
      <c r="Y1379" s="2">
        <f>I!AK98</f>
        <v>0</v>
      </c>
      <c r="Z1379" s="2">
        <f>J!AI98</f>
        <v>0</v>
      </c>
      <c r="AA1379" s="2">
        <f>J!AJ98</f>
        <v>0</v>
      </c>
      <c r="AB1379" s="2">
        <f>J!AK98</f>
        <v>0</v>
      </c>
    </row>
    <row r="1380" spans="1:28">
      <c r="A1380" s="69" t="s">
        <v>113</v>
      </c>
      <c r="B1380" s="127">
        <f>B!AI99</f>
        <v>80.708699999999993</v>
      </c>
      <c r="C1380" s="127" t="str">
        <f>B!AJ99</f>
        <v>02-Apr</v>
      </c>
      <c r="D1380" s="122">
        <f>B!AK99</f>
        <v>5</v>
      </c>
      <c r="E1380" s="133">
        <f>'C'!AI99</f>
        <v>78.430000000000007</v>
      </c>
      <c r="F1380" s="126">
        <f>'C'!AJ99</f>
        <v>37348</v>
      </c>
      <c r="G1380" s="122">
        <f>'C'!AK99</f>
        <v>4</v>
      </c>
      <c r="H1380" s="133">
        <f>D!AI99</f>
        <v>78.430000000000007</v>
      </c>
      <c r="I1380" s="126">
        <f>D!AJ99</f>
        <v>37713</v>
      </c>
      <c r="J1380" s="122">
        <f>D!AK99</f>
        <v>4</v>
      </c>
      <c r="K1380" s="133">
        <f>E!AI99</f>
        <v>80.715987045991596</v>
      </c>
      <c r="L1380" s="127" t="str">
        <f>E!AJ99</f>
        <v>04/02</v>
      </c>
      <c r="M1380" s="122" t="str">
        <f>E!AK99</f>
        <v>05:00</v>
      </c>
      <c r="N1380" s="139">
        <f>F!AI99</f>
        <v>0</v>
      </c>
      <c r="O1380" s="128">
        <f>F!AJ99</f>
        <v>0</v>
      </c>
      <c r="P1380" s="350">
        <f>F!AK99</f>
        <v>0</v>
      </c>
      <c r="Q1380" s="139">
        <f>G!AI99</f>
        <v>78.94</v>
      </c>
      <c r="R1380" s="128">
        <f>G!AJ99</f>
        <v>37713</v>
      </c>
      <c r="S1380" s="350">
        <f>G!AK99</f>
        <v>5</v>
      </c>
      <c r="T1380">
        <f>YD!AI99</f>
        <v>0</v>
      </c>
      <c r="U1380">
        <f>YD!AJ99</f>
        <v>0</v>
      </c>
      <c r="V1380">
        <f>YD!AK99</f>
        <v>0</v>
      </c>
      <c r="W1380" s="2">
        <f>I!AI99</f>
        <v>0</v>
      </c>
      <c r="X1380" s="2">
        <f>I!AJ99</f>
        <v>0</v>
      </c>
      <c r="Y1380" s="2">
        <f>I!AK99</f>
        <v>0</v>
      </c>
      <c r="Z1380" s="2">
        <f>J!AI99</f>
        <v>0</v>
      </c>
      <c r="AA1380" s="2">
        <f>J!AJ99</f>
        <v>0</v>
      </c>
      <c r="AB1380" s="2">
        <f>J!AK99</f>
        <v>0</v>
      </c>
    </row>
    <row r="1381" spans="1:28">
      <c r="A1381" s="69" t="s">
        <v>114</v>
      </c>
      <c r="B1381" s="127">
        <f>B!AI100</f>
        <v>68.724199999999996</v>
      </c>
      <c r="C1381" s="127" t="str">
        <f>B!AJ100</f>
        <v>16-Nov</v>
      </c>
      <c r="D1381" s="122">
        <f>B!AK100</f>
        <v>17</v>
      </c>
      <c r="E1381" s="133">
        <f>'C'!AI100</f>
        <v>69.349999999999994</v>
      </c>
      <c r="F1381" s="126">
        <f>'C'!AJ100</f>
        <v>37576</v>
      </c>
      <c r="G1381" s="122">
        <f>'C'!AK100</f>
        <v>16</v>
      </c>
      <c r="H1381" s="133">
        <f>D!AI100</f>
        <v>68.849999999999994</v>
      </c>
      <c r="I1381" s="126">
        <f>D!AJ100</f>
        <v>37941</v>
      </c>
      <c r="J1381" s="122">
        <f>D!AK100</f>
        <v>16</v>
      </c>
      <c r="K1381" s="133">
        <f>E!AI100</f>
        <v>67.776165493094396</v>
      </c>
      <c r="L1381" s="127" t="str">
        <f>E!AJ100</f>
        <v>11/16</v>
      </c>
      <c r="M1381" s="122" t="str">
        <f>E!AK100</f>
        <v>17:00</v>
      </c>
      <c r="N1381" s="139">
        <f>F!AI100</f>
        <v>0</v>
      </c>
      <c r="O1381" s="128">
        <f>F!AJ100</f>
        <v>0</v>
      </c>
      <c r="P1381" s="350">
        <f>F!AK100</f>
        <v>0</v>
      </c>
      <c r="Q1381" s="139">
        <f>G!AI100</f>
        <v>67.510000000000005</v>
      </c>
      <c r="R1381" s="128">
        <f>G!AJ100</f>
        <v>37941</v>
      </c>
      <c r="S1381" s="350">
        <f>G!AK100</f>
        <v>16</v>
      </c>
      <c r="T1381">
        <f>YD!AI100</f>
        <v>0</v>
      </c>
      <c r="U1381">
        <f>YD!AJ100</f>
        <v>0</v>
      </c>
      <c r="V1381">
        <f>YD!AK100</f>
        <v>0</v>
      </c>
      <c r="W1381" s="2">
        <f>I!AI100</f>
        <v>0</v>
      </c>
      <c r="X1381" s="2">
        <f>I!AJ100</f>
        <v>0</v>
      </c>
      <c r="Y1381" s="2">
        <f>I!AK100</f>
        <v>0</v>
      </c>
      <c r="Z1381" s="2">
        <f>J!AI100</f>
        <v>0</v>
      </c>
      <c r="AA1381" s="2">
        <f>J!AJ100</f>
        <v>0</v>
      </c>
      <c r="AB1381" s="2">
        <f>J!AK100</f>
        <v>0</v>
      </c>
    </row>
    <row r="1382" spans="1:28">
      <c r="A1382" s="69" t="s">
        <v>115</v>
      </c>
      <c r="B1382" s="127">
        <f>B!AI101</f>
        <v>100</v>
      </c>
      <c r="C1382" s="127" t="str">
        <f>B!AJ101</f>
        <v>21-Nov</v>
      </c>
      <c r="D1382" s="122">
        <f>B!AK101</f>
        <v>24</v>
      </c>
      <c r="E1382" s="133" t="str">
        <f>'C'!AI101</f>
        <v>system off gives 0.000</v>
      </c>
      <c r="F1382" s="126">
        <f>'C'!AJ101</f>
        <v>0</v>
      </c>
      <c r="G1382" s="122">
        <f>'C'!AK101</f>
        <v>0</v>
      </c>
      <c r="H1382" s="133" t="str">
        <f>D!AI101</f>
        <v>system off gives 0.000</v>
      </c>
      <c r="I1382" s="126">
        <f>D!AJ101</f>
        <v>0</v>
      </c>
      <c r="J1382" s="122">
        <f>D!AK101</f>
        <v>0</v>
      </c>
      <c r="K1382" s="133">
        <f>E!AI101</f>
        <v>100</v>
      </c>
      <c r="L1382" s="127" t="str">
        <f>E!AJ101</f>
        <v>11/21</v>
      </c>
      <c r="M1382" s="122" t="str">
        <f>E!AK101</f>
        <v>24:00</v>
      </c>
      <c r="N1382" s="139">
        <f>F!AI101</f>
        <v>100</v>
      </c>
      <c r="O1382" s="128">
        <f>F!AJ101</f>
        <v>319</v>
      </c>
      <c r="P1382" s="350">
        <f>F!AK101</f>
        <v>5</v>
      </c>
      <c r="Q1382" s="139">
        <f>G!AI101</f>
        <v>60.08</v>
      </c>
      <c r="R1382" s="128">
        <f>G!AJ101</f>
        <v>37712</v>
      </c>
      <c r="S1382" s="350">
        <f>G!AK101</f>
        <v>5</v>
      </c>
      <c r="T1382">
        <f>YD!AI101</f>
        <v>0</v>
      </c>
      <c r="U1382">
        <f>YD!AJ101</f>
        <v>0</v>
      </c>
      <c r="V1382">
        <f>YD!AK101</f>
        <v>0</v>
      </c>
      <c r="W1382" s="2">
        <f>I!AI101</f>
        <v>0</v>
      </c>
      <c r="X1382" s="2">
        <f>I!AJ101</f>
        <v>0</v>
      </c>
      <c r="Y1382" s="2">
        <f>I!AK101</f>
        <v>0</v>
      </c>
      <c r="Z1382" s="2">
        <f>J!AI101</f>
        <v>0</v>
      </c>
      <c r="AA1382" s="2">
        <f>J!AJ101</f>
        <v>0</v>
      </c>
      <c r="AB1382" s="2">
        <f>J!AK101</f>
        <v>0</v>
      </c>
    </row>
    <row r="1383" spans="1:28">
      <c r="A1383" s="69" t="s">
        <v>121</v>
      </c>
      <c r="B1383" s="127">
        <f>B!AI102</f>
        <v>100</v>
      </c>
      <c r="C1383" s="127" t="str">
        <f>B!AJ102</f>
        <v>21-Nov</v>
      </c>
      <c r="D1383" s="122">
        <f>B!AK102</f>
        <v>24</v>
      </c>
      <c r="E1383" s="133" t="str">
        <f>'C'!AI102</f>
        <v>system off gives 0.000</v>
      </c>
      <c r="F1383" s="126">
        <f>'C'!AJ102</f>
        <v>0</v>
      </c>
      <c r="G1383" s="122">
        <f>'C'!AK102</f>
        <v>0</v>
      </c>
      <c r="H1383" s="133" t="str">
        <f>D!AI102</f>
        <v>system off gives 0.000</v>
      </c>
      <c r="I1383" s="126">
        <f>D!AJ102</f>
        <v>0</v>
      </c>
      <c r="J1383" s="122">
        <f>D!AK102</f>
        <v>0</v>
      </c>
      <c r="K1383" s="133">
        <f>E!AI102</f>
        <v>100</v>
      </c>
      <c r="L1383" s="127" t="str">
        <f>E!AJ102</f>
        <v>11/21</v>
      </c>
      <c r="M1383" s="122" t="str">
        <f>E!AK102</f>
        <v>24:00</v>
      </c>
      <c r="N1383" s="139">
        <f>F!AI102</f>
        <v>100</v>
      </c>
      <c r="O1383" s="128">
        <f>F!AJ102</f>
        <v>319</v>
      </c>
      <c r="P1383" s="350">
        <f>F!AK102</f>
        <v>5</v>
      </c>
      <c r="Q1383" s="139">
        <f>G!AI102</f>
        <v>57.51</v>
      </c>
      <c r="R1383" s="128">
        <f>G!AJ102</f>
        <v>37712</v>
      </c>
      <c r="S1383" s="350">
        <f>G!AK102</f>
        <v>5</v>
      </c>
      <c r="T1383">
        <f>YD!AI102</f>
        <v>0</v>
      </c>
      <c r="U1383">
        <f>YD!AJ102</f>
        <v>0</v>
      </c>
      <c r="V1383">
        <f>YD!AK102</f>
        <v>0</v>
      </c>
      <c r="W1383" s="2">
        <f>I!AI102</f>
        <v>0</v>
      </c>
      <c r="X1383" s="2">
        <f>I!AJ102</f>
        <v>0</v>
      </c>
      <c r="Y1383" s="2">
        <f>I!AK102</f>
        <v>0</v>
      </c>
      <c r="Z1383" s="2">
        <f>J!AI102</f>
        <v>0</v>
      </c>
      <c r="AA1383" s="2">
        <f>J!AJ102</f>
        <v>0</v>
      </c>
      <c r="AB1383" s="2">
        <f>J!AK102</f>
        <v>0</v>
      </c>
    </row>
    <row r="1384" spans="1:28">
      <c r="A1384" s="69" t="s">
        <v>125</v>
      </c>
      <c r="B1384" s="127">
        <f>B!AI103</f>
        <v>90.229900000000001</v>
      </c>
      <c r="C1384" s="127" t="str">
        <f>B!AJ103</f>
        <v>20-Dec</v>
      </c>
      <c r="D1384" s="122">
        <f>B!AK103</f>
        <v>22</v>
      </c>
      <c r="E1384" s="133" t="str">
        <f>'C'!AI103</f>
        <v>system off gives 0.000</v>
      </c>
      <c r="F1384" s="126">
        <f>'C'!AJ103</f>
        <v>0</v>
      </c>
      <c r="G1384" s="122">
        <f>'C'!AK103</f>
        <v>0</v>
      </c>
      <c r="H1384" s="133" t="str">
        <f>D!AI103</f>
        <v>system off gives 0.000</v>
      </c>
      <c r="I1384" s="126">
        <f>D!AJ103</f>
        <v>0</v>
      </c>
      <c r="J1384" s="122">
        <f>D!AK103</f>
        <v>0</v>
      </c>
      <c r="K1384" s="133">
        <f>E!AI103</f>
        <v>93.604172645267894</v>
      </c>
      <c r="L1384" s="127" t="str">
        <f>E!AJ103</f>
        <v>12/20</v>
      </c>
      <c r="M1384" s="122" t="str">
        <f>E!AK103</f>
        <v>11:00</v>
      </c>
      <c r="N1384" s="139">
        <f>F!AI103</f>
        <v>95</v>
      </c>
      <c r="O1384" s="128">
        <f>F!AJ103</f>
        <v>355</v>
      </c>
      <c r="P1384" s="350">
        <f>F!AK103</f>
        <v>17</v>
      </c>
      <c r="Q1384" s="139">
        <f>G!AI103</f>
        <v>71.77</v>
      </c>
      <c r="R1384" s="128">
        <f>G!AJ103</f>
        <v>37849</v>
      </c>
      <c r="S1384" s="350">
        <f>G!AK103</f>
        <v>17</v>
      </c>
      <c r="T1384">
        <f>YD!AI103</f>
        <v>0</v>
      </c>
      <c r="U1384">
        <f>YD!AJ103</f>
        <v>0</v>
      </c>
      <c r="V1384">
        <f>YD!AK103</f>
        <v>0</v>
      </c>
      <c r="W1384" s="2">
        <f>I!AI103</f>
        <v>0</v>
      </c>
      <c r="X1384" s="2">
        <f>I!AJ103</f>
        <v>0</v>
      </c>
      <c r="Y1384" s="2">
        <f>I!AK103</f>
        <v>0</v>
      </c>
      <c r="Z1384" s="2">
        <f>J!AI103</f>
        <v>0</v>
      </c>
      <c r="AA1384" s="2">
        <f>J!AJ103</f>
        <v>0</v>
      </c>
      <c r="AB1384" s="2">
        <f>J!AK103</f>
        <v>0</v>
      </c>
    </row>
    <row r="1385" spans="1:28">
      <c r="A1385" s="69" t="s">
        <v>127</v>
      </c>
      <c r="B1385" s="127">
        <f>B!AI104</f>
        <v>100</v>
      </c>
      <c r="C1385" s="127" t="str">
        <f>B!AJ104</f>
        <v>18-Dec</v>
      </c>
      <c r="D1385" s="122">
        <f>B!AK104</f>
        <v>8</v>
      </c>
      <c r="E1385" s="133" t="str">
        <f>'C'!AI104</f>
        <v>system off gives 0.000</v>
      </c>
      <c r="F1385" s="126">
        <f>'C'!AJ104</f>
        <v>0</v>
      </c>
      <c r="G1385" s="122">
        <f>'C'!AK104</f>
        <v>0</v>
      </c>
      <c r="H1385" s="133" t="str">
        <f>D!AI104</f>
        <v>system off gives 0.000</v>
      </c>
      <c r="I1385" s="126">
        <f>D!AJ104</f>
        <v>0</v>
      </c>
      <c r="J1385" s="122">
        <f>D!AK104</f>
        <v>0</v>
      </c>
      <c r="K1385" s="133">
        <f>E!AI104</f>
        <v>100</v>
      </c>
      <c r="L1385" s="127" t="str">
        <f>E!AJ104</f>
        <v>12/16</v>
      </c>
      <c r="M1385" s="122" t="str">
        <f>E!AK104</f>
        <v>03:00</v>
      </c>
      <c r="N1385" s="139">
        <f>F!AI104</f>
        <v>100</v>
      </c>
      <c r="O1385" s="128">
        <f>F!AJ104</f>
        <v>350</v>
      </c>
      <c r="P1385" s="350">
        <f>F!AK104</f>
        <v>1</v>
      </c>
      <c r="Q1385" s="139">
        <f>G!AI104</f>
        <v>71.319999999999993</v>
      </c>
      <c r="R1385" s="128">
        <f>G!AJ104</f>
        <v>37716</v>
      </c>
      <c r="S1385" s="350">
        <f>G!AK104</f>
        <v>17</v>
      </c>
      <c r="T1385">
        <f>YD!AI104</f>
        <v>0</v>
      </c>
      <c r="U1385">
        <f>YD!AJ104</f>
        <v>0</v>
      </c>
      <c r="V1385">
        <f>YD!AK104</f>
        <v>0</v>
      </c>
      <c r="W1385" s="2">
        <f>I!AI104</f>
        <v>0</v>
      </c>
      <c r="X1385" s="2">
        <f>I!AJ104</f>
        <v>0</v>
      </c>
      <c r="Y1385" s="2">
        <f>I!AK104</f>
        <v>0</v>
      </c>
      <c r="Z1385" s="2">
        <f>J!AI104</f>
        <v>0</v>
      </c>
      <c r="AA1385" s="2">
        <f>J!AJ104</f>
        <v>0</v>
      </c>
      <c r="AB1385" s="2">
        <f>J!AK104</f>
        <v>0</v>
      </c>
    </row>
    <row r="1386" spans="1:28">
      <c r="A1386" s="69" t="s">
        <v>130</v>
      </c>
      <c r="B1386" s="127">
        <f>B!AI105</f>
        <v>100</v>
      </c>
      <c r="C1386" s="127" t="str">
        <f>B!AJ105</f>
        <v>12-Nov</v>
      </c>
      <c r="D1386" s="122">
        <f>B!AK105</f>
        <v>20</v>
      </c>
      <c r="E1386" s="133" t="str">
        <f>'C'!AI105</f>
        <v>system off gives 0.000</v>
      </c>
      <c r="F1386" s="126">
        <f>'C'!AJ105</f>
        <v>0</v>
      </c>
      <c r="G1386" s="122">
        <f>'C'!AK105</f>
        <v>0</v>
      </c>
      <c r="H1386" s="133" t="str">
        <f>D!AI105</f>
        <v>system off gives 0.000</v>
      </c>
      <c r="I1386" s="126">
        <f>D!AJ105</f>
        <v>0</v>
      </c>
      <c r="J1386" s="122">
        <f>D!AK105</f>
        <v>0</v>
      </c>
      <c r="K1386" s="133">
        <f>E!AI105</f>
        <v>100</v>
      </c>
      <c r="L1386" s="127" t="str">
        <f>E!AJ105</f>
        <v>11/12</v>
      </c>
      <c r="M1386" s="122" t="str">
        <f>E!AK105</f>
        <v>24:00</v>
      </c>
      <c r="N1386" s="139">
        <f>F!AI105</f>
        <v>100</v>
      </c>
      <c r="O1386" s="128">
        <f>F!AJ105</f>
        <v>316</v>
      </c>
      <c r="P1386" s="350">
        <f>F!AK105</f>
        <v>23</v>
      </c>
      <c r="Q1386" s="139">
        <f>G!AI105</f>
        <v>51.12</v>
      </c>
      <c r="R1386" s="128">
        <f>G!AJ105</f>
        <v>37712</v>
      </c>
      <c r="S1386" s="350">
        <f>G!AK105</f>
        <v>8</v>
      </c>
      <c r="T1386">
        <f>YD!AI105</f>
        <v>0</v>
      </c>
      <c r="U1386">
        <f>YD!AJ105</f>
        <v>0</v>
      </c>
      <c r="V1386">
        <f>YD!AK105</f>
        <v>0</v>
      </c>
      <c r="W1386" s="2">
        <f>I!AI105</f>
        <v>0</v>
      </c>
      <c r="X1386" s="2">
        <f>I!AJ105</f>
        <v>0</v>
      </c>
      <c r="Y1386" s="2">
        <f>I!AK105</f>
        <v>0</v>
      </c>
      <c r="Z1386" s="2">
        <f>J!AI105</f>
        <v>0</v>
      </c>
      <c r="AA1386" s="2">
        <f>J!AJ105</f>
        <v>0</v>
      </c>
      <c r="AB1386" s="2">
        <f>J!AK105</f>
        <v>0</v>
      </c>
    </row>
    <row r="1387" spans="1:28">
      <c r="A1387" s="69" t="s">
        <v>132</v>
      </c>
      <c r="B1387" s="127">
        <f>B!AI106</f>
        <v>91.044499999999999</v>
      </c>
      <c r="C1387" s="127" t="str">
        <f>B!AJ106</f>
        <v>20-Dec</v>
      </c>
      <c r="D1387" s="122">
        <f>B!AK106</f>
        <v>22</v>
      </c>
      <c r="E1387" s="133" t="str">
        <f>'C'!AI106</f>
        <v>system off gives 0.000</v>
      </c>
      <c r="F1387" s="126">
        <f>'C'!AJ106</f>
        <v>0</v>
      </c>
      <c r="G1387" s="122">
        <f>'C'!AK106</f>
        <v>0</v>
      </c>
      <c r="H1387" s="133" t="str">
        <f>D!AI106</f>
        <v>system off gives 0.000</v>
      </c>
      <c r="I1387" s="126">
        <f>D!AJ106</f>
        <v>0</v>
      </c>
      <c r="J1387" s="122">
        <f>D!AK106</f>
        <v>0</v>
      </c>
      <c r="K1387" s="133">
        <f>E!AI106</f>
        <v>91.698039888738407</v>
      </c>
      <c r="L1387" s="127" t="str">
        <f>E!AJ106</f>
        <v>12/20</v>
      </c>
      <c r="M1387" s="122" t="str">
        <f>E!AK106</f>
        <v>11:00</v>
      </c>
      <c r="N1387" s="139">
        <f>F!AI106</f>
        <v>79</v>
      </c>
      <c r="O1387" s="128">
        <f>F!AJ106</f>
        <v>355</v>
      </c>
      <c r="P1387" s="350">
        <f>F!AK106</f>
        <v>8</v>
      </c>
      <c r="Q1387" s="139">
        <f>G!AI106</f>
        <v>36.01</v>
      </c>
      <c r="R1387" s="128">
        <f>G!AJ106</f>
        <v>37731</v>
      </c>
      <c r="S1387" s="350">
        <f>G!AK106</f>
        <v>21</v>
      </c>
      <c r="T1387">
        <f>YD!AI106</f>
        <v>0</v>
      </c>
      <c r="U1387">
        <f>YD!AJ106</f>
        <v>0</v>
      </c>
      <c r="V1387">
        <f>YD!AK106</f>
        <v>0</v>
      </c>
      <c r="W1387" s="2">
        <f>I!AI106</f>
        <v>0</v>
      </c>
      <c r="X1387" s="2">
        <f>I!AJ106</f>
        <v>0</v>
      </c>
      <c r="Y1387" s="2">
        <f>I!AK106</f>
        <v>0</v>
      </c>
      <c r="Z1387" s="2">
        <f>J!AI106</f>
        <v>0</v>
      </c>
      <c r="AA1387" s="2">
        <f>J!AJ106</f>
        <v>0</v>
      </c>
      <c r="AB1387" s="2">
        <f>J!AK106</f>
        <v>0</v>
      </c>
    </row>
    <row r="1388" spans="1:28">
      <c r="A1388" s="69" t="s">
        <v>135</v>
      </c>
      <c r="B1388" s="127">
        <f>B!AI107</f>
        <v>61.274999999999999</v>
      </c>
      <c r="C1388" s="127" t="str">
        <f>B!AJ107</f>
        <v>20-Dec</v>
      </c>
      <c r="D1388" s="122">
        <f>B!AK107</f>
        <v>22</v>
      </c>
      <c r="E1388" s="133" t="str">
        <f>'C'!AI107</f>
        <v>system off gives 0.000</v>
      </c>
      <c r="F1388" s="126">
        <f>'C'!AJ107</f>
        <v>0</v>
      </c>
      <c r="G1388" s="122">
        <f>'C'!AK107</f>
        <v>0</v>
      </c>
      <c r="H1388" s="133" t="str">
        <f>D!AI107</f>
        <v>system off gives 0.000</v>
      </c>
      <c r="I1388" s="126">
        <f>D!AJ107</f>
        <v>0</v>
      </c>
      <c r="J1388" s="122">
        <f>D!AK107</f>
        <v>0</v>
      </c>
      <c r="K1388" s="133">
        <f>E!AI107</f>
        <v>54.855733541417997</v>
      </c>
      <c r="L1388" s="127" t="str">
        <f>E!AJ107</f>
        <v>12/20</v>
      </c>
      <c r="M1388" s="122" t="str">
        <f>E!AK107</f>
        <v>11:00</v>
      </c>
      <c r="N1388" s="139">
        <f>F!AI107</f>
        <v>47</v>
      </c>
      <c r="O1388" s="128">
        <f>F!AJ107</f>
        <v>355</v>
      </c>
      <c r="P1388" s="350">
        <f>F!AK107</f>
        <v>6</v>
      </c>
      <c r="Q1388" s="139">
        <f>G!AI107</f>
        <v>39.96</v>
      </c>
      <c r="R1388" s="128">
        <f>G!AJ107</f>
        <v>37729</v>
      </c>
      <c r="S1388" s="350">
        <f>G!AK107</f>
        <v>18</v>
      </c>
      <c r="T1388">
        <f>YD!AI107</f>
        <v>0</v>
      </c>
      <c r="U1388">
        <f>YD!AJ107</f>
        <v>0</v>
      </c>
      <c r="V1388">
        <f>YD!AK107</f>
        <v>0</v>
      </c>
      <c r="W1388" s="2">
        <f>I!AI107</f>
        <v>0</v>
      </c>
      <c r="X1388" s="2">
        <f>I!AJ107</f>
        <v>0</v>
      </c>
      <c r="Y1388" s="2">
        <f>I!AK107</f>
        <v>0</v>
      </c>
      <c r="Z1388" s="2">
        <f>J!AI107</f>
        <v>0</v>
      </c>
      <c r="AA1388" s="2">
        <f>J!AJ107</f>
        <v>0</v>
      </c>
      <c r="AB1388" s="2">
        <f>J!AK107</f>
        <v>0</v>
      </c>
    </row>
    <row r="1389" spans="1:28">
      <c r="A1389" s="70" t="s">
        <v>138</v>
      </c>
      <c r="B1389" s="127">
        <f>B!AI108</f>
        <v>90.877200000000002</v>
      </c>
      <c r="C1389" s="127" t="str">
        <f>B!AJ108</f>
        <v>20-Dec</v>
      </c>
      <c r="D1389" s="122">
        <f>B!AK108</f>
        <v>22</v>
      </c>
      <c r="E1389" s="133" t="str">
        <f>'C'!AI108</f>
        <v>system off gives 0.000</v>
      </c>
      <c r="F1389" s="126">
        <f>'C'!AJ108</f>
        <v>0</v>
      </c>
      <c r="G1389" s="122">
        <f>'C'!AK108</f>
        <v>0</v>
      </c>
      <c r="H1389" s="133" t="str">
        <f>D!AI108</f>
        <v>system off gives 0.000</v>
      </c>
      <c r="I1389" s="126">
        <f>D!AJ108</f>
        <v>0</v>
      </c>
      <c r="J1389" s="122">
        <f>D!AK108</f>
        <v>0</v>
      </c>
      <c r="K1389" s="133">
        <f>E!AI108</f>
        <v>96.073979938067893</v>
      </c>
      <c r="L1389" s="127" t="str">
        <f>E!AJ108</f>
        <v>12/20</v>
      </c>
      <c r="M1389" s="122" t="str">
        <f>E!AK108</f>
        <v>11:00</v>
      </c>
      <c r="N1389" s="139">
        <f>F!AI108</f>
        <v>97</v>
      </c>
      <c r="O1389" s="128">
        <f>F!AJ108</f>
        <v>355</v>
      </c>
      <c r="P1389" s="350">
        <f>F!AK108</f>
        <v>4</v>
      </c>
      <c r="Q1389" s="139">
        <f>G!AI108</f>
        <v>24.14</v>
      </c>
      <c r="R1389" s="128">
        <f>G!AJ108</f>
        <v>37979</v>
      </c>
      <c r="S1389" s="350">
        <f>G!AK108</f>
        <v>1</v>
      </c>
      <c r="T1389">
        <f>YD!AI108</f>
        <v>0</v>
      </c>
      <c r="U1389">
        <f>YD!AJ108</f>
        <v>0</v>
      </c>
      <c r="V1389">
        <f>YD!AK108</f>
        <v>0</v>
      </c>
      <c r="W1389" s="2">
        <f>I!AI108</f>
        <v>0</v>
      </c>
      <c r="X1389" s="2">
        <f>I!AJ108</f>
        <v>0</v>
      </c>
      <c r="Y1389" s="2">
        <f>I!AK108</f>
        <v>0</v>
      </c>
      <c r="Z1389" s="2">
        <f>J!AI108</f>
        <v>0</v>
      </c>
      <c r="AA1389" s="2">
        <f>J!AJ108</f>
        <v>0</v>
      </c>
      <c r="AB1389" s="2">
        <f>J!AK108</f>
        <v>0</v>
      </c>
    </row>
    <row r="1390" spans="1:28">
      <c r="A1390" s="15"/>
      <c r="B1390" s="16"/>
      <c r="C1390" s="16"/>
      <c r="D1390" s="115"/>
      <c r="E1390" s="134"/>
      <c r="F1390" s="129"/>
      <c r="G1390" s="115"/>
      <c r="H1390" s="134"/>
      <c r="I1390" s="129"/>
      <c r="J1390" s="115"/>
      <c r="K1390" s="134"/>
      <c r="L1390" s="16"/>
      <c r="M1390" s="115"/>
      <c r="N1390" s="132"/>
      <c r="P1390" s="116"/>
      <c r="Q1390" s="132"/>
      <c r="R1390" s="2"/>
      <c r="S1390" s="115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5"/>
      <c r="E1391" s="134"/>
      <c r="F1391" s="129"/>
      <c r="G1391" s="115"/>
      <c r="H1391" s="134"/>
      <c r="I1391" s="129"/>
      <c r="J1391" s="115"/>
      <c r="K1391" s="134"/>
      <c r="L1391" s="16"/>
      <c r="M1391" s="115"/>
      <c r="N1391" s="132"/>
      <c r="P1391" s="116"/>
      <c r="Q1391" s="132"/>
      <c r="R1391" s="2"/>
      <c r="S1391" s="115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5"/>
      <c r="E1392" s="134"/>
      <c r="F1392" s="129"/>
      <c r="G1392" s="115"/>
      <c r="H1392" s="134"/>
      <c r="I1392" s="129"/>
      <c r="J1392" s="115"/>
      <c r="K1392" s="134"/>
      <c r="L1392" s="16"/>
      <c r="M1392" s="115"/>
      <c r="N1392" s="132"/>
      <c r="P1392" s="116"/>
      <c r="Q1392" s="132"/>
      <c r="R1392" s="2"/>
      <c r="S1392" s="115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5"/>
      <c r="E1393" s="134"/>
      <c r="F1393" s="129"/>
      <c r="G1393" s="115"/>
      <c r="H1393" s="134"/>
      <c r="I1393" s="129"/>
      <c r="J1393" s="115"/>
      <c r="K1393" s="134"/>
      <c r="L1393" s="16"/>
      <c r="M1393" s="115"/>
      <c r="N1393" s="132"/>
      <c r="P1393" s="116"/>
      <c r="Q1393" s="132"/>
      <c r="R1393" s="2"/>
      <c r="S1393" s="115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5"/>
      <c r="E1394" s="134"/>
      <c r="F1394" s="129"/>
      <c r="G1394" s="115"/>
      <c r="H1394" s="134"/>
      <c r="I1394" s="129"/>
      <c r="J1394" s="115"/>
      <c r="K1394" s="134"/>
      <c r="L1394" s="16"/>
      <c r="M1394" s="115"/>
      <c r="N1394" s="132"/>
      <c r="P1394" s="116"/>
      <c r="Q1394" s="132"/>
      <c r="R1394" s="2"/>
      <c r="S1394" s="115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5"/>
      <c r="E1395" s="134"/>
      <c r="F1395" s="129"/>
      <c r="G1395" s="115"/>
      <c r="H1395" s="134"/>
      <c r="I1395" s="129"/>
      <c r="J1395" s="115"/>
      <c r="K1395" s="134"/>
      <c r="L1395" s="16"/>
      <c r="M1395" s="115"/>
      <c r="N1395" s="132"/>
      <c r="P1395" s="116"/>
      <c r="Q1395" s="132"/>
      <c r="R1395" s="2"/>
      <c r="S1395" s="115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5"/>
      <c r="E1396" s="134"/>
      <c r="F1396" s="129"/>
      <c r="G1396" s="115"/>
      <c r="H1396" s="134"/>
      <c r="I1396" s="129"/>
      <c r="J1396" s="115"/>
      <c r="K1396" s="134"/>
      <c r="L1396" s="16"/>
      <c r="M1396" s="115"/>
      <c r="N1396" s="132"/>
      <c r="P1396" s="116"/>
      <c r="Q1396" s="132"/>
      <c r="R1396" s="2"/>
      <c r="S1396" s="115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256</v>
      </c>
      <c r="B1397" s="39"/>
      <c r="C1397" s="12"/>
      <c r="D1397" s="115"/>
      <c r="E1397" s="131"/>
      <c r="F1397" s="126"/>
      <c r="G1397" s="122"/>
      <c r="H1397" s="137"/>
      <c r="I1397" s="126"/>
      <c r="J1397" s="122"/>
      <c r="K1397" s="137"/>
      <c r="L1397" s="121"/>
      <c r="M1397" s="122"/>
      <c r="N1397" s="132"/>
      <c r="O1397" s="120"/>
      <c r="P1397" s="350"/>
      <c r="Q1397" s="132"/>
      <c r="R1397" s="121"/>
      <c r="S1397" s="12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6"/>
      <c r="E1398" s="10"/>
      <c r="F1398" s="120"/>
      <c r="G1398" s="350"/>
      <c r="H1398" s="130"/>
      <c r="I1398" s="121"/>
      <c r="J1398" s="122"/>
      <c r="K1398" s="10"/>
      <c r="L1398" s="121"/>
      <c r="M1398" s="122"/>
      <c r="N1398" s="10"/>
      <c r="O1398" s="120"/>
      <c r="P1398" s="350"/>
      <c r="Q1398" s="132"/>
      <c r="R1398" s="121"/>
      <c r="S1398" s="122"/>
      <c r="V1398" s="2"/>
      <c r="W1398" s="2"/>
      <c r="X1398" s="2"/>
      <c r="Y1398" s="2"/>
      <c r="Z1398" s="2"/>
      <c r="AA1398" s="2"/>
      <c r="AB1398" s="2"/>
    </row>
    <row r="1399" spans="1:28">
      <c r="A1399" s="2"/>
      <c r="B1399" s="10" t="s">
        <v>245</v>
      </c>
      <c r="C1399" t="s">
        <v>77</v>
      </c>
      <c r="D1399" t="s">
        <v>78</v>
      </c>
      <c r="E1399" s="10" t="s">
        <v>257</v>
      </c>
      <c r="F1399" s="120" t="s">
        <v>77</v>
      </c>
      <c r="G1399" s="120" t="s">
        <v>78</v>
      </c>
      <c r="H1399" s="10" t="s">
        <v>258</v>
      </c>
      <c r="I1399" s="120" t="s">
        <v>77</v>
      </c>
      <c r="J1399" s="120" t="s">
        <v>78</v>
      </c>
      <c r="K1399" s="10" t="s">
        <v>515</v>
      </c>
      <c r="L1399" s="120" t="s">
        <v>77</v>
      </c>
      <c r="M1399" s="120" t="s">
        <v>78</v>
      </c>
      <c r="N1399" s="10" t="s">
        <v>373</v>
      </c>
      <c r="O1399" s="120" t="s">
        <v>77</v>
      </c>
      <c r="P1399" s="120" t="s">
        <v>78</v>
      </c>
      <c r="Q1399" s="10" t="s">
        <v>482</v>
      </c>
      <c r="R1399" s="120" t="s">
        <v>77</v>
      </c>
      <c r="S1399" s="120" t="s">
        <v>78</v>
      </c>
      <c r="T1399" s="10" t="s">
        <v>516</v>
      </c>
      <c r="U1399" s="120" t="s">
        <v>77</v>
      </c>
      <c r="V1399" s="120" t="s">
        <v>78</v>
      </c>
      <c r="W1399" s="10" t="s">
        <v>517</v>
      </c>
      <c r="X1399" s="120" t="s">
        <v>77</v>
      </c>
      <c r="Y1399" s="120" t="s">
        <v>78</v>
      </c>
      <c r="Z1399" s="10" t="s">
        <v>517</v>
      </c>
      <c r="AA1399" s="120" t="s">
        <v>77</v>
      </c>
      <c r="AB1399" s="120" t="s">
        <v>78</v>
      </c>
    </row>
    <row r="1400" spans="1:28">
      <c r="A1400" s="69" t="s">
        <v>91</v>
      </c>
      <c r="B1400" s="127">
        <f>B!AL89</f>
        <v>13.331200000000001</v>
      </c>
      <c r="C1400" s="127" t="str">
        <f>B!AM89</f>
        <v>06-Nov</v>
      </c>
      <c r="D1400" s="122">
        <f>B!AN89</f>
        <v>5</v>
      </c>
      <c r="E1400" s="133">
        <f>'C'!AL89</f>
        <v>11.97</v>
      </c>
      <c r="F1400" s="126">
        <f>'C'!AM89</f>
        <v>37566</v>
      </c>
      <c r="G1400" s="122">
        <f>'C'!AN89</f>
        <v>4</v>
      </c>
      <c r="H1400" s="133">
        <f>D!AL89</f>
        <v>11.97</v>
      </c>
      <c r="I1400" s="126">
        <f>D!AM89</f>
        <v>37566</v>
      </c>
      <c r="J1400" s="122">
        <f>D!AN89</f>
        <v>4</v>
      </c>
      <c r="K1400" s="133">
        <f>E!AL89</f>
        <v>14.387833084585999</v>
      </c>
      <c r="L1400" s="127" t="str">
        <f>E!AM89</f>
        <v>11/06</v>
      </c>
      <c r="M1400" s="122" t="str">
        <f>E!AN89</f>
        <v>06:00</v>
      </c>
      <c r="N1400" s="139">
        <f>F!AL89</f>
        <v>15</v>
      </c>
      <c r="O1400" s="128">
        <f>F!AM89</f>
        <v>311</v>
      </c>
      <c r="P1400" s="350">
        <f>F!AN89</f>
        <v>5</v>
      </c>
      <c r="Q1400" s="139">
        <f>G!AL89</f>
        <v>14.94</v>
      </c>
      <c r="R1400" s="128">
        <f>G!AM89</f>
        <v>37931</v>
      </c>
      <c r="S1400" s="350">
        <f>G!AN89</f>
        <v>8</v>
      </c>
      <c r="T1400">
        <f>YD!AL89</f>
        <v>0</v>
      </c>
      <c r="U1400">
        <f>YD!AM89</f>
        <v>0</v>
      </c>
      <c r="V1400">
        <f>YD!AN89</f>
        <v>0</v>
      </c>
      <c r="W1400" s="2">
        <f>I!AL89</f>
        <v>0</v>
      </c>
      <c r="X1400" s="2">
        <f>I!AM89</f>
        <v>0</v>
      </c>
      <c r="Y1400" s="2">
        <f>I!AN89</f>
        <v>0</v>
      </c>
      <c r="Z1400" s="2">
        <f>J!AL89</f>
        <v>0</v>
      </c>
      <c r="AA1400" s="2">
        <f>J!AM89</f>
        <v>0</v>
      </c>
      <c r="AB1400" s="2">
        <f>J!AN89</f>
        <v>0</v>
      </c>
    </row>
    <row r="1401" spans="1:28">
      <c r="A1401" s="69" t="s">
        <v>96</v>
      </c>
      <c r="B1401" s="127">
        <f>B!AL90</f>
        <v>13.389799999999999</v>
      </c>
      <c r="C1401" s="127" t="str">
        <f>B!AM90</f>
        <v>06-Nov</v>
      </c>
      <c r="D1401" s="122">
        <f>B!AN90</f>
        <v>6</v>
      </c>
      <c r="E1401" s="133">
        <f>'C'!AL90</f>
        <v>11.97</v>
      </c>
      <c r="F1401" s="126">
        <f>'C'!AM90</f>
        <v>37566</v>
      </c>
      <c r="G1401" s="122">
        <f>'C'!AN90</f>
        <v>4</v>
      </c>
      <c r="H1401" s="133">
        <f>D!AL90</f>
        <v>11.97</v>
      </c>
      <c r="I1401" s="126">
        <f>D!AM90</f>
        <v>37566</v>
      </c>
      <c r="J1401" s="122">
        <f>D!AN90</f>
        <v>4</v>
      </c>
      <c r="K1401" s="133">
        <f>E!AL90</f>
        <v>15.4710269468499</v>
      </c>
      <c r="L1401" s="127" t="str">
        <f>E!AM90</f>
        <v>11/06</v>
      </c>
      <c r="M1401" s="122" t="str">
        <f>E!AN90</f>
        <v>08:00</v>
      </c>
      <c r="N1401" s="139">
        <f>F!AL90</f>
        <v>16</v>
      </c>
      <c r="O1401" s="128">
        <f>F!AM90</f>
        <v>311</v>
      </c>
      <c r="P1401" s="350">
        <f>F!AN90</f>
        <v>8</v>
      </c>
      <c r="Q1401" s="139">
        <f>G!AL90</f>
        <v>15.93</v>
      </c>
      <c r="R1401" s="128">
        <f>G!AM90</f>
        <v>37931</v>
      </c>
      <c r="S1401" s="350">
        <f>G!AN90</f>
        <v>8</v>
      </c>
      <c r="T1401">
        <f>YD!AL90</f>
        <v>0</v>
      </c>
      <c r="U1401">
        <f>YD!AM90</f>
        <v>0</v>
      </c>
      <c r="V1401">
        <f>YD!AN90</f>
        <v>0</v>
      </c>
      <c r="W1401" s="2">
        <f>I!AL90</f>
        <v>0</v>
      </c>
      <c r="X1401" s="2">
        <f>I!AM90</f>
        <v>0</v>
      </c>
      <c r="Y1401" s="2">
        <f>I!AN90</f>
        <v>0</v>
      </c>
      <c r="Z1401" s="2">
        <f>J!AL90</f>
        <v>0</v>
      </c>
      <c r="AA1401" s="2">
        <f>J!AM90</f>
        <v>0</v>
      </c>
      <c r="AB1401" s="2">
        <f>J!AN90</f>
        <v>0</v>
      </c>
    </row>
    <row r="1402" spans="1:28">
      <c r="A1402" s="69" t="s">
        <v>98</v>
      </c>
      <c r="B1402" s="127">
        <f>B!AL91</f>
        <v>13.331200000000001</v>
      </c>
      <c r="C1402" s="127" t="str">
        <f>B!AM91</f>
        <v>06-Nov</v>
      </c>
      <c r="D1402" s="122">
        <f>B!AN91</f>
        <v>5</v>
      </c>
      <c r="E1402" s="133">
        <f>'C'!AL91</f>
        <v>11.97</v>
      </c>
      <c r="F1402" s="126">
        <f>'C'!AM91</f>
        <v>37566</v>
      </c>
      <c r="G1402" s="122">
        <f>'C'!AN91</f>
        <v>4</v>
      </c>
      <c r="H1402" s="133">
        <f>D!AL91</f>
        <v>11.97</v>
      </c>
      <c r="I1402" s="126">
        <f>D!AM91</f>
        <v>37566</v>
      </c>
      <c r="J1402" s="122">
        <f>D!AN91</f>
        <v>4</v>
      </c>
      <c r="K1402" s="133">
        <f>E!AL91</f>
        <v>14.7974211025104</v>
      </c>
      <c r="L1402" s="127" t="str">
        <f>E!AM91</f>
        <v>11/06</v>
      </c>
      <c r="M1402" s="122" t="str">
        <f>E!AN91</f>
        <v>06:00</v>
      </c>
      <c r="N1402" s="139">
        <f>F!AL91</f>
        <v>15</v>
      </c>
      <c r="O1402" s="128">
        <f>F!AM91</f>
        <v>311</v>
      </c>
      <c r="P1402" s="350">
        <f>F!AN91</f>
        <v>5</v>
      </c>
      <c r="Q1402" s="139">
        <f>G!AL91</f>
        <v>12.92</v>
      </c>
      <c r="R1402" s="128">
        <f>G!AM91</f>
        <v>37975</v>
      </c>
      <c r="S1402" s="350">
        <f>G!AN91</f>
        <v>5</v>
      </c>
      <c r="T1402">
        <f>YD!AL91</f>
        <v>0</v>
      </c>
      <c r="U1402">
        <f>YD!AM91</f>
        <v>0</v>
      </c>
      <c r="V1402">
        <f>YD!AN91</f>
        <v>0</v>
      </c>
      <c r="W1402" s="2">
        <f>I!AL91</f>
        <v>0</v>
      </c>
      <c r="X1402" s="2">
        <f>I!AM91</f>
        <v>0</v>
      </c>
      <c r="Y1402" s="2">
        <f>I!AN91</f>
        <v>0</v>
      </c>
      <c r="Z1402" s="2">
        <f>J!AL91</f>
        <v>0</v>
      </c>
      <c r="AA1402" s="2">
        <f>J!AM91</f>
        <v>0</v>
      </c>
      <c r="AB1402" s="2">
        <f>J!AN91</f>
        <v>0</v>
      </c>
    </row>
    <row r="1403" spans="1:28">
      <c r="A1403" s="69" t="s">
        <v>102</v>
      </c>
      <c r="B1403" s="127">
        <f>B!AL92</f>
        <v>13.331200000000001</v>
      </c>
      <c r="C1403" s="127" t="str">
        <f>B!AM92</f>
        <v>06-Nov</v>
      </c>
      <c r="D1403" s="122">
        <f>B!AN92</f>
        <v>5</v>
      </c>
      <c r="E1403" s="133">
        <f>'C'!AL92</f>
        <v>11.97</v>
      </c>
      <c r="F1403" s="126">
        <f>'C'!AM92</f>
        <v>37566</v>
      </c>
      <c r="G1403" s="122">
        <f>'C'!AN92</f>
        <v>4</v>
      </c>
      <c r="H1403" s="133">
        <f>D!AL92</f>
        <v>11.97</v>
      </c>
      <c r="I1403" s="126">
        <f>D!AM92</f>
        <v>37566</v>
      </c>
      <c r="J1403" s="122">
        <f>D!AN92</f>
        <v>4</v>
      </c>
      <c r="K1403" s="133">
        <f>E!AL92</f>
        <v>14.3879483171511</v>
      </c>
      <c r="L1403" s="127" t="str">
        <f>E!AM92</f>
        <v>11/06</v>
      </c>
      <c r="M1403" s="122" t="str">
        <f>E!AN92</f>
        <v>06:00</v>
      </c>
      <c r="N1403" s="139">
        <f>F!AL92</f>
        <v>15</v>
      </c>
      <c r="O1403" s="128">
        <f>F!AM92</f>
        <v>311</v>
      </c>
      <c r="P1403" s="350">
        <f>F!AN92</f>
        <v>5</v>
      </c>
      <c r="Q1403" s="139">
        <f>G!AL92</f>
        <v>14.94</v>
      </c>
      <c r="R1403" s="128">
        <f>G!AM92</f>
        <v>37931</v>
      </c>
      <c r="S1403" s="350">
        <f>G!AN92</f>
        <v>8</v>
      </c>
      <c r="T1403">
        <f>YD!AL92</f>
        <v>0</v>
      </c>
      <c r="U1403">
        <f>YD!AM92</f>
        <v>0</v>
      </c>
      <c r="V1403">
        <f>YD!AN92</f>
        <v>0</v>
      </c>
      <c r="W1403" s="2">
        <f>I!AL92</f>
        <v>0</v>
      </c>
      <c r="X1403" s="2">
        <f>I!AM92</f>
        <v>0</v>
      </c>
      <c r="Y1403" s="2">
        <f>I!AN92</f>
        <v>0</v>
      </c>
      <c r="Z1403" s="2">
        <f>J!AL92</f>
        <v>0</v>
      </c>
      <c r="AA1403" s="2">
        <f>J!AM92</f>
        <v>0</v>
      </c>
      <c r="AB1403" s="2">
        <f>J!AN92</f>
        <v>0</v>
      </c>
    </row>
    <row r="1404" spans="1:28">
      <c r="A1404" s="69" t="s">
        <v>356</v>
      </c>
      <c r="B1404" s="127">
        <f>B!AL93</f>
        <v>13.331200000000001</v>
      </c>
      <c r="C1404" s="127" t="str">
        <f>B!AM93</f>
        <v>06-Nov</v>
      </c>
      <c r="D1404" s="122">
        <f>B!AN93</f>
        <v>5</v>
      </c>
      <c r="E1404" s="133">
        <f>'C'!AL93</f>
        <v>11.97</v>
      </c>
      <c r="F1404" s="126">
        <f>'C'!AM93</f>
        <v>37566</v>
      </c>
      <c r="G1404" s="122">
        <f>'C'!AN93</f>
        <v>4</v>
      </c>
      <c r="H1404" s="133">
        <f>D!AL93</f>
        <v>11.97</v>
      </c>
      <c r="I1404" s="126">
        <f>D!AM93</f>
        <v>37566</v>
      </c>
      <c r="J1404" s="122">
        <f>D!AN93</f>
        <v>4</v>
      </c>
      <c r="K1404" s="133">
        <f>E!AL93</f>
        <v>14.3879483171511</v>
      </c>
      <c r="L1404" s="127" t="str">
        <f>E!AM93</f>
        <v>11/06</v>
      </c>
      <c r="M1404" s="122" t="str">
        <f>E!AN93</f>
        <v>06:00</v>
      </c>
      <c r="N1404" s="139">
        <f>F!AL93</f>
        <v>15</v>
      </c>
      <c r="O1404" s="128">
        <f>F!AM93</f>
        <v>311</v>
      </c>
      <c r="P1404" s="350">
        <f>F!AN93</f>
        <v>5</v>
      </c>
      <c r="Q1404" s="139">
        <f>G!AL93</f>
        <v>14.94</v>
      </c>
      <c r="R1404" s="128">
        <f>G!AM93</f>
        <v>37931</v>
      </c>
      <c r="S1404" s="350">
        <f>G!AN93</f>
        <v>8</v>
      </c>
      <c r="T1404">
        <f>YD!AL93</f>
        <v>0</v>
      </c>
      <c r="U1404">
        <f>YD!AM93</f>
        <v>0</v>
      </c>
      <c r="V1404">
        <f>YD!AN93</f>
        <v>0</v>
      </c>
      <c r="W1404" s="2">
        <f>I!AL93</f>
        <v>0</v>
      </c>
      <c r="X1404" s="2">
        <f>I!AM93</f>
        <v>0</v>
      </c>
      <c r="Y1404" s="2">
        <f>I!AN93</f>
        <v>0</v>
      </c>
      <c r="Z1404" s="2">
        <f>J!AL93</f>
        <v>0</v>
      </c>
      <c r="AA1404" s="2">
        <f>J!AM93</f>
        <v>0</v>
      </c>
      <c r="AB1404" s="2">
        <f>J!AN93</f>
        <v>0</v>
      </c>
    </row>
    <row r="1405" spans="1:28">
      <c r="A1405" s="69" t="s">
        <v>105</v>
      </c>
      <c r="B1405" s="127">
        <f>B!AL94</f>
        <v>13.331200000000001</v>
      </c>
      <c r="C1405" s="127" t="str">
        <f>B!AM94</f>
        <v>06-Nov</v>
      </c>
      <c r="D1405" s="122">
        <f>B!AN94</f>
        <v>5</v>
      </c>
      <c r="E1405" s="133">
        <f>'C'!AL94</f>
        <v>11.97</v>
      </c>
      <c r="F1405" s="126">
        <f>'C'!AM94</f>
        <v>37566</v>
      </c>
      <c r="G1405" s="122">
        <f>'C'!AN94</f>
        <v>4</v>
      </c>
      <c r="H1405" s="133">
        <f>D!AL94</f>
        <v>11.97</v>
      </c>
      <c r="I1405" s="126">
        <f>D!AM94</f>
        <v>37566</v>
      </c>
      <c r="J1405" s="122">
        <f>D!AN94</f>
        <v>4</v>
      </c>
      <c r="K1405" s="133">
        <f>E!AL94</f>
        <v>14.387833084585999</v>
      </c>
      <c r="L1405" s="127" t="str">
        <f>E!AM94</f>
        <v>11/06</v>
      </c>
      <c r="M1405" s="122" t="str">
        <f>E!AN94</f>
        <v>06:00</v>
      </c>
      <c r="N1405" s="139">
        <f>F!AL94</f>
        <v>15</v>
      </c>
      <c r="O1405" s="128">
        <f>F!AM94</f>
        <v>311</v>
      </c>
      <c r="P1405" s="350">
        <f>F!AN94</f>
        <v>5</v>
      </c>
      <c r="Q1405" s="139">
        <f>G!AL94</f>
        <v>14.94</v>
      </c>
      <c r="R1405" s="128">
        <f>G!AM94</f>
        <v>37931</v>
      </c>
      <c r="S1405" s="350">
        <f>G!AN94</f>
        <v>8</v>
      </c>
      <c r="T1405">
        <f>YD!AL94</f>
        <v>0</v>
      </c>
      <c r="U1405">
        <f>YD!AM94</f>
        <v>0</v>
      </c>
      <c r="V1405">
        <f>YD!AN94</f>
        <v>0</v>
      </c>
      <c r="W1405" s="2">
        <f>I!AL94</f>
        <v>0</v>
      </c>
      <c r="X1405" s="2">
        <f>I!AM94</f>
        <v>0</v>
      </c>
      <c r="Y1405" s="2">
        <f>I!AN94</f>
        <v>0</v>
      </c>
      <c r="Z1405" s="2">
        <f>J!AL94</f>
        <v>0</v>
      </c>
      <c r="AA1405" s="2">
        <f>J!AM94</f>
        <v>0</v>
      </c>
      <c r="AB1405" s="2">
        <f>J!AN94</f>
        <v>0</v>
      </c>
    </row>
    <row r="1406" spans="1:28">
      <c r="A1406" s="69" t="s">
        <v>108</v>
      </c>
      <c r="B1406" s="127">
        <f>B!AL95</f>
        <v>13.331200000000001</v>
      </c>
      <c r="C1406" s="127" t="str">
        <f>B!AM95</f>
        <v>06-Nov</v>
      </c>
      <c r="D1406" s="122">
        <f>B!AN95</f>
        <v>5</v>
      </c>
      <c r="E1406" s="133">
        <f>'C'!AL95</f>
        <v>11.97</v>
      </c>
      <c r="F1406" s="126">
        <f>'C'!AM95</f>
        <v>37566</v>
      </c>
      <c r="G1406" s="122">
        <f>'C'!AN95</f>
        <v>4</v>
      </c>
      <c r="H1406" s="133">
        <f>D!AL95</f>
        <v>11.97</v>
      </c>
      <c r="I1406" s="126">
        <f>D!AM95</f>
        <v>37566</v>
      </c>
      <c r="J1406" s="122">
        <f>D!AN95</f>
        <v>4</v>
      </c>
      <c r="K1406" s="133">
        <f>E!AL95</f>
        <v>14.387776106684401</v>
      </c>
      <c r="L1406" s="127" t="str">
        <f>E!AM95</f>
        <v>11/06</v>
      </c>
      <c r="M1406" s="122" t="str">
        <f>E!AN95</f>
        <v>06:00</v>
      </c>
      <c r="N1406" s="139">
        <f>F!AL95</f>
        <v>15</v>
      </c>
      <c r="O1406" s="128">
        <f>F!AM95</f>
        <v>311</v>
      </c>
      <c r="P1406" s="350">
        <f>F!AN95</f>
        <v>5</v>
      </c>
      <c r="Q1406" s="139">
        <f>G!AL95</f>
        <v>14.94</v>
      </c>
      <c r="R1406" s="128">
        <f>G!AM95</f>
        <v>37931</v>
      </c>
      <c r="S1406" s="350">
        <f>G!AN95</f>
        <v>8</v>
      </c>
      <c r="T1406">
        <f>YD!AL95</f>
        <v>0</v>
      </c>
      <c r="U1406">
        <f>YD!AM95</f>
        <v>0</v>
      </c>
      <c r="V1406">
        <f>YD!AN95</f>
        <v>0</v>
      </c>
      <c r="W1406" s="2">
        <f>I!AL95</f>
        <v>0</v>
      </c>
      <c r="X1406" s="2">
        <f>I!AM95</f>
        <v>0</v>
      </c>
      <c r="Y1406" s="2">
        <f>I!AN95</f>
        <v>0</v>
      </c>
      <c r="Z1406" s="2">
        <f>J!AL95</f>
        <v>0</v>
      </c>
      <c r="AA1406" s="2">
        <f>J!AM95</f>
        <v>0</v>
      </c>
      <c r="AB1406" s="2">
        <f>J!AN95</f>
        <v>0</v>
      </c>
    </row>
    <row r="1407" spans="1:28">
      <c r="A1407" s="69" t="s">
        <v>109</v>
      </c>
      <c r="B1407" s="127">
        <f>B!AL96</f>
        <v>13.209</v>
      </c>
      <c r="C1407" s="127" t="str">
        <f>B!AM96</f>
        <v>06-Nov</v>
      </c>
      <c r="D1407" s="122">
        <f>B!AN96</f>
        <v>5</v>
      </c>
      <c r="E1407" s="133">
        <f>'C'!AL96</f>
        <v>11.97</v>
      </c>
      <c r="F1407" s="126">
        <f>'C'!AM96</f>
        <v>37566</v>
      </c>
      <c r="G1407" s="122">
        <f>'C'!AN96</f>
        <v>4</v>
      </c>
      <c r="H1407" s="133">
        <f>D!AL96</f>
        <v>11.97</v>
      </c>
      <c r="I1407" s="126">
        <f>D!AM96</f>
        <v>37566</v>
      </c>
      <c r="J1407" s="122">
        <f>D!AN96</f>
        <v>4</v>
      </c>
      <c r="K1407" s="133">
        <f>E!AL96</f>
        <v>13.925488142731099</v>
      </c>
      <c r="L1407" s="127" t="str">
        <f>E!AM96</f>
        <v>11/06</v>
      </c>
      <c r="M1407" s="122" t="str">
        <f>E!AN96</f>
        <v>06:00</v>
      </c>
      <c r="N1407" s="139">
        <f>F!AL96</f>
        <v>0</v>
      </c>
      <c r="O1407" s="128">
        <f>F!AM96</f>
        <v>0</v>
      </c>
      <c r="P1407" s="350">
        <f>F!AN96</f>
        <v>0</v>
      </c>
      <c r="Q1407" s="139">
        <f>G!AL96</f>
        <v>14.57</v>
      </c>
      <c r="R1407" s="128">
        <f>G!AM96</f>
        <v>37931</v>
      </c>
      <c r="S1407" s="350">
        <f>G!AN96</f>
        <v>5</v>
      </c>
      <c r="T1407">
        <f>YD!AL96</f>
        <v>0</v>
      </c>
      <c r="U1407">
        <f>YD!AM96</f>
        <v>0</v>
      </c>
      <c r="V1407">
        <f>YD!AN96</f>
        <v>0</v>
      </c>
      <c r="W1407" s="2">
        <f>I!AL96</f>
        <v>0</v>
      </c>
      <c r="X1407" s="2">
        <f>I!AM96</f>
        <v>0</v>
      </c>
      <c r="Y1407" s="2">
        <f>I!AN96</f>
        <v>0</v>
      </c>
      <c r="Z1407" s="2">
        <f>J!AL96</f>
        <v>0</v>
      </c>
      <c r="AA1407" s="2">
        <f>J!AM96</f>
        <v>0</v>
      </c>
      <c r="AB1407" s="2">
        <f>J!AN96</f>
        <v>0</v>
      </c>
    </row>
    <row r="1408" spans="1:28">
      <c r="A1408" s="69" t="s">
        <v>111</v>
      </c>
      <c r="B1408" s="127">
        <f>B!AL97</f>
        <v>13.209099999999999</v>
      </c>
      <c r="C1408" s="127" t="str">
        <f>B!AM97</f>
        <v>06-Nov</v>
      </c>
      <c r="D1408" s="122">
        <f>B!AN97</f>
        <v>5</v>
      </c>
      <c r="E1408" s="133">
        <f>'C'!AL97</f>
        <v>11.97</v>
      </c>
      <c r="F1408" s="126">
        <f>'C'!AM97</f>
        <v>37566</v>
      </c>
      <c r="G1408" s="122">
        <f>'C'!AN97</f>
        <v>4</v>
      </c>
      <c r="H1408" s="133">
        <f>D!AL97</f>
        <v>11.97</v>
      </c>
      <c r="I1408" s="126">
        <f>D!AM97</f>
        <v>37566</v>
      </c>
      <c r="J1408" s="122">
        <f>D!AN97</f>
        <v>4</v>
      </c>
      <c r="K1408" s="133">
        <f>E!AL97</f>
        <v>14.1877468634439</v>
      </c>
      <c r="L1408" s="127" t="str">
        <f>E!AM97</f>
        <v>11/06</v>
      </c>
      <c r="M1408" s="122" t="str">
        <f>E!AN97</f>
        <v>06:00</v>
      </c>
      <c r="N1408" s="139">
        <f>F!AL97</f>
        <v>0</v>
      </c>
      <c r="O1408" s="128">
        <f>F!AM97</f>
        <v>0</v>
      </c>
      <c r="P1408" s="350">
        <f>F!AN97</f>
        <v>0</v>
      </c>
      <c r="Q1408" s="139">
        <f>G!AL97</f>
        <v>14.58</v>
      </c>
      <c r="R1408" s="128">
        <f>G!AM97</f>
        <v>37931</v>
      </c>
      <c r="S1408" s="350">
        <f>G!AN97</f>
        <v>5</v>
      </c>
      <c r="T1408">
        <f>YD!AL97</f>
        <v>0</v>
      </c>
      <c r="U1408">
        <f>YD!AM97</f>
        <v>0</v>
      </c>
      <c r="V1408">
        <f>YD!AN97</f>
        <v>0</v>
      </c>
      <c r="W1408" s="2">
        <f>I!AL97</f>
        <v>0</v>
      </c>
      <c r="X1408" s="2">
        <f>I!AM97</f>
        <v>0</v>
      </c>
      <c r="Y1408" s="2">
        <f>I!AN97</f>
        <v>0</v>
      </c>
      <c r="Z1408" s="2">
        <f>J!AL97</f>
        <v>0</v>
      </c>
      <c r="AA1408" s="2">
        <f>J!AM97</f>
        <v>0</v>
      </c>
      <c r="AB1408" s="2">
        <f>J!AN97</f>
        <v>0</v>
      </c>
    </row>
    <row r="1409" spans="1:28">
      <c r="A1409" s="69" t="s">
        <v>112</v>
      </c>
      <c r="B1409" s="127">
        <f>B!AL98</f>
        <v>13.209899999999999</v>
      </c>
      <c r="C1409" s="127" t="str">
        <f>B!AM98</f>
        <v>06-Nov</v>
      </c>
      <c r="D1409" s="122">
        <f>B!AN98</f>
        <v>5</v>
      </c>
      <c r="E1409" s="133">
        <f>'C'!AL98</f>
        <v>11.97</v>
      </c>
      <c r="F1409" s="126">
        <f>'C'!AM98</f>
        <v>37566</v>
      </c>
      <c r="G1409" s="122">
        <f>'C'!AN98</f>
        <v>4</v>
      </c>
      <c r="H1409" s="133">
        <f>D!AL98</f>
        <v>11.97</v>
      </c>
      <c r="I1409" s="126">
        <f>D!AM98</f>
        <v>37566</v>
      </c>
      <c r="J1409" s="122">
        <f>D!AN98</f>
        <v>4</v>
      </c>
      <c r="K1409" s="133">
        <f>E!AL98</f>
        <v>13.925595564136099</v>
      </c>
      <c r="L1409" s="127" t="str">
        <f>E!AM98</f>
        <v>11/06</v>
      </c>
      <c r="M1409" s="122" t="str">
        <f>E!AN98</f>
        <v>06:00</v>
      </c>
      <c r="N1409" s="139">
        <f>F!AL98</f>
        <v>0</v>
      </c>
      <c r="O1409" s="128">
        <f>F!AM98</f>
        <v>0</v>
      </c>
      <c r="P1409" s="350">
        <f>F!AN98</f>
        <v>0</v>
      </c>
      <c r="Q1409" s="139">
        <f>G!AL98</f>
        <v>14.59</v>
      </c>
      <c r="R1409" s="128">
        <f>G!AM98</f>
        <v>37931</v>
      </c>
      <c r="S1409" s="350">
        <f>G!AN98</f>
        <v>5</v>
      </c>
      <c r="T1409">
        <f>YD!AL98</f>
        <v>0</v>
      </c>
      <c r="U1409">
        <f>YD!AM98</f>
        <v>0</v>
      </c>
      <c r="V1409">
        <f>YD!AN98</f>
        <v>0</v>
      </c>
      <c r="W1409" s="2">
        <f>I!AL98</f>
        <v>0</v>
      </c>
      <c r="X1409" s="2">
        <f>I!AM98</f>
        <v>0</v>
      </c>
      <c r="Y1409" s="2">
        <f>I!AN98</f>
        <v>0</v>
      </c>
      <c r="Z1409" s="2">
        <f>J!AL98</f>
        <v>0</v>
      </c>
      <c r="AA1409" s="2">
        <f>J!AM98</f>
        <v>0</v>
      </c>
      <c r="AB1409" s="2">
        <f>J!AN98</f>
        <v>0</v>
      </c>
    </row>
    <row r="1410" spans="1:28">
      <c r="A1410" s="69" t="s">
        <v>113</v>
      </c>
      <c r="B1410" s="127">
        <f>B!AL99</f>
        <v>13.207800000000001</v>
      </c>
      <c r="C1410" s="127" t="str">
        <f>B!AM99</f>
        <v>06-Nov</v>
      </c>
      <c r="D1410" s="122">
        <f>B!AN99</f>
        <v>5</v>
      </c>
      <c r="E1410" s="133">
        <f>'C'!AL99</f>
        <v>11.97</v>
      </c>
      <c r="F1410" s="126">
        <f>'C'!AM99</f>
        <v>37566</v>
      </c>
      <c r="G1410" s="122">
        <f>'C'!AN99</f>
        <v>4</v>
      </c>
      <c r="H1410" s="133">
        <f>D!AL99</f>
        <v>11.97</v>
      </c>
      <c r="I1410" s="126">
        <f>D!AM99</f>
        <v>37566</v>
      </c>
      <c r="J1410" s="122">
        <f>D!AN99</f>
        <v>4</v>
      </c>
      <c r="K1410" s="133">
        <f>E!AL99</f>
        <v>13.925487967371801</v>
      </c>
      <c r="L1410" s="127" t="str">
        <f>E!AM99</f>
        <v>11/06</v>
      </c>
      <c r="M1410" s="122" t="str">
        <f>E!AN99</f>
        <v>06:00</v>
      </c>
      <c r="N1410" s="139">
        <f>F!AL99</f>
        <v>0</v>
      </c>
      <c r="O1410" s="128">
        <f>F!AM99</f>
        <v>0</v>
      </c>
      <c r="P1410" s="350">
        <f>F!AN99</f>
        <v>0</v>
      </c>
      <c r="Q1410" s="139">
        <f>G!AL99</f>
        <v>14.58</v>
      </c>
      <c r="R1410" s="128">
        <f>G!AM99</f>
        <v>37931</v>
      </c>
      <c r="S1410" s="350">
        <f>G!AN99</f>
        <v>5</v>
      </c>
      <c r="T1410">
        <f>YD!AL99</f>
        <v>0</v>
      </c>
      <c r="U1410">
        <f>YD!AM99</f>
        <v>0</v>
      </c>
      <c r="V1410">
        <f>YD!AN99</f>
        <v>0</v>
      </c>
      <c r="W1410" s="2">
        <f>I!AL99</f>
        <v>0</v>
      </c>
      <c r="X1410" s="2">
        <f>I!AM99</f>
        <v>0</v>
      </c>
      <c r="Y1410" s="2">
        <f>I!AN99</f>
        <v>0</v>
      </c>
      <c r="Z1410" s="2">
        <f>J!AL99</f>
        <v>0</v>
      </c>
      <c r="AA1410" s="2">
        <f>J!AM99</f>
        <v>0</v>
      </c>
      <c r="AB1410" s="2">
        <f>J!AN99</f>
        <v>0</v>
      </c>
    </row>
    <row r="1411" spans="1:28">
      <c r="A1411" s="69" t="s">
        <v>114</v>
      </c>
      <c r="B1411" s="127">
        <f>B!AL100</f>
        <v>13.206899999999999</v>
      </c>
      <c r="C1411" s="127" t="str">
        <f>B!AM100</f>
        <v>06-Nov</v>
      </c>
      <c r="D1411" s="122">
        <f>B!AN100</f>
        <v>5</v>
      </c>
      <c r="E1411" s="133">
        <f>'C'!AL100</f>
        <v>11.97</v>
      </c>
      <c r="F1411" s="126">
        <f>'C'!AM100</f>
        <v>37566</v>
      </c>
      <c r="G1411" s="122">
        <f>'C'!AN100</f>
        <v>4</v>
      </c>
      <c r="H1411" s="133">
        <f>D!AL100</f>
        <v>11.97</v>
      </c>
      <c r="I1411" s="126">
        <f>D!AM100</f>
        <v>37566</v>
      </c>
      <c r="J1411" s="122">
        <f>D!AN100</f>
        <v>4</v>
      </c>
      <c r="K1411" s="133">
        <f>E!AL100</f>
        <v>13.9254858350014</v>
      </c>
      <c r="L1411" s="127" t="str">
        <f>E!AM100</f>
        <v>11/06</v>
      </c>
      <c r="M1411" s="122" t="str">
        <f>E!AN100</f>
        <v>06:00</v>
      </c>
      <c r="N1411" s="139">
        <f>F!AL100</f>
        <v>0</v>
      </c>
      <c r="O1411" s="128">
        <f>F!AM100</f>
        <v>0</v>
      </c>
      <c r="P1411" s="350">
        <f>F!AN100</f>
        <v>0</v>
      </c>
      <c r="Q1411" s="139">
        <f>G!AL100</f>
        <v>14.54</v>
      </c>
      <c r="R1411" s="128">
        <f>G!AM100</f>
        <v>37931</v>
      </c>
      <c r="S1411" s="350">
        <f>G!AN100</f>
        <v>5</v>
      </c>
      <c r="T1411">
        <f>YD!AL100</f>
        <v>0</v>
      </c>
      <c r="U1411">
        <f>YD!AM100</f>
        <v>0</v>
      </c>
      <c r="V1411">
        <f>YD!AN100</f>
        <v>0</v>
      </c>
      <c r="W1411" s="2">
        <f>I!AL100</f>
        <v>0</v>
      </c>
      <c r="X1411" s="2">
        <f>I!AM100</f>
        <v>0</v>
      </c>
      <c r="Y1411" s="2">
        <f>I!AN100</f>
        <v>0</v>
      </c>
      <c r="Z1411" s="2">
        <f>J!AL100</f>
        <v>0</v>
      </c>
      <c r="AA1411" s="2">
        <f>J!AM100</f>
        <v>0</v>
      </c>
      <c r="AB1411" s="2">
        <f>J!AN100</f>
        <v>0</v>
      </c>
    </row>
    <row r="1412" spans="1:28">
      <c r="A1412" s="69" t="s">
        <v>115</v>
      </c>
      <c r="B1412" s="127">
        <f>B!AL101</f>
        <v>53.4054</v>
      </c>
      <c r="C1412" s="127" t="str">
        <f>B!AM101</f>
        <v>30-Apr</v>
      </c>
      <c r="D1412" s="122">
        <f>B!AN101</f>
        <v>15</v>
      </c>
      <c r="E1412" s="133" t="str">
        <f>'C'!AL101</f>
        <v>system off gives 0.000</v>
      </c>
      <c r="F1412" s="126">
        <f>'C'!AM101</f>
        <v>0</v>
      </c>
      <c r="G1412" s="122">
        <f>'C'!AN101</f>
        <v>0</v>
      </c>
      <c r="H1412" s="133" t="str">
        <f>D!AL101</f>
        <v>system off gives 0.000</v>
      </c>
      <c r="I1412" s="126">
        <f>D!AM101</f>
        <v>0</v>
      </c>
      <c r="J1412" s="122">
        <f>D!AN101</f>
        <v>0</v>
      </c>
      <c r="K1412" s="133">
        <f>E!AL101</f>
        <v>53.425645627470601</v>
      </c>
      <c r="L1412" s="127" t="str">
        <f>E!AM101</f>
        <v>04/30</v>
      </c>
      <c r="M1412" s="122" t="str">
        <f>E!AN101</f>
        <v>04:00</v>
      </c>
      <c r="N1412" s="139">
        <f>F!AL101</f>
        <v>54</v>
      </c>
      <c r="O1412" s="128">
        <f>F!AM101</f>
        <v>278</v>
      </c>
      <c r="P1412" s="350">
        <f>F!AN101</f>
        <v>24</v>
      </c>
      <c r="Q1412" s="139">
        <f>G!AL101</f>
        <v>52.83</v>
      </c>
      <c r="R1412" s="128">
        <f>G!AM101</f>
        <v>37899</v>
      </c>
      <c r="S1412" s="350">
        <f>G!AN101</f>
        <v>1</v>
      </c>
      <c r="T1412">
        <f>YD!AL101</f>
        <v>0</v>
      </c>
      <c r="U1412">
        <f>YD!AM101</f>
        <v>0</v>
      </c>
      <c r="V1412">
        <f>YD!AN101</f>
        <v>0</v>
      </c>
      <c r="W1412" s="2">
        <f>I!AL101</f>
        <v>0</v>
      </c>
      <c r="X1412" s="2">
        <f>I!AM101</f>
        <v>0</v>
      </c>
      <c r="Y1412" s="2">
        <f>I!AN101</f>
        <v>0</v>
      </c>
      <c r="Z1412" s="2">
        <f>J!AL101</f>
        <v>0</v>
      </c>
      <c r="AA1412" s="2">
        <f>J!AM101</f>
        <v>0</v>
      </c>
      <c r="AB1412" s="2">
        <f>J!AN101</f>
        <v>0</v>
      </c>
    </row>
    <row r="1413" spans="1:28">
      <c r="A1413" s="69" t="s">
        <v>121</v>
      </c>
      <c r="B1413" s="127">
        <f>B!AL102</f>
        <v>52.087899999999998</v>
      </c>
      <c r="C1413" s="127" t="str">
        <f>B!AM102</f>
        <v>04-Oct</v>
      </c>
      <c r="D1413" s="122">
        <f>B!AN102</f>
        <v>23</v>
      </c>
      <c r="E1413" s="133" t="str">
        <f>'C'!AL102</f>
        <v>system off gives 0.000</v>
      </c>
      <c r="F1413" s="126">
        <f>'C'!AM102</f>
        <v>0</v>
      </c>
      <c r="G1413" s="122">
        <f>'C'!AN102</f>
        <v>0</v>
      </c>
      <c r="H1413" s="133" t="str">
        <f>D!AL102</f>
        <v>system off gives 0.000</v>
      </c>
      <c r="I1413" s="126">
        <f>D!AM102</f>
        <v>0</v>
      </c>
      <c r="J1413" s="122">
        <f>D!AN102</f>
        <v>0</v>
      </c>
      <c r="K1413" s="133">
        <f>E!AL102</f>
        <v>53.532308617819197</v>
      </c>
      <c r="L1413" s="127" t="str">
        <f>E!AM102</f>
        <v>05/04</v>
      </c>
      <c r="M1413" s="122" t="str">
        <f>E!AN102</f>
        <v>04:00</v>
      </c>
      <c r="N1413" s="139">
        <f>F!AL102</f>
        <v>54</v>
      </c>
      <c r="O1413" s="128">
        <f>F!AM102</f>
        <v>278</v>
      </c>
      <c r="P1413" s="350">
        <f>F!AN102</f>
        <v>23</v>
      </c>
      <c r="Q1413" s="139">
        <f>G!AL102</f>
        <v>53.15</v>
      </c>
      <c r="R1413" s="128">
        <f>G!AM102</f>
        <v>37745</v>
      </c>
      <c r="S1413" s="350">
        <f>G!AN102</f>
        <v>4</v>
      </c>
      <c r="T1413">
        <f>YD!AL102</f>
        <v>0</v>
      </c>
      <c r="U1413">
        <f>YD!AM102</f>
        <v>0</v>
      </c>
      <c r="V1413">
        <f>YD!AN102</f>
        <v>0</v>
      </c>
      <c r="W1413" s="2">
        <f>I!AL102</f>
        <v>0</v>
      </c>
      <c r="X1413" s="2">
        <f>I!AM102</f>
        <v>0</v>
      </c>
      <c r="Y1413" s="2">
        <f>I!AN102</f>
        <v>0</v>
      </c>
      <c r="Z1413" s="2">
        <f>J!AL102</f>
        <v>0</v>
      </c>
      <c r="AA1413" s="2">
        <f>J!AM102</f>
        <v>0</v>
      </c>
      <c r="AB1413" s="2">
        <f>J!AN102</f>
        <v>0</v>
      </c>
    </row>
    <row r="1414" spans="1:28">
      <c r="A1414" s="69" t="s">
        <v>125</v>
      </c>
      <c r="B1414" s="127">
        <f>B!AL103</f>
        <v>61.267899999999997</v>
      </c>
      <c r="C1414" s="127" t="str">
        <f>B!AM103</f>
        <v>25-Nov</v>
      </c>
      <c r="D1414" s="122">
        <f>B!AN103</f>
        <v>24</v>
      </c>
      <c r="E1414" s="133" t="str">
        <f>'C'!AL103</f>
        <v>system off gives 0.000</v>
      </c>
      <c r="F1414" s="126">
        <f>'C'!AM103</f>
        <v>0</v>
      </c>
      <c r="G1414" s="122">
        <f>'C'!AN103</f>
        <v>0</v>
      </c>
      <c r="H1414" s="133" t="str">
        <f>D!AL103</f>
        <v>system off gives 0.000</v>
      </c>
      <c r="I1414" s="126">
        <f>D!AM103</f>
        <v>0</v>
      </c>
      <c r="J1414" s="122">
        <f>D!AN103</f>
        <v>0</v>
      </c>
      <c r="K1414" s="133">
        <f>E!AL103</f>
        <v>61.193828890151202</v>
      </c>
      <c r="L1414" s="127" t="str">
        <f>E!AM103</f>
        <v>11/10</v>
      </c>
      <c r="M1414" s="122" t="str">
        <f>E!AN103</f>
        <v>04:00</v>
      </c>
      <c r="N1414" s="139">
        <f>F!AL103</f>
        <v>61</v>
      </c>
      <c r="O1414" s="128">
        <f>F!AM103</f>
        <v>332</v>
      </c>
      <c r="P1414" s="350">
        <f>F!AN103</f>
        <v>22</v>
      </c>
      <c r="Q1414" s="139">
        <f>G!AL103</f>
        <v>61.9</v>
      </c>
      <c r="R1414" s="128">
        <f>G!AM103</f>
        <v>37822</v>
      </c>
      <c r="S1414" s="350">
        <f>G!AN103</f>
        <v>15</v>
      </c>
      <c r="T1414">
        <f>YD!AL103</f>
        <v>0</v>
      </c>
      <c r="U1414">
        <f>YD!AM103</f>
        <v>0</v>
      </c>
      <c r="V1414">
        <f>YD!AN103</f>
        <v>0</v>
      </c>
      <c r="W1414" s="2">
        <f>I!AL103</f>
        <v>0</v>
      </c>
      <c r="X1414" s="2">
        <f>I!AM103</f>
        <v>0</v>
      </c>
      <c r="Y1414" s="2">
        <f>I!AN103</f>
        <v>0</v>
      </c>
      <c r="Z1414" s="2">
        <f>J!AL103</f>
        <v>0</v>
      </c>
      <c r="AA1414" s="2">
        <f>J!AM103</f>
        <v>0</v>
      </c>
      <c r="AB1414" s="2">
        <f>J!AN103</f>
        <v>0</v>
      </c>
    </row>
    <row r="1415" spans="1:28">
      <c r="A1415" s="69" t="s">
        <v>127</v>
      </c>
      <c r="B1415" s="127">
        <f>B!AL104</f>
        <v>58.505400000000002</v>
      </c>
      <c r="C1415" s="127" t="str">
        <f>B!AM104</f>
        <v>30-Apr</v>
      </c>
      <c r="D1415" s="122">
        <f>B!AN104</f>
        <v>15</v>
      </c>
      <c r="E1415" s="133" t="str">
        <f>'C'!AL104</f>
        <v>system off gives 0.000</v>
      </c>
      <c r="F1415" s="126">
        <f>'C'!AM104</f>
        <v>0</v>
      </c>
      <c r="G1415" s="122">
        <f>'C'!AN104</f>
        <v>0</v>
      </c>
      <c r="H1415" s="133" t="str">
        <f>D!AL104</f>
        <v>system off gives 0.000</v>
      </c>
      <c r="I1415" s="126">
        <f>D!AM104</f>
        <v>0</v>
      </c>
      <c r="J1415" s="122">
        <f>D!AN104</f>
        <v>0</v>
      </c>
      <c r="K1415" s="133">
        <f>E!AL104</f>
        <v>57.830846720422201</v>
      </c>
      <c r="L1415" s="127" t="str">
        <f>E!AM104</f>
        <v>04/30</v>
      </c>
      <c r="M1415" s="122" t="str">
        <f>E!AN104</f>
        <v>04:00</v>
      </c>
      <c r="N1415" s="139">
        <f>F!AL104</f>
        <v>60</v>
      </c>
      <c r="O1415" s="128">
        <f>F!AM104</f>
        <v>278</v>
      </c>
      <c r="P1415" s="350">
        <f>F!AN104</f>
        <v>23</v>
      </c>
      <c r="Q1415" s="139">
        <f>G!AL104</f>
        <v>57.97</v>
      </c>
      <c r="R1415" s="128">
        <f>G!AM104</f>
        <v>37899</v>
      </c>
      <c r="S1415" s="350">
        <f>G!AN104</f>
        <v>1</v>
      </c>
      <c r="T1415">
        <f>YD!AL104</f>
        <v>0</v>
      </c>
      <c r="U1415">
        <f>YD!AM104</f>
        <v>0</v>
      </c>
      <c r="V1415">
        <f>YD!AN104</f>
        <v>0</v>
      </c>
      <c r="W1415" s="2">
        <f>I!AL104</f>
        <v>0</v>
      </c>
      <c r="X1415" s="2">
        <f>I!AM104</f>
        <v>0</v>
      </c>
      <c r="Y1415" s="2">
        <f>I!AN104</f>
        <v>0</v>
      </c>
      <c r="Z1415" s="2">
        <f>J!AL104</f>
        <v>0</v>
      </c>
      <c r="AA1415" s="2">
        <f>J!AM104</f>
        <v>0</v>
      </c>
      <c r="AB1415" s="2">
        <f>J!AN104</f>
        <v>0</v>
      </c>
    </row>
    <row r="1416" spans="1:28">
      <c r="A1416" s="69" t="s">
        <v>130</v>
      </c>
      <c r="B1416" s="127">
        <f>B!AL105</f>
        <v>45.528399999999998</v>
      </c>
      <c r="C1416" s="127" t="str">
        <f>B!AM105</f>
        <v>30-Apr</v>
      </c>
      <c r="D1416" s="122">
        <f>B!AN105</f>
        <v>15</v>
      </c>
      <c r="E1416" s="133" t="str">
        <f>'C'!AL105</f>
        <v>system off gives 0.000</v>
      </c>
      <c r="F1416" s="126">
        <f>'C'!AM105</f>
        <v>0</v>
      </c>
      <c r="G1416" s="122">
        <f>'C'!AN105</f>
        <v>0</v>
      </c>
      <c r="H1416" s="133" t="str">
        <f>D!AL105</f>
        <v>system off gives 0.000</v>
      </c>
      <c r="I1416" s="126">
        <f>D!AM105</f>
        <v>0</v>
      </c>
      <c r="J1416" s="122">
        <f>D!AN105</f>
        <v>0</v>
      </c>
      <c r="K1416" s="133">
        <f>E!AL105</f>
        <v>46.106284792351403</v>
      </c>
      <c r="L1416" s="127" t="str">
        <f>E!AM105</f>
        <v>10/05</v>
      </c>
      <c r="M1416" s="122" t="str">
        <f>E!AN105</f>
        <v>02:00</v>
      </c>
      <c r="N1416" s="139">
        <f>F!AL105</f>
        <v>44</v>
      </c>
      <c r="O1416" s="128">
        <f>F!AM105</f>
        <v>125</v>
      </c>
      <c r="P1416" s="350">
        <f>F!AN105</f>
        <v>4</v>
      </c>
      <c r="Q1416" s="139">
        <f>G!AL105</f>
        <v>44.4</v>
      </c>
      <c r="R1416" s="128">
        <f>G!AM105</f>
        <v>37899</v>
      </c>
      <c r="S1416" s="350">
        <f>G!AN105</f>
        <v>1</v>
      </c>
      <c r="T1416">
        <f>YD!AL105</f>
        <v>0</v>
      </c>
      <c r="U1416">
        <f>YD!AM105</f>
        <v>0</v>
      </c>
      <c r="V1416">
        <f>YD!AN105</f>
        <v>0</v>
      </c>
      <c r="W1416" s="2">
        <f>I!AL105</f>
        <v>0</v>
      </c>
      <c r="X1416" s="2">
        <f>I!AM105</f>
        <v>0</v>
      </c>
      <c r="Y1416" s="2">
        <f>I!AN105</f>
        <v>0</v>
      </c>
      <c r="Z1416" s="2">
        <f>J!AL105</f>
        <v>0</v>
      </c>
      <c r="AA1416" s="2">
        <f>J!AM105</f>
        <v>0</v>
      </c>
      <c r="AB1416" s="2">
        <f>J!AN105</f>
        <v>0</v>
      </c>
    </row>
    <row r="1417" spans="1:28">
      <c r="A1417" s="69" t="s">
        <v>132</v>
      </c>
      <c r="B1417" s="127">
        <f>B!AL106</f>
        <v>29.593399999999999</v>
      </c>
      <c r="C1417" s="127" t="str">
        <f>B!AM106</f>
        <v>04-Jun</v>
      </c>
      <c r="D1417" s="122">
        <f>B!AN106</f>
        <v>15</v>
      </c>
      <c r="E1417" s="133" t="str">
        <f>'C'!AL106</f>
        <v>system off gives 0.000</v>
      </c>
      <c r="F1417" s="126">
        <f>'C'!AM106</f>
        <v>0</v>
      </c>
      <c r="G1417" s="122">
        <f>'C'!AN106</f>
        <v>0</v>
      </c>
      <c r="H1417" s="133" t="str">
        <f>D!AL106</f>
        <v>system off gives 0.000</v>
      </c>
      <c r="I1417" s="126">
        <f>D!AM106</f>
        <v>0</v>
      </c>
      <c r="J1417" s="122">
        <f>D!AN106</f>
        <v>0</v>
      </c>
      <c r="K1417" s="133">
        <f>E!AL106</f>
        <v>32.561286935521203</v>
      </c>
      <c r="L1417" s="127" t="str">
        <f>E!AM106</f>
        <v>04/18</v>
      </c>
      <c r="M1417" s="122" t="str">
        <f>E!AN106</f>
        <v>18:00</v>
      </c>
      <c r="N1417" s="139">
        <f>F!AL106</f>
        <v>28</v>
      </c>
      <c r="O1417" s="128">
        <f>F!AM106</f>
        <v>92</v>
      </c>
      <c r="P1417" s="350">
        <f>F!AN106</f>
        <v>10</v>
      </c>
      <c r="Q1417" s="139">
        <f>G!AL106</f>
        <v>33.68</v>
      </c>
      <c r="R1417" s="128">
        <f>G!AM106</f>
        <v>37712</v>
      </c>
      <c r="S1417" s="350">
        <f>G!AN106</f>
        <v>13</v>
      </c>
      <c r="T1417">
        <f>YD!AL106</f>
        <v>0</v>
      </c>
      <c r="U1417">
        <f>YD!AM106</f>
        <v>0</v>
      </c>
      <c r="V1417">
        <f>YD!AN106</f>
        <v>0</v>
      </c>
      <c r="W1417" s="2">
        <f>I!AL106</f>
        <v>0</v>
      </c>
      <c r="X1417" s="2">
        <f>I!AM106</f>
        <v>0</v>
      </c>
      <c r="Y1417" s="2">
        <f>I!AN106</f>
        <v>0</v>
      </c>
      <c r="Z1417" s="2">
        <f>J!AL106</f>
        <v>0</v>
      </c>
      <c r="AA1417" s="2">
        <f>J!AM106</f>
        <v>0</v>
      </c>
      <c r="AB1417" s="2">
        <f>J!AN106</f>
        <v>0</v>
      </c>
    </row>
    <row r="1418" spans="1:28">
      <c r="A1418" s="69" t="s">
        <v>135</v>
      </c>
      <c r="B1418" s="127">
        <f>B!AL107</f>
        <v>36.474899999999998</v>
      </c>
      <c r="C1418" s="127" t="str">
        <f>B!AM107</f>
        <v>21-Sep</v>
      </c>
      <c r="D1418" s="122">
        <f>B!AN107</f>
        <v>16</v>
      </c>
      <c r="E1418" s="133" t="str">
        <f>'C'!AL107</f>
        <v>system off gives 0.000</v>
      </c>
      <c r="F1418" s="126">
        <f>'C'!AM107</f>
        <v>0</v>
      </c>
      <c r="G1418" s="122">
        <f>'C'!AN107</f>
        <v>0</v>
      </c>
      <c r="H1418" s="133" t="str">
        <f>D!AL107</f>
        <v>system off gives 0.000</v>
      </c>
      <c r="I1418" s="126">
        <f>D!AM107</f>
        <v>0</v>
      </c>
      <c r="J1418" s="122">
        <f>D!AN107</f>
        <v>0</v>
      </c>
      <c r="K1418" s="133">
        <f>E!AL107</f>
        <v>35.847455780388898</v>
      </c>
      <c r="L1418" s="127" t="str">
        <f>E!AM107</f>
        <v>09/28</v>
      </c>
      <c r="M1418" s="122" t="str">
        <f>E!AN107</f>
        <v>18:00</v>
      </c>
      <c r="N1418" s="139">
        <f>F!AL107</f>
        <v>31</v>
      </c>
      <c r="O1418" s="128">
        <f>F!AM107</f>
        <v>92</v>
      </c>
      <c r="P1418" s="350">
        <f>F!AN107</f>
        <v>1</v>
      </c>
      <c r="Q1418" s="139">
        <f>G!AL107</f>
        <v>39.74</v>
      </c>
      <c r="R1418" s="128">
        <f>G!AM107</f>
        <v>37899</v>
      </c>
      <c r="S1418" s="350">
        <f>G!AN107</f>
        <v>1</v>
      </c>
      <c r="T1418">
        <f>YD!AL107</f>
        <v>0</v>
      </c>
      <c r="U1418">
        <f>YD!AM107</f>
        <v>0</v>
      </c>
      <c r="V1418">
        <f>YD!AN107</f>
        <v>0</v>
      </c>
      <c r="W1418" s="2">
        <f>I!AL107</f>
        <v>0</v>
      </c>
      <c r="X1418" s="2">
        <f>I!AM107</f>
        <v>0</v>
      </c>
      <c r="Y1418" s="2">
        <f>I!AN107</f>
        <v>0</v>
      </c>
      <c r="Z1418" s="2">
        <f>J!AL107</f>
        <v>0</v>
      </c>
      <c r="AA1418" s="2">
        <f>J!AM107</f>
        <v>0</v>
      </c>
      <c r="AB1418" s="2">
        <f>J!AN107</f>
        <v>0</v>
      </c>
    </row>
    <row r="1419" spans="1:28">
      <c r="A1419" s="70" t="s">
        <v>138</v>
      </c>
      <c r="B1419" s="127">
        <f>B!AL108</f>
        <v>17.124400000000001</v>
      </c>
      <c r="C1419" s="127" t="str">
        <f>B!AM108</f>
        <v>20-Jul</v>
      </c>
      <c r="D1419" s="122">
        <f>B!AN108</f>
        <v>15</v>
      </c>
      <c r="E1419" s="133" t="str">
        <f>'C'!AL108</f>
        <v>system off gives 0.000</v>
      </c>
      <c r="F1419" s="126">
        <f>'C'!AM108</f>
        <v>0</v>
      </c>
      <c r="G1419" s="122">
        <f>'C'!AN108</f>
        <v>0</v>
      </c>
      <c r="H1419" s="133" t="str">
        <f>D!AL108</f>
        <v>system off gives 0.000</v>
      </c>
      <c r="I1419" s="126">
        <f>D!AM108</f>
        <v>0</v>
      </c>
      <c r="J1419" s="122">
        <f>D!AN108</f>
        <v>0</v>
      </c>
      <c r="K1419" s="133">
        <f>E!AL108</f>
        <v>19.246742663165101</v>
      </c>
      <c r="L1419" s="127" t="str">
        <f>E!AM108</f>
        <v>04/18</v>
      </c>
      <c r="M1419" s="122" t="str">
        <f>E!AN108</f>
        <v>17:00</v>
      </c>
      <c r="N1419" s="139">
        <f>F!AL108</f>
        <v>19</v>
      </c>
      <c r="O1419" s="128">
        <f>F!AM108</f>
        <v>92</v>
      </c>
      <c r="P1419" s="350">
        <f>F!AN108</f>
        <v>10</v>
      </c>
      <c r="Q1419" s="139">
        <f>G!AL108</f>
        <v>20.14</v>
      </c>
      <c r="R1419" s="128">
        <f>G!AM108</f>
        <v>37712</v>
      </c>
      <c r="S1419" s="350">
        <f>G!AN108</f>
        <v>12</v>
      </c>
      <c r="T1419">
        <f>YD!AL108</f>
        <v>0</v>
      </c>
      <c r="U1419">
        <f>YD!AM108</f>
        <v>0</v>
      </c>
      <c r="V1419">
        <f>YD!AN108</f>
        <v>0</v>
      </c>
      <c r="W1419" s="2">
        <f>I!AL108</f>
        <v>0</v>
      </c>
      <c r="X1419" s="2">
        <f>I!AM108</f>
        <v>0</v>
      </c>
      <c r="Y1419" s="2">
        <f>I!AN108</f>
        <v>0</v>
      </c>
      <c r="Z1419" s="2">
        <f>J!AL108</f>
        <v>0</v>
      </c>
      <c r="AA1419" s="2">
        <f>J!AM108</f>
        <v>0</v>
      </c>
      <c r="AB1419" s="2">
        <f>J!AN108</f>
        <v>0</v>
      </c>
    </row>
    <row r="1420" spans="1:28">
      <c r="A1420" s="15"/>
      <c r="B1420" s="16"/>
      <c r="C1420" s="16"/>
      <c r="D1420" s="16"/>
      <c r="E1420" s="134"/>
      <c r="F1420" s="129"/>
      <c r="G1420" s="115"/>
      <c r="H1420" s="134"/>
      <c r="I1420" s="129"/>
      <c r="J1420" s="115"/>
      <c r="K1420" s="134"/>
      <c r="L1420" s="16"/>
      <c r="M1420" s="115"/>
      <c r="N1420" s="132"/>
      <c r="P1420" s="116"/>
      <c r="Q1420" s="132"/>
      <c r="R1420" s="2"/>
      <c r="S1420" s="115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9"/>
      <c r="G1421" s="115"/>
      <c r="H1421" s="125"/>
      <c r="I1421" s="129"/>
      <c r="J1421" s="115"/>
      <c r="K1421" s="16"/>
      <c r="L1421" s="16"/>
      <c r="M1421" s="115"/>
      <c r="P1421" s="116"/>
      <c r="R1421" s="2"/>
      <c r="S1421" s="115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9"/>
      <c r="G1422" s="115"/>
      <c r="H1422" s="125"/>
      <c r="I1422" s="129"/>
      <c r="J1422" s="115"/>
      <c r="K1422" s="16"/>
      <c r="L1422" s="16"/>
      <c r="M1422" s="115"/>
      <c r="P1422" s="116"/>
      <c r="R1422" s="2"/>
      <c r="S1422" s="115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9"/>
      <c r="G1423" s="115"/>
      <c r="H1423" s="125"/>
      <c r="I1423" s="129"/>
      <c r="J1423" s="115"/>
      <c r="K1423" s="16"/>
      <c r="L1423" s="16"/>
      <c r="M1423" s="115"/>
      <c r="P1423" s="116"/>
      <c r="R1423" s="2"/>
      <c r="S1423" s="115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9"/>
      <c r="G1424" s="16"/>
      <c r="H1424" s="125"/>
      <c r="I1424" s="129"/>
      <c r="J1424" s="115"/>
      <c r="K1424" s="16"/>
      <c r="L1424" s="16"/>
      <c r="M1424" s="115"/>
      <c r="P1424" s="116"/>
      <c r="R1424" s="2"/>
      <c r="S1424" s="115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9"/>
      <c r="G1425" s="16"/>
      <c r="H1425" s="125"/>
      <c r="I1425" s="129"/>
      <c r="J1425" s="115"/>
      <c r="K1425" s="16"/>
      <c r="L1425" s="16"/>
      <c r="M1425" s="115"/>
      <c r="P1425" s="116"/>
      <c r="R1425" s="2"/>
      <c r="S1425" s="115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ht="15.75">
      <c r="A1426" s="212" t="s">
        <v>518</v>
      </c>
      <c r="B1426" s="16"/>
      <c r="C1426" s="16"/>
      <c r="D1426" s="16"/>
      <c r="E1426" s="16"/>
      <c r="F1426" s="129"/>
      <c r="G1426" s="16"/>
      <c r="H1426" s="125"/>
      <c r="I1426" s="129"/>
      <c r="J1426" s="115"/>
      <c r="K1426" s="16"/>
      <c r="L1426" s="16"/>
      <c r="M1426" s="115"/>
      <c r="P1426" s="116"/>
      <c r="R1426" s="2"/>
      <c r="S1426" s="115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9"/>
      <c r="G1427" s="16"/>
      <c r="H1427" s="125"/>
      <c r="I1427" s="129"/>
      <c r="J1427" s="115"/>
      <c r="K1427" s="16"/>
      <c r="L1427" s="16"/>
      <c r="M1427" s="115"/>
      <c r="P1427" s="116"/>
      <c r="R1427" s="2"/>
      <c r="S1427" s="115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ht="15.75">
      <c r="A1428" s="212"/>
      <c r="B1428" s="16"/>
      <c r="C1428" s="16"/>
      <c r="D1428" s="16"/>
      <c r="E1428" s="16"/>
      <c r="F1428" s="129"/>
      <c r="G1428" s="16"/>
      <c r="H1428" s="125"/>
      <c r="I1428" s="129"/>
      <c r="J1428" s="115"/>
      <c r="K1428" s="16"/>
      <c r="L1428" s="16"/>
      <c r="M1428" s="115"/>
      <c r="P1428" s="116"/>
      <c r="R1428" s="2"/>
      <c r="S1428" s="115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6"/>
      <c r="H1429" s="120"/>
      <c r="I1429" s="106"/>
      <c r="J1429" s="116"/>
      <c r="M1429" s="116"/>
      <c r="P1429" s="116"/>
      <c r="S1429" s="116"/>
    </row>
    <row r="1430" spans="1:28">
      <c r="F1430" s="106"/>
      <c r="H1430" s="120"/>
      <c r="J1430" s="116"/>
      <c r="M1430" s="116"/>
      <c r="P1430" s="116"/>
      <c r="S1430" s="116"/>
    </row>
    <row r="1431" spans="1:28">
      <c r="A1431" s="2"/>
      <c r="B1431" s="13"/>
      <c r="C1431" s="13"/>
      <c r="D1431" s="13"/>
      <c r="E1431" s="13"/>
      <c r="F1431" s="13"/>
      <c r="G1431" s="13"/>
      <c r="H1431" s="40"/>
      <c r="I1431" s="13"/>
      <c r="J1431" s="115"/>
      <c r="K1431" s="13"/>
      <c r="L1431" s="13"/>
      <c r="M1431" s="115"/>
      <c r="P1431" s="116"/>
      <c r="R1431" s="2"/>
      <c r="S1431" s="115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40"/>
      <c r="I1432" s="13"/>
      <c r="J1432" s="115"/>
      <c r="K1432" s="13"/>
      <c r="L1432" s="13"/>
      <c r="M1432" s="115"/>
      <c r="P1432" s="116"/>
      <c r="R1432" s="2"/>
      <c r="S1432" s="115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20"/>
      <c r="M1433" s="116"/>
      <c r="P1433" s="116"/>
      <c r="S1433" s="116"/>
    </row>
    <row r="1434" spans="1:28">
      <c r="H1434" s="120"/>
      <c r="M1434" s="116"/>
      <c r="P1434" s="116"/>
      <c r="S1434" s="116"/>
    </row>
    <row r="1435" spans="1:28">
      <c r="H1435" s="120"/>
      <c r="M1435" s="116"/>
      <c r="P1435" s="116"/>
      <c r="S1435" s="116"/>
    </row>
    <row r="1436" spans="1:28">
      <c r="H1436" s="120"/>
      <c r="M1436" s="116"/>
      <c r="P1436" s="116"/>
      <c r="S1436" s="116"/>
    </row>
    <row r="1437" spans="1:28">
      <c r="H1437" s="120"/>
      <c r="M1437" s="116"/>
      <c r="P1437" s="116"/>
      <c r="S1437" s="116"/>
    </row>
    <row r="1438" spans="1:28">
      <c r="H1438" s="120"/>
      <c r="M1438" s="116"/>
      <c r="P1438" s="116"/>
      <c r="S1438" s="116"/>
    </row>
    <row r="1439" spans="1:28">
      <c r="H1439" s="120"/>
      <c r="M1439" s="116"/>
      <c r="P1439" s="116"/>
      <c r="S1439" s="116"/>
    </row>
    <row r="1440" spans="1:28">
      <c r="H1440" s="120"/>
      <c r="M1440" s="116"/>
      <c r="P1440" s="116"/>
      <c r="S1440" s="116"/>
    </row>
    <row r="1441" spans="1:28">
      <c r="H1441" s="120"/>
      <c r="M1441" s="116"/>
      <c r="P1441" s="116"/>
      <c r="S1441" s="116"/>
    </row>
    <row r="1442" spans="1:28">
      <c r="A1442" s="2"/>
      <c r="B1442" s="10"/>
      <c r="C1442" s="10"/>
      <c r="D1442" s="10"/>
      <c r="E1442" s="10"/>
      <c r="F1442" s="10"/>
      <c r="G1442" s="10"/>
      <c r="H1442" s="37"/>
      <c r="I1442" s="10"/>
      <c r="J1442" s="10"/>
      <c r="K1442" s="11"/>
      <c r="L1442" s="11"/>
      <c r="M1442" s="351"/>
      <c r="P1442" s="116"/>
      <c r="R1442" s="2"/>
      <c r="S1442" s="115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7"/>
      <c r="I1443" s="10"/>
      <c r="J1443" s="10"/>
      <c r="K1443" s="11"/>
      <c r="L1443" s="11"/>
      <c r="M1443" s="351"/>
      <c r="P1443" s="116"/>
      <c r="R1443" s="2"/>
      <c r="S1443" s="115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9"/>
      <c r="I1444" s="12"/>
      <c r="J1444" s="12"/>
      <c r="K1444" s="12"/>
      <c r="L1444" s="12"/>
      <c r="M1444" s="115"/>
      <c r="P1444" s="116"/>
      <c r="R1444" s="2"/>
      <c r="S1444" s="115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9"/>
      <c r="I1445" s="12"/>
      <c r="J1445" s="12"/>
      <c r="K1445" s="12"/>
      <c r="L1445" s="12"/>
      <c r="M1445" s="115"/>
      <c r="P1445" s="116"/>
      <c r="R1445" s="2"/>
      <c r="S1445" s="115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9"/>
      <c r="I1446" s="12"/>
      <c r="J1446" s="12"/>
      <c r="K1446" s="12"/>
      <c r="L1446" s="12"/>
      <c r="M1446" s="115"/>
      <c r="P1446" s="116"/>
      <c r="R1446" s="2"/>
      <c r="S1446" s="115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9"/>
      <c r="I1447" s="12"/>
      <c r="J1447" s="12"/>
      <c r="K1447" s="12"/>
      <c r="L1447" s="12"/>
      <c r="M1447" s="115"/>
      <c r="P1447" s="116"/>
      <c r="R1447" s="2"/>
      <c r="S1447" s="115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9"/>
      <c r="I1448" s="12"/>
      <c r="J1448" s="12"/>
      <c r="K1448" s="12"/>
      <c r="L1448" s="12"/>
      <c r="M1448" s="115"/>
      <c r="P1448" s="116"/>
      <c r="R1448" s="2"/>
      <c r="S1448" s="115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9"/>
      <c r="I1449" s="12"/>
      <c r="J1449" s="12"/>
      <c r="K1449" s="12"/>
      <c r="L1449" s="12"/>
      <c r="M1449" s="115"/>
      <c r="P1449" s="116"/>
      <c r="R1449" s="2"/>
      <c r="S1449" s="115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ht="15.75">
      <c r="A1450" s="212" t="s">
        <v>487</v>
      </c>
      <c r="B1450" s="12"/>
      <c r="C1450" s="12"/>
      <c r="D1450" s="12"/>
      <c r="E1450" s="12"/>
      <c r="F1450" s="12"/>
      <c r="G1450" s="12"/>
      <c r="H1450" s="39"/>
      <c r="I1450" s="12"/>
      <c r="J1450" s="12"/>
      <c r="K1450" s="12"/>
      <c r="L1450" s="12"/>
      <c r="M1450" s="115"/>
      <c r="R1450" s="2"/>
      <c r="S1450" s="115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9"/>
      <c r="I1451" s="12"/>
      <c r="J1451" s="12"/>
      <c r="K1451" s="12"/>
      <c r="L1451" s="12"/>
      <c r="M1451" s="12"/>
      <c r="R1451" s="2"/>
      <c r="S1451" s="115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9"/>
      <c r="I1452" s="12"/>
      <c r="J1452" s="12"/>
      <c r="K1452" s="12"/>
      <c r="L1452" s="12"/>
      <c r="M1452" s="12"/>
      <c r="R1452" s="2"/>
      <c r="S1452" s="115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9"/>
      <c r="I1453" s="12"/>
      <c r="J1453" s="12"/>
      <c r="K1453" s="12"/>
      <c r="L1453" s="12"/>
      <c r="M1453" s="12"/>
      <c r="R1453" s="2"/>
      <c r="S1453" s="115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9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ht="15.75">
      <c r="A1455" s="111"/>
      <c r="B1455" s="12"/>
      <c r="C1455" s="12"/>
      <c r="D1455" s="12"/>
      <c r="E1455" s="12"/>
      <c r="F1455" s="12"/>
      <c r="G1455" s="12"/>
      <c r="H1455" s="39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9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421</v>
      </c>
      <c r="D1457" t="s">
        <v>10</v>
      </c>
      <c r="H1457" s="39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245</v>
      </c>
      <c r="C1459" s="10" t="s">
        <v>257</v>
      </c>
      <c r="D1459" s="10" t="s">
        <v>258</v>
      </c>
      <c r="E1459" s="10" t="s">
        <v>515</v>
      </c>
      <c r="F1459" s="10" t="s">
        <v>373</v>
      </c>
      <c r="G1459" s="10" t="s">
        <v>482</v>
      </c>
      <c r="H1459" s="10" t="s">
        <v>516</v>
      </c>
      <c r="I1459" s="10" t="s">
        <v>517</v>
      </c>
      <c r="J1459" s="10" t="s">
        <v>517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295</v>
      </c>
      <c r="B1460" s="115">
        <f>B141-B140</f>
        <v>4339.6025933843266</v>
      </c>
      <c r="C1460" s="115">
        <f>C141-C140</f>
        <v>4629</v>
      </c>
      <c r="D1460" s="115">
        <f>D141-D140</f>
        <v>4629</v>
      </c>
      <c r="E1460" s="115">
        <f t="shared" ref="E1460:J1460" si="12">E141-E140</f>
        <v>4410.4347892507867</v>
      </c>
      <c r="F1460" s="115">
        <f t="shared" si="12"/>
        <v>4543.1580000000176</v>
      </c>
      <c r="G1460" s="115">
        <f t="shared" si="12"/>
        <v>4538</v>
      </c>
      <c r="H1460" s="115">
        <f t="shared" si="12"/>
        <v>0</v>
      </c>
      <c r="I1460" s="115">
        <f t="shared" si="12"/>
        <v>0</v>
      </c>
      <c r="J1460" s="115">
        <f t="shared" si="12"/>
        <v>0</v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296</v>
      </c>
      <c r="B1461" s="115">
        <f>B142-B140</f>
        <v>4425.8797798225787</v>
      </c>
      <c r="C1461" s="115">
        <f>C142-C140</f>
        <v>3995</v>
      </c>
      <c r="D1461" s="115">
        <f>D142-D140</f>
        <v>4037</v>
      </c>
      <c r="E1461" s="115">
        <f t="shared" ref="E1461:J1461" si="13">E142-E140</f>
        <v>4351.3049939570119</v>
      </c>
      <c r="F1461" s="115">
        <f t="shared" si="13"/>
        <v>4424.4040000001332</v>
      </c>
      <c r="G1461" s="115">
        <f t="shared" si="13"/>
        <v>4387</v>
      </c>
      <c r="H1461" s="115">
        <f t="shared" si="13"/>
        <v>0</v>
      </c>
      <c r="I1461" s="115">
        <f t="shared" si="13"/>
        <v>0</v>
      </c>
      <c r="J1461" s="115">
        <f t="shared" si="13"/>
        <v>0</v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297</v>
      </c>
      <c r="B1462" s="115">
        <f>B143-B140</f>
        <v>5329.523125239517</v>
      </c>
      <c r="C1462" s="115">
        <f>C143-C140</f>
        <v>4958</v>
      </c>
      <c r="D1462" s="115">
        <f>D143-D140</f>
        <v>4683</v>
      </c>
      <c r="E1462" s="115">
        <f t="shared" ref="E1462:J1462" si="14">E143-E140</f>
        <v>5445.0650036706138</v>
      </c>
      <c r="F1462" s="115">
        <f t="shared" si="14"/>
        <v>5558.7259999999733</v>
      </c>
      <c r="G1462" s="115">
        <f t="shared" si="14"/>
        <v>5260</v>
      </c>
      <c r="H1462" s="115">
        <f t="shared" si="14"/>
        <v>0</v>
      </c>
      <c r="I1462" s="115">
        <f t="shared" si="14"/>
        <v>0</v>
      </c>
      <c r="J1462" s="115">
        <f t="shared" si="14"/>
        <v>0</v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422</v>
      </c>
      <c r="B1463" s="115">
        <f>B143-B142</f>
        <v>903.64334541693825</v>
      </c>
      <c r="C1463" s="115">
        <f>C143-C142</f>
        <v>963</v>
      </c>
      <c r="D1463" s="115">
        <f>D143-D142</f>
        <v>646</v>
      </c>
      <c r="E1463" s="115">
        <f t="shared" ref="E1463:J1463" si="15">E143-E142</f>
        <v>1093.7600097136019</v>
      </c>
      <c r="F1463" s="115">
        <f t="shared" si="15"/>
        <v>1134.32199999984</v>
      </c>
      <c r="G1463" s="115">
        <f t="shared" si="15"/>
        <v>873</v>
      </c>
      <c r="H1463" s="115">
        <f t="shared" si="15"/>
        <v>0</v>
      </c>
      <c r="I1463" s="115">
        <f t="shared" si="15"/>
        <v>0</v>
      </c>
      <c r="J1463" s="115">
        <f t="shared" si="15"/>
        <v>0</v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423</v>
      </c>
      <c r="B1464" s="115">
        <f>B144-B140</f>
        <v>4985.5178694042697</v>
      </c>
      <c r="C1464" s="115">
        <f>C144-C140</f>
        <v>4608</v>
      </c>
      <c r="D1464" s="115">
        <f>D144-D140</f>
        <v>4510</v>
      </c>
      <c r="E1464" s="115">
        <f t="shared" ref="E1464:J1464" si="16">E144-E140</f>
        <v>5047.6907739287199</v>
      </c>
      <c r="F1464" s="115">
        <f t="shared" si="16"/>
        <v>5088.849999999984</v>
      </c>
      <c r="G1464" s="115">
        <f t="shared" si="16"/>
        <v>4877</v>
      </c>
      <c r="H1464" s="115">
        <f t="shared" si="16"/>
        <v>0</v>
      </c>
      <c r="I1464" s="115">
        <f t="shared" si="16"/>
        <v>0</v>
      </c>
      <c r="J1464" s="115">
        <f t="shared" si="16"/>
        <v>0</v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424</v>
      </c>
      <c r="B1465" s="115">
        <f>B143-B144</f>
        <v>344.00525583524723</v>
      </c>
      <c r="C1465" s="115">
        <f>C143-C144</f>
        <v>350</v>
      </c>
      <c r="D1465" s="115">
        <f>D143-D144</f>
        <v>173</v>
      </c>
      <c r="E1465" s="115">
        <f t="shared" ref="E1465:J1465" si="17">E143-E144</f>
        <v>397.37422974189394</v>
      </c>
      <c r="F1465" s="115">
        <f t="shared" si="17"/>
        <v>469.87599999998929</v>
      </c>
      <c r="G1465" s="115">
        <f t="shared" si="17"/>
        <v>383</v>
      </c>
      <c r="H1465" s="115">
        <f t="shared" si="17"/>
        <v>0</v>
      </c>
      <c r="I1465" s="115">
        <f t="shared" si="17"/>
        <v>0</v>
      </c>
      <c r="J1465" s="115">
        <f t="shared" si="17"/>
        <v>0</v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298</v>
      </c>
      <c r="B1466" s="115">
        <f>B145-B140</f>
        <v>-3396.7977842883265</v>
      </c>
      <c r="C1466" s="115">
        <f>C145-C140</f>
        <v>-4203</v>
      </c>
      <c r="D1466" s="115">
        <f>D145-D140</f>
        <v>-4207</v>
      </c>
      <c r="E1466" s="115">
        <f t="shared" ref="E1466:J1466" si="18">E145-E140</f>
        <v>-3647.523289352619</v>
      </c>
      <c r="F1466" s="115">
        <f t="shared" si="18"/>
        <v>-3389.8190000000359</v>
      </c>
      <c r="G1466" s="115">
        <f t="shared" si="18"/>
        <v>-3328</v>
      </c>
      <c r="H1466" s="115">
        <f t="shared" si="18"/>
        <v>0</v>
      </c>
      <c r="I1466" s="115">
        <f t="shared" si="18"/>
        <v>0</v>
      </c>
      <c r="J1466" s="115">
        <f t="shared" si="18"/>
        <v>0</v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299</v>
      </c>
      <c r="B1467" s="115">
        <f>B146-B140</f>
        <v>19665.014468194662</v>
      </c>
      <c r="C1467" s="115">
        <f>C146-C140</f>
        <v>19314</v>
      </c>
      <c r="D1467" s="115">
        <f>D146-D140</f>
        <v>19261</v>
      </c>
      <c r="E1467" s="115">
        <f t="shared" ref="E1467:J1467" si="19">E146-E140</f>
        <v>19920.520374510255</v>
      </c>
      <c r="F1467" s="115">
        <f t="shared" si="19"/>
        <v>19866.847000000002</v>
      </c>
      <c r="G1467" s="115">
        <f t="shared" si="19"/>
        <v>19998</v>
      </c>
      <c r="H1467" s="115">
        <f t="shared" si="19"/>
        <v>0</v>
      </c>
      <c r="I1467" s="115">
        <f t="shared" si="19"/>
        <v>0</v>
      </c>
      <c r="J1467" s="115">
        <f t="shared" si="19"/>
        <v>0</v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300</v>
      </c>
      <c r="B1468" s="115">
        <f>B147-B140</f>
        <v>-3588.6236845638268</v>
      </c>
      <c r="C1468" s="115">
        <f>C147-C140</f>
        <v>-3904</v>
      </c>
      <c r="D1468" s="115">
        <f>D147-D140</f>
        <v>-3879</v>
      </c>
      <c r="E1468" s="115">
        <f t="shared" ref="E1468:J1468" si="20">E147-E140</f>
        <v>-3758.0865354380221</v>
      </c>
      <c r="F1468" s="115">
        <f t="shared" si="20"/>
        <v>-34976.411000001252</v>
      </c>
      <c r="G1468" s="115">
        <f t="shared" si="20"/>
        <v>-3657</v>
      </c>
      <c r="H1468" s="115">
        <f t="shared" si="20"/>
        <v>0</v>
      </c>
      <c r="I1468" s="115">
        <f t="shared" si="20"/>
        <v>0</v>
      </c>
      <c r="J1468" s="115">
        <f t="shared" si="20"/>
        <v>0</v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306</v>
      </c>
      <c r="B1469" s="115">
        <f>B148-B140</f>
        <v>-3555.3453891083191</v>
      </c>
      <c r="C1469" s="115">
        <f>C148-C140</f>
        <v>-3082</v>
      </c>
      <c r="D1469" s="115">
        <f>D148-D140</f>
        <v>-3056</v>
      </c>
      <c r="E1469" s="115">
        <f t="shared" ref="E1469:J1469" si="21">E148-E140</f>
        <v>-3013.2237218088339</v>
      </c>
      <c r="F1469" s="115">
        <f t="shared" si="21"/>
        <v>-34976.411000001252</v>
      </c>
      <c r="G1469" s="115">
        <f t="shared" si="21"/>
        <v>-3567</v>
      </c>
      <c r="H1469" s="115">
        <f t="shared" si="21"/>
        <v>0</v>
      </c>
      <c r="I1469" s="115">
        <f t="shared" si="21"/>
        <v>0</v>
      </c>
      <c r="J1469" s="115">
        <f t="shared" si="21"/>
        <v>0</v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307</v>
      </c>
      <c r="B1470" s="115">
        <f>B149-B140</f>
        <v>-2246.7696453105018</v>
      </c>
      <c r="C1470" s="115">
        <f>C149-C140</f>
        <v>-2220</v>
      </c>
      <c r="D1470" s="115">
        <f>D149-D140</f>
        <v>-1845</v>
      </c>
      <c r="E1470" s="115">
        <f t="shared" ref="E1470:J1470" si="22">E149-E140</f>
        <v>-2045.184562000497</v>
      </c>
      <c r="F1470" s="115">
        <f t="shared" si="22"/>
        <v>-34976.411000001252</v>
      </c>
      <c r="G1470" s="115">
        <f t="shared" si="22"/>
        <v>-1862</v>
      </c>
      <c r="H1470" s="115">
        <f t="shared" si="22"/>
        <v>0</v>
      </c>
      <c r="I1470" s="115">
        <f t="shared" si="22"/>
        <v>0</v>
      </c>
      <c r="J1470" s="115">
        <f t="shared" si="22"/>
        <v>0</v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308</v>
      </c>
      <c r="B1471" s="115">
        <f>B150-B140</f>
        <v>-3095.7459340030109</v>
      </c>
      <c r="C1471" s="115">
        <f>C150-C140</f>
        <v>-2818</v>
      </c>
      <c r="D1471" s="115">
        <f>D150-D140</f>
        <v>-2944</v>
      </c>
      <c r="E1471" s="115">
        <f t="shared" ref="E1471:J1471" si="23">E150-E140</f>
        <v>-2938.211791517555</v>
      </c>
      <c r="F1471" s="115">
        <f t="shared" si="23"/>
        <v>-34976.411000001252</v>
      </c>
      <c r="G1471" s="115">
        <f t="shared" si="23"/>
        <v>-3252</v>
      </c>
      <c r="H1471" s="115">
        <f t="shared" si="23"/>
        <v>0</v>
      </c>
      <c r="I1471" s="115">
        <f t="shared" si="23"/>
        <v>0</v>
      </c>
      <c r="J1471" s="115">
        <f t="shared" si="23"/>
        <v>0</v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309</v>
      </c>
      <c r="B1472" s="115">
        <f>B151-B140</f>
        <v>-1942.4562354895461</v>
      </c>
      <c r="C1472" s="115">
        <f>C151-C140</f>
        <v>-1718</v>
      </c>
      <c r="D1472" s="115">
        <f>D151-D140</f>
        <v>-1782</v>
      </c>
      <c r="E1472" s="115">
        <f t="shared" ref="E1472:J1472" si="24">E151-E140</f>
        <v>-1738.9033123672489</v>
      </c>
      <c r="F1472" s="115">
        <f t="shared" si="24"/>
        <v>-34976.411000001252</v>
      </c>
      <c r="G1472" s="115">
        <f t="shared" si="24"/>
        <v>-1822</v>
      </c>
      <c r="H1472" s="115">
        <f t="shared" si="24"/>
        <v>0</v>
      </c>
      <c r="I1472" s="115">
        <f t="shared" si="24"/>
        <v>0</v>
      </c>
      <c r="J1472" s="115">
        <f t="shared" si="24"/>
        <v>0</v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301</v>
      </c>
      <c r="B1473" s="115">
        <f>B152-B140</f>
        <v>-13295.890236418036</v>
      </c>
      <c r="C1473" s="115">
        <f>C152-C140</f>
        <v>-11933</v>
      </c>
      <c r="D1473" s="115">
        <f>D152-D140</f>
        <v>-11933</v>
      </c>
      <c r="E1473" s="115">
        <f t="shared" ref="E1473:J1473" si="25">E152-E140</f>
        <v>-11947.910154849138</v>
      </c>
      <c r="F1473" s="115">
        <f t="shared" si="25"/>
        <v>-12653.458000001228</v>
      </c>
      <c r="G1473" s="115">
        <f t="shared" si="25"/>
        <v>-11932</v>
      </c>
      <c r="H1473" s="115">
        <f t="shared" si="25"/>
        <v>0</v>
      </c>
      <c r="I1473" s="115">
        <f t="shared" si="25"/>
        <v>0</v>
      </c>
      <c r="J1473" s="115">
        <f t="shared" si="25"/>
        <v>0</v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302</v>
      </c>
      <c r="B1474" s="115">
        <f>B154-B153</f>
        <v>17217.924286479909</v>
      </c>
      <c r="C1474" s="115">
        <f>C154-C153</f>
        <v>18099</v>
      </c>
      <c r="D1474" s="115">
        <f>D154-D153</f>
        <v>18100</v>
      </c>
      <c r="E1474" s="115">
        <f t="shared" ref="E1474:J1474" si="26">E154-E153</f>
        <v>17760.305556106778</v>
      </c>
      <c r="F1474" s="115">
        <f t="shared" si="26"/>
        <v>17414.09999999998</v>
      </c>
      <c r="G1474" s="115">
        <f t="shared" si="26"/>
        <v>17794</v>
      </c>
      <c r="H1474" s="115">
        <f t="shared" si="26"/>
        <v>0</v>
      </c>
      <c r="I1474" s="115">
        <f t="shared" si="26"/>
        <v>0</v>
      </c>
      <c r="J1474" s="115">
        <f t="shared" si="26"/>
        <v>0</v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303</v>
      </c>
      <c r="B1475" s="115">
        <f>B157-B155</f>
        <v>-4665.7080262850286</v>
      </c>
      <c r="C1475" s="115">
        <f>C157-C155</f>
        <v>-4981</v>
      </c>
      <c r="D1475" s="115">
        <f>D157-D155</f>
        <v>-4969</v>
      </c>
      <c r="E1475" s="115">
        <f t="shared" ref="E1475:J1475" si="27">E157-E155</f>
        <v>-5031.5464902234526</v>
      </c>
      <c r="F1475" s="115">
        <f t="shared" si="27"/>
        <v>-4889.3570000002655</v>
      </c>
      <c r="G1475" s="115">
        <f t="shared" si="27"/>
        <v>-4458</v>
      </c>
      <c r="H1475" s="115">
        <f t="shared" si="27"/>
        <v>0</v>
      </c>
      <c r="I1475" s="115">
        <f t="shared" si="27"/>
        <v>0</v>
      </c>
      <c r="J1475" s="115">
        <f t="shared" si="27"/>
        <v>0</v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304</v>
      </c>
      <c r="B1476" s="115">
        <f>B158-B152</f>
        <v>-5056.6159707130428</v>
      </c>
      <c r="C1476" s="115">
        <f>C158-C152</f>
        <v>-5277</v>
      </c>
      <c r="D1476" s="115">
        <f>D158-D152</f>
        <v>-5285</v>
      </c>
      <c r="E1476" s="115">
        <f t="shared" ref="E1476:J1476" si="28">E158-E152</f>
        <v>-5081.8579241346742</v>
      </c>
      <c r="F1476" s="115">
        <f t="shared" si="28"/>
        <v>-4880.4849999999533</v>
      </c>
      <c r="G1476" s="115">
        <f t="shared" si="28"/>
        <v>-5263</v>
      </c>
      <c r="H1476" s="115">
        <f t="shared" si="28"/>
        <v>0</v>
      </c>
      <c r="I1476" s="115">
        <f t="shared" si="28"/>
        <v>0</v>
      </c>
      <c r="J1476" s="115">
        <f t="shared" si="28"/>
        <v>0</v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305</v>
      </c>
      <c r="B1477" s="115">
        <f>B160-B159</f>
        <v>-3743.2989019118359</v>
      </c>
      <c r="C1477" s="115">
        <f>C160-C159</f>
        <v>-4076</v>
      </c>
      <c r="D1477" s="115">
        <f>D160-D159</f>
        <v>-4083</v>
      </c>
      <c r="E1477" s="115">
        <f t="shared" ref="E1477:J1477" si="29">E160-E159</f>
        <v>-3514.1330368312483</v>
      </c>
      <c r="F1477" s="115">
        <f t="shared" si="29"/>
        <v>-3745.4910000001237</v>
      </c>
      <c r="G1477" s="115">
        <f t="shared" si="29"/>
        <v>-3825</v>
      </c>
      <c r="H1477" s="115">
        <f t="shared" si="29"/>
        <v>0</v>
      </c>
      <c r="I1477" s="115">
        <f t="shared" si="29"/>
        <v>0</v>
      </c>
      <c r="J1477" s="115">
        <f t="shared" si="29"/>
        <v>0</v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9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9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9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9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9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7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9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9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9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425</v>
      </c>
      <c r="D1487" t="s">
        <v>10</v>
      </c>
      <c r="H1487" s="39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245</v>
      </c>
      <c r="C1489" s="10" t="s">
        <v>257</v>
      </c>
      <c r="D1489" s="10" t="s">
        <v>258</v>
      </c>
      <c r="E1489" s="10" t="s">
        <v>515</v>
      </c>
      <c r="F1489" s="10" t="s">
        <v>373</v>
      </c>
      <c r="G1489" s="10" t="s">
        <v>482</v>
      </c>
      <c r="H1489" s="10" t="s">
        <v>516</v>
      </c>
      <c r="I1489" s="10" t="s">
        <v>517</v>
      </c>
      <c r="J1489" s="10" t="s">
        <v>517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295</v>
      </c>
      <c r="B1490" s="115">
        <f>B171-B170</f>
        <v>3986.0910607140395</v>
      </c>
      <c r="C1490" s="115">
        <f>C171-C170</f>
        <v>4244</v>
      </c>
      <c r="D1490" s="115">
        <f>D171-D170</f>
        <v>4244</v>
      </c>
      <c r="E1490" s="115">
        <f t="shared" ref="E1490:J1490" si="30">E171-E170</f>
        <v>4410.4347892507867</v>
      </c>
      <c r="F1490" s="115">
        <f t="shared" si="30"/>
        <v>4166.82</v>
      </c>
      <c r="G1490" s="115">
        <f t="shared" si="30"/>
        <v>4177</v>
      </c>
      <c r="H1490" s="115">
        <f t="shared" si="30"/>
        <v>0</v>
      </c>
      <c r="I1490" s="115">
        <f t="shared" si="30"/>
        <v>0</v>
      </c>
      <c r="J1490" s="115">
        <f t="shared" si="30"/>
        <v>0</v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296</v>
      </c>
      <c r="B1491" s="115">
        <f>B172-B170</f>
        <v>4079.6030794278959</v>
      </c>
      <c r="C1491" s="115">
        <f>C172-C170</f>
        <v>3681</v>
      </c>
      <c r="D1491" s="115">
        <f>D172-D170</f>
        <v>3721</v>
      </c>
      <c r="E1491" s="115">
        <f t="shared" ref="E1491:J1491" si="31">E172-E170</f>
        <v>4351.3049939570119</v>
      </c>
      <c r="F1491" s="115">
        <f t="shared" si="31"/>
        <v>4076.0250000001142</v>
      </c>
      <c r="G1491" s="115">
        <f t="shared" si="31"/>
        <v>4036</v>
      </c>
      <c r="H1491" s="115">
        <f t="shared" si="31"/>
        <v>0</v>
      </c>
      <c r="I1491" s="115">
        <f t="shared" si="31"/>
        <v>0</v>
      </c>
      <c r="J1491" s="115">
        <f t="shared" si="31"/>
        <v>0</v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297</v>
      </c>
      <c r="B1492" s="115">
        <f>B173-B170</f>
        <v>4946.1977651546658</v>
      </c>
      <c r="C1492" s="115">
        <f>C173-C170</f>
        <v>4603</v>
      </c>
      <c r="D1492" s="115">
        <f>D173-D170</f>
        <v>4352</v>
      </c>
      <c r="E1492" s="115">
        <f t="shared" ref="E1492:J1492" si="32">E173-E170</f>
        <v>5445.0650036706138</v>
      </c>
      <c r="F1492" s="115">
        <f t="shared" si="32"/>
        <v>5157.7319999999636</v>
      </c>
      <c r="G1492" s="115">
        <f t="shared" si="32"/>
        <v>4899</v>
      </c>
      <c r="H1492" s="115">
        <f t="shared" si="32"/>
        <v>0</v>
      </c>
      <c r="I1492" s="115">
        <f t="shared" si="32"/>
        <v>0</v>
      </c>
      <c r="J1492" s="115">
        <f t="shared" si="32"/>
        <v>0</v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422</v>
      </c>
      <c r="B1493" s="115">
        <f>B173-B172</f>
        <v>866.59468572676997</v>
      </c>
      <c r="C1493" s="115">
        <f>C173-C172</f>
        <v>922</v>
      </c>
      <c r="D1493" s="115">
        <f>D173-D172</f>
        <v>631</v>
      </c>
      <c r="E1493" s="115">
        <f t="shared" ref="E1493:J1493" si="33">E173-E172</f>
        <v>1093.7600097136019</v>
      </c>
      <c r="F1493" s="115">
        <f t="shared" si="33"/>
        <v>1081.7069999998494</v>
      </c>
      <c r="G1493" s="115">
        <f t="shared" si="33"/>
        <v>863</v>
      </c>
      <c r="H1493" s="115">
        <f t="shared" si="33"/>
        <v>0</v>
      </c>
      <c r="I1493" s="115">
        <f t="shared" si="33"/>
        <v>0</v>
      </c>
      <c r="J1493" s="115">
        <f t="shared" si="33"/>
        <v>0</v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423</v>
      </c>
      <c r="B1494" s="115">
        <f>B174-B170</f>
        <v>4609.4030281066807</v>
      </c>
      <c r="C1494" s="115">
        <f>C174-C170</f>
        <v>4260</v>
      </c>
      <c r="D1494" s="115">
        <f>D174-D170</f>
        <v>4172</v>
      </c>
      <c r="E1494" s="115">
        <f t="shared" ref="E1494:J1494" si="34">E174-E170</f>
        <v>5047.6907739287235</v>
      </c>
      <c r="F1494" s="115">
        <f t="shared" si="34"/>
        <v>4702.7889999999788</v>
      </c>
      <c r="G1494" s="115">
        <f t="shared" si="34"/>
        <v>4524</v>
      </c>
      <c r="H1494" s="115">
        <f t="shared" si="34"/>
        <v>0</v>
      </c>
      <c r="I1494" s="115">
        <f t="shared" si="34"/>
        <v>0</v>
      </c>
      <c r="J1494" s="115">
        <f t="shared" si="34"/>
        <v>0</v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424</v>
      </c>
      <c r="B1495" s="115">
        <f>B173-B174</f>
        <v>336.79473704798511</v>
      </c>
      <c r="C1495" s="115">
        <f>C173-C174</f>
        <v>343</v>
      </c>
      <c r="D1495" s="115">
        <f>D173-D174</f>
        <v>180</v>
      </c>
      <c r="E1495" s="115">
        <f t="shared" ref="E1495:J1495" si="35">E173-E174</f>
        <v>397.3742297418903</v>
      </c>
      <c r="F1495" s="115">
        <f t="shared" si="35"/>
        <v>454.94299999998475</v>
      </c>
      <c r="G1495" s="115">
        <f t="shared" si="35"/>
        <v>375</v>
      </c>
      <c r="H1495" s="115">
        <f t="shared" si="35"/>
        <v>0</v>
      </c>
      <c r="I1495" s="115">
        <f t="shared" si="35"/>
        <v>0</v>
      </c>
      <c r="J1495" s="115">
        <f t="shared" si="35"/>
        <v>0</v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298</v>
      </c>
      <c r="B1496" s="115">
        <f>B175-B170</f>
        <v>-3036.6939446745309</v>
      </c>
      <c r="C1496" s="115">
        <f>C175-C170</f>
        <v>-3767</v>
      </c>
      <c r="D1496" s="115">
        <f>D175-D170</f>
        <v>-3772</v>
      </c>
      <c r="E1496" s="115">
        <f t="shared" ref="E1496:J1496" si="36">E175-E170</f>
        <v>-3647.523289352619</v>
      </c>
      <c r="F1496" s="115">
        <f t="shared" si="36"/>
        <v>-3031.9460000000472</v>
      </c>
      <c r="G1496" s="115">
        <f t="shared" si="36"/>
        <v>-2985</v>
      </c>
      <c r="H1496" s="115">
        <f t="shared" si="36"/>
        <v>0</v>
      </c>
      <c r="I1496" s="115">
        <f t="shared" si="36"/>
        <v>0</v>
      </c>
      <c r="J1496" s="115">
        <f t="shared" si="36"/>
        <v>0</v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299</v>
      </c>
      <c r="B1497" s="115">
        <f>B176-B170</f>
        <v>17752.305570698405</v>
      </c>
      <c r="C1497" s="115">
        <f>C176-C170</f>
        <v>17430</v>
      </c>
      <c r="D1497" s="115">
        <f>D176-D170</f>
        <v>17382</v>
      </c>
      <c r="E1497" s="115">
        <f t="shared" ref="E1497:J1497" si="37">E176-E170</f>
        <v>19920.520374510259</v>
      </c>
      <c r="F1497" s="115">
        <f t="shared" si="37"/>
        <v>17927.161000000247</v>
      </c>
      <c r="G1497" s="115">
        <f t="shared" si="37"/>
        <v>18065</v>
      </c>
      <c r="H1497" s="115">
        <f t="shared" si="37"/>
        <v>0</v>
      </c>
      <c r="I1497" s="115">
        <f t="shared" si="37"/>
        <v>0</v>
      </c>
      <c r="J1497" s="115">
        <f t="shared" si="37"/>
        <v>0</v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300</v>
      </c>
      <c r="B1498" s="115">
        <f>B177-B170</f>
        <v>-3174.5855715648722</v>
      </c>
      <c r="C1498" s="115">
        <f>C177-C170</f>
        <v>-3463</v>
      </c>
      <c r="D1498" s="115">
        <f>D177-D170</f>
        <v>-3442</v>
      </c>
      <c r="E1498" s="115">
        <f t="shared" ref="E1498:J1498" si="38">E177-E170</f>
        <v>-3758.0865354380221</v>
      </c>
      <c r="F1498" s="115">
        <f t="shared" si="38"/>
        <v>-21770.00099999996</v>
      </c>
      <c r="G1498" s="115">
        <f t="shared" si="38"/>
        <v>-3247</v>
      </c>
      <c r="H1498" s="115">
        <f t="shared" si="38"/>
        <v>0</v>
      </c>
      <c r="I1498" s="115">
        <f t="shared" si="38"/>
        <v>0</v>
      </c>
      <c r="J1498" s="115">
        <f t="shared" si="38"/>
        <v>0</v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306</v>
      </c>
      <c r="B1499" s="115">
        <f>B178-B170</f>
        <v>-3149.0399436906118</v>
      </c>
      <c r="C1499" s="115">
        <f>C178-C170</f>
        <v>-2746</v>
      </c>
      <c r="D1499" s="115">
        <f>D178-D170</f>
        <v>-2723</v>
      </c>
      <c r="E1499" s="115">
        <f t="shared" ref="E1499:J1499" si="39">E178-E170</f>
        <v>-3013.2237218088339</v>
      </c>
      <c r="F1499" s="115">
        <f t="shared" si="39"/>
        <v>-21770.00099999996</v>
      </c>
      <c r="G1499" s="115">
        <f t="shared" si="39"/>
        <v>-3191</v>
      </c>
      <c r="H1499" s="115">
        <f t="shared" si="39"/>
        <v>0</v>
      </c>
      <c r="I1499" s="115">
        <f t="shared" si="39"/>
        <v>0</v>
      </c>
      <c r="J1499" s="115">
        <f t="shared" si="39"/>
        <v>0</v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307</v>
      </c>
      <c r="B1500" s="115">
        <f>B179-B170</f>
        <v>-1994.9489155549854</v>
      </c>
      <c r="C1500" s="115">
        <f>C179-C170</f>
        <v>-1973</v>
      </c>
      <c r="D1500" s="115">
        <f>D179-D170</f>
        <v>-1639</v>
      </c>
      <c r="E1500" s="115">
        <f t="shared" ref="E1500:J1500" si="40">E179-E170</f>
        <v>-2045.184562000497</v>
      </c>
      <c r="F1500" s="115">
        <f t="shared" si="40"/>
        <v>-21770.00099999996</v>
      </c>
      <c r="G1500" s="115">
        <f t="shared" si="40"/>
        <v>-1662</v>
      </c>
      <c r="H1500" s="115">
        <f t="shared" si="40"/>
        <v>0</v>
      </c>
      <c r="I1500" s="115">
        <f t="shared" si="40"/>
        <v>0</v>
      </c>
      <c r="J1500" s="115">
        <f t="shared" si="40"/>
        <v>0</v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308</v>
      </c>
      <c r="B1501" s="115">
        <f>B180-B170</f>
        <v>-2754.9132462438247</v>
      </c>
      <c r="C1501" s="115">
        <f>C180-C170</f>
        <v>-2510</v>
      </c>
      <c r="D1501" s="115">
        <f>D180-D170</f>
        <v>-2622</v>
      </c>
      <c r="E1501" s="115">
        <f t="shared" ref="E1501:J1501" si="41">E180-E170</f>
        <v>-2938.211791517555</v>
      </c>
      <c r="F1501" s="115">
        <f t="shared" si="41"/>
        <v>-21770.00099999996</v>
      </c>
      <c r="G1501" s="115">
        <f t="shared" si="41"/>
        <v>-2910</v>
      </c>
      <c r="H1501" s="115">
        <f t="shared" si="41"/>
        <v>0</v>
      </c>
      <c r="I1501" s="115">
        <f t="shared" si="41"/>
        <v>0</v>
      </c>
      <c r="J1501" s="115">
        <f t="shared" si="41"/>
        <v>0</v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309</v>
      </c>
      <c r="B1502" s="115">
        <f>B181-B170</f>
        <v>-1724.4010536126152</v>
      </c>
      <c r="C1502" s="115">
        <f>C181-C170</f>
        <v>-1527</v>
      </c>
      <c r="D1502" s="115">
        <f>D181-D170</f>
        <v>-1584</v>
      </c>
      <c r="E1502" s="115">
        <f t="shared" ref="E1502:J1502" si="42">E181-E170</f>
        <v>-1738.9033123672489</v>
      </c>
      <c r="F1502" s="115">
        <f t="shared" si="42"/>
        <v>-21770.00099999996</v>
      </c>
      <c r="G1502" s="115">
        <f t="shared" si="42"/>
        <v>-1627</v>
      </c>
      <c r="H1502" s="115">
        <f t="shared" si="42"/>
        <v>0</v>
      </c>
      <c r="I1502" s="115">
        <f t="shared" si="42"/>
        <v>0</v>
      </c>
      <c r="J1502" s="115">
        <f t="shared" si="42"/>
        <v>0</v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301</v>
      </c>
      <c r="B1503" s="115">
        <f>B182-B170</f>
        <v>-4499.2387514203074</v>
      </c>
      <c r="C1503" s="115">
        <f>C182-C170</f>
        <v>-3096</v>
      </c>
      <c r="D1503" s="115">
        <f>D182-D170</f>
        <v>-3095</v>
      </c>
      <c r="E1503" s="115">
        <f t="shared" ref="E1503:J1503" si="43">E182-E170</f>
        <v>-3716.3612017503438</v>
      </c>
      <c r="F1503" s="115">
        <f t="shared" si="43"/>
        <v>-3912.1489999999285</v>
      </c>
      <c r="G1503" s="115">
        <f t="shared" si="43"/>
        <v>-3354</v>
      </c>
      <c r="H1503" s="115">
        <f t="shared" si="43"/>
        <v>0</v>
      </c>
      <c r="I1503" s="115">
        <f t="shared" si="43"/>
        <v>0</v>
      </c>
      <c r="J1503" s="115">
        <f t="shared" si="43"/>
        <v>0</v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302</v>
      </c>
      <c r="B1504" s="115">
        <f>B184-B183</f>
        <v>13805.73111636507</v>
      </c>
      <c r="C1504" s="115">
        <f>C184-C183</f>
        <v>14303</v>
      </c>
      <c r="D1504" s="115">
        <f>D184-D183</f>
        <v>14304</v>
      </c>
      <c r="E1504" s="115">
        <f t="shared" ref="E1504:J1504" si="44">E184-E183</f>
        <v>15725.217508748543</v>
      </c>
      <c r="F1504" s="115">
        <f t="shared" si="44"/>
        <v>13913.444999999987</v>
      </c>
      <c r="G1504" s="115">
        <f t="shared" si="44"/>
        <v>14230</v>
      </c>
      <c r="H1504" s="115">
        <f t="shared" si="44"/>
        <v>0</v>
      </c>
      <c r="I1504" s="115">
        <f t="shared" si="44"/>
        <v>0</v>
      </c>
      <c r="J1504" s="115">
        <f t="shared" si="44"/>
        <v>0</v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303</v>
      </c>
      <c r="B1505" s="115">
        <f>B187-B185</f>
        <v>-2963.4018331640655</v>
      </c>
      <c r="C1505" s="115">
        <f>C187-C185</f>
        <v>-3241</v>
      </c>
      <c r="D1505" s="115">
        <f>D187-D185</f>
        <v>-3233</v>
      </c>
      <c r="E1505" s="115">
        <f t="shared" ref="E1505:J1505" si="45">E187-E185</f>
        <v>-4083.0917695684548</v>
      </c>
      <c r="F1505" s="115">
        <f t="shared" si="45"/>
        <v>-3148.170000000202</v>
      </c>
      <c r="G1505" s="115">
        <f t="shared" si="45"/>
        <v>-2742</v>
      </c>
      <c r="H1505" s="115">
        <f t="shared" si="45"/>
        <v>0</v>
      </c>
      <c r="I1505" s="115">
        <f t="shared" si="45"/>
        <v>0</v>
      </c>
      <c r="J1505" s="115">
        <f t="shared" si="45"/>
        <v>0</v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304</v>
      </c>
      <c r="B1506" s="115">
        <f>B188-B182</f>
        <v>-4197.3004344084002</v>
      </c>
      <c r="C1506" s="115">
        <f>C188-C182</f>
        <v>-4346</v>
      </c>
      <c r="D1506" s="115">
        <f>D188-D182</f>
        <v>-4354</v>
      </c>
      <c r="E1506" s="115">
        <f t="shared" ref="E1506:J1506" si="46">E188-E182</f>
        <v>-4573.0283448568098</v>
      </c>
      <c r="F1506" s="115">
        <f t="shared" si="46"/>
        <v>-4001.9239999999591</v>
      </c>
      <c r="G1506" s="115">
        <f t="shared" si="46"/>
        <v>-4350</v>
      </c>
      <c r="H1506" s="115">
        <f t="shared" si="46"/>
        <v>0</v>
      </c>
      <c r="I1506" s="115">
        <f t="shared" si="46"/>
        <v>0</v>
      </c>
      <c r="J1506" s="115">
        <f t="shared" si="46"/>
        <v>0</v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305</v>
      </c>
      <c r="B1507" s="115">
        <f>B190-B189</f>
        <v>-2398.8747508219385</v>
      </c>
      <c r="C1507" s="115">
        <f>C190-C189</f>
        <v>-2713</v>
      </c>
      <c r="D1507" s="115">
        <f>D190-D189</f>
        <v>-2720</v>
      </c>
      <c r="E1507" s="115">
        <f t="shared" ref="E1507:J1507" si="47">E190-E189</f>
        <v>-2885.5256762801673</v>
      </c>
      <c r="F1507" s="115">
        <f t="shared" si="47"/>
        <v>-2413.1970000000147</v>
      </c>
      <c r="G1507" s="115">
        <f t="shared" si="47"/>
        <v>-2449</v>
      </c>
      <c r="H1507" s="115">
        <f t="shared" si="47"/>
        <v>0</v>
      </c>
      <c r="I1507" s="115">
        <f t="shared" si="47"/>
        <v>0</v>
      </c>
      <c r="J1507" s="115">
        <f t="shared" si="47"/>
        <v>0</v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9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9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9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9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9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9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9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9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9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310</v>
      </c>
      <c r="D1517" t="s">
        <v>10</v>
      </c>
      <c r="H1517" s="39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245</v>
      </c>
      <c r="C1519" s="10" t="s">
        <v>257</v>
      </c>
      <c r="D1519" s="10" t="s">
        <v>258</v>
      </c>
      <c r="E1519" s="10" t="s">
        <v>515</v>
      </c>
      <c r="F1519" s="10" t="s">
        <v>373</v>
      </c>
      <c r="G1519" s="10" t="s">
        <v>482</v>
      </c>
      <c r="H1519" s="10" t="s">
        <v>516</v>
      </c>
      <c r="I1519" s="10" t="s">
        <v>517</v>
      </c>
      <c r="J1519" s="10" t="s">
        <v>517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295</v>
      </c>
      <c r="B1520" s="115">
        <f>B201-B200</f>
        <v>353.51153267029258</v>
      </c>
      <c r="C1520" s="115">
        <f>C201-C200</f>
        <v>385</v>
      </c>
      <c r="D1520" s="115">
        <f>D201-D200</f>
        <v>385</v>
      </c>
      <c r="E1520" s="115">
        <f t="shared" ref="E1520:J1520" si="48">E201-E200</f>
        <v>0</v>
      </c>
      <c r="F1520" s="115">
        <f t="shared" si="48"/>
        <v>376.33800000001565</v>
      </c>
      <c r="G1520" s="115">
        <f t="shared" si="48"/>
        <v>368</v>
      </c>
      <c r="H1520" s="115">
        <f t="shared" si="48"/>
        <v>0</v>
      </c>
      <c r="I1520" s="115">
        <f t="shared" si="48"/>
        <v>0</v>
      </c>
      <c r="J1520" s="115">
        <f t="shared" si="48"/>
        <v>0</v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296</v>
      </c>
      <c r="B1521" s="115">
        <f>B202-B200</f>
        <v>346.27670039468285</v>
      </c>
      <c r="C1521" s="115">
        <f>C202-C200</f>
        <v>314</v>
      </c>
      <c r="D1521" s="115">
        <f>D202-D200</f>
        <v>316</v>
      </c>
      <c r="E1521" s="115">
        <f t="shared" ref="E1521:J1521" si="49">E202-E200</f>
        <v>0</v>
      </c>
      <c r="F1521" s="115">
        <f t="shared" si="49"/>
        <v>348.37900000001946</v>
      </c>
      <c r="G1521" s="115">
        <f t="shared" si="49"/>
        <v>358</v>
      </c>
      <c r="H1521" s="115">
        <f t="shared" si="49"/>
        <v>0</v>
      </c>
      <c r="I1521" s="115">
        <f t="shared" si="49"/>
        <v>0</v>
      </c>
      <c r="J1521" s="115">
        <f t="shared" si="49"/>
        <v>0</v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297</v>
      </c>
      <c r="B1522" s="115">
        <f>B203-B200</f>
        <v>383.32536008485795</v>
      </c>
      <c r="C1522" s="115">
        <f>C203-C200</f>
        <v>355</v>
      </c>
      <c r="D1522" s="115">
        <f>D203-D200</f>
        <v>331</v>
      </c>
      <c r="E1522" s="115">
        <f t="shared" ref="E1522:J1522" si="50">E203-E200</f>
        <v>0</v>
      </c>
      <c r="F1522" s="115">
        <f t="shared" si="50"/>
        <v>400.99400000000423</v>
      </c>
      <c r="G1522" s="115">
        <f t="shared" si="50"/>
        <v>370</v>
      </c>
      <c r="H1522" s="115">
        <f t="shared" si="50"/>
        <v>0</v>
      </c>
      <c r="I1522" s="115">
        <f t="shared" si="50"/>
        <v>0</v>
      </c>
      <c r="J1522" s="115">
        <f t="shared" si="50"/>
        <v>0</v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422</v>
      </c>
      <c r="B1523" s="115">
        <f>B203-B202</f>
        <v>37.0486596901751</v>
      </c>
      <c r="C1523" s="115">
        <f>C203-C202</f>
        <v>41</v>
      </c>
      <c r="D1523" s="115">
        <f>D203-D202</f>
        <v>15</v>
      </c>
      <c r="E1523" s="115">
        <f t="shared" ref="E1523:J1523" si="51">E203-E202</f>
        <v>0</v>
      </c>
      <c r="F1523" s="115">
        <f t="shared" si="51"/>
        <v>52.614999999984775</v>
      </c>
      <c r="G1523" s="115">
        <f t="shared" si="51"/>
        <v>12</v>
      </c>
      <c r="H1523" s="115">
        <f t="shared" si="51"/>
        <v>0</v>
      </c>
      <c r="I1523" s="115">
        <f t="shared" si="51"/>
        <v>0</v>
      </c>
      <c r="J1523" s="115">
        <f t="shared" si="51"/>
        <v>0</v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423</v>
      </c>
      <c r="B1524" s="115">
        <f>B204-B200</f>
        <v>376.11484129759128</v>
      </c>
      <c r="C1524" s="115">
        <f>C204-C200</f>
        <v>348</v>
      </c>
      <c r="D1524" s="115">
        <f>D204-D200</f>
        <v>338</v>
      </c>
      <c r="E1524" s="115">
        <f t="shared" ref="E1524:J1524" si="52">E204-E200</f>
        <v>0</v>
      </c>
      <c r="F1524" s="115">
        <f t="shared" si="52"/>
        <v>386.06100000000652</v>
      </c>
      <c r="G1524" s="115">
        <f t="shared" si="52"/>
        <v>361</v>
      </c>
      <c r="H1524" s="115">
        <f t="shared" si="52"/>
        <v>0</v>
      </c>
      <c r="I1524" s="115">
        <f t="shared" si="52"/>
        <v>0</v>
      </c>
      <c r="J1524" s="115">
        <f t="shared" si="52"/>
        <v>0</v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424</v>
      </c>
      <c r="B1525" s="115">
        <f>B203-B204</f>
        <v>7.2105187872666647</v>
      </c>
      <c r="C1525" s="115">
        <f>C203-C204</f>
        <v>7</v>
      </c>
      <c r="D1525" s="115">
        <f>D203-D204</f>
        <v>-7</v>
      </c>
      <c r="E1525" s="115">
        <f t="shared" ref="E1525:J1525" si="53">E203-E204</f>
        <v>0</v>
      </c>
      <c r="F1525" s="115">
        <f t="shared" si="53"/>
        <v>14.932999999997719</v>
      </c>
      <c r="G1525" s="115">
        <f t="shared" si="53"/>
        <v>9</v>
      </c>
      <c r="H1525" s="115">
        <f t="shared" si="53"/>
        <v>0</v>
      </c>
      <c r="I1525" s="115">
        <f t="shared" si="53"/>
        <v>0</v>
      </c>
      <c r="J1525" s="115">
        <f t="shared" si="53"/>
        <v>0</v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298</v>
      </c>
      <c r="B1526" s="115">
        <f>B205-B200</f>
        <v>-360.10383961378966</v>
      </c>
      <c r="C1526" s="115">
        <f>C205-C200</f>
        <v>-436</v>
      </c>
      <c r="D1526" s="115">
        <f>D205-D200</f>
        <v>-435</v>
      </c>
      <c r="E1526" s="115">
        <f t="shared" ref="E1526:J1526" si="54">E205-E200</f>
        <v>0</v>
      </c>
      <c r="F1526" s="115">
        <f t="shared" si="54"/>
        <v>-357.87299999998731</v>
      </c>
      <c r="G1526" s="115">
        <f t="shared" si="54"/>
        <v>-353</v>
      </c>
      <c r="H1526" s="115">
        <f t="shared" si="54"/>
        <v>0</v>
      </c>
      <c r="I1526" s="115">
        <f t="shared" si="54"/>
        <v>0</v>
      </c>
      <c r="J1526" s="115">
        <f t="shared" si="54"/>
        <v>0</v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299</v>
      </c>
      <c r="B1527" s="115">
        <f>B206-B200</f>
        <v>1912.7088974962621</v>
      </c>
      <c r="C1527" s="115">
        <f>C206-C200</f>
        <v>1884</v>
      </c>
      <c r="D1527" s="115">
        <f>D206-D200</f>
        <v>1879</v>
      </c>
      <c r="E1527" s="115">
        <f t="shared" ref="E1527:J1527" si="55">E206-E200</f>
        <v>0</v>
      </c>
      <c r="F1527" s="115">
        <f t="shared" si="55"/>
        <v>1939.6859999997582</v>
      </c>
      <c r="G1527" s="115">
        <f t="shared" si="55"/>
        <v>1949</v>
      </c>
      <c r="H1527" s="115">
        <f t="shared" si="55"/>
        <v>0</v>
      </c>
      <c r="I1527" s="115">
        <f t="shared" si="55"/>
        <v>0</v>
      </c>
      <c r="J1527" s="115">
        <f t="shared" si="55"/>
        <v>0</v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300</v>
      </c>
      <c r="B1528" s="115">
        <f>B207-B200</f>
        <v>-414.0381129989496</v>
      </c>
      <c r="C1528" s="115">
        <f>C207-C200</f>
        <v>-441</v>
      </c>
      <c r="D1528" s="115">
        <f>D207-D200</f>
        <v>-437</v>
      </c>
      <c r="E1528" s="115">
        <f t="shared" ref="E1528:J1528" si="56">E207-E200</f>
        <v>0</v>
      </c>
      <c r="F1528" s="115">
        <f t="shared" si="56"/>
        <v>-2326.4899999999893</v>
      </c>
      <c r="G1528" s="115">
        <f t="shared" si="56"/>
        <v>-421</v>
      </c>
      <c r="H1528" s="115">
        <f t="shared" si="56"/>
        <v>0</v>
      </c>
      <c r="I1528" s="115">
        <f t="shared" si="56"/>
        <v>0</v>
      </c>
      <c r="J1528" s="115">
        <f t="shared" si="56"/>
        <v>0</v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306</v>
      </c>
      <c r="B1529" s="115">
        <f>B208-B200</f>
        <v>-406.30544541770291</v>
      </c>
      <c r="C1529" s="115">
        <f>C208-C200</f>
        <v>-336</v>
      </c>
      <c r="D1529" s="115">
        <f>D208-D200</f>
        <v>-333</v>
      </c>
      <c r="E1529" s="115">
        <f t="shared" ref="E1529:J1529" si="57">E208-E200</f>
        <v>0</v>
      </c>
      <c r="F1529" s="115">
        <f t="shared" si="57"/>
        <v>-2326.4899999999893</v>
      </c>
      <c r="G1529" s="115">
        <f t="shared" si="57"/>
        <v>-387</v>
      </c>
      <c r="H1529" s="115">
        <f t="shared" si="57"/>
        <v>0</v>
      </c>
      <c r="I1529" s="115">
        <f t="shared" si="57"/>
        <v>0</v>
      </c>
      <c r="J1529" s="115">
        <f t="shared" si="57"/>
        <v>0</v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307</v>
      </c>
      <c r="B1530" s="115">
        <f>B209-B200</f>
        <v>-251.82072975551137</v>
      </c>
      <c r="C1530" s="115">
        <f>C209-C200</f>
        <v>-247</v>
      </c>
      <c r="D1530" s="115">
        <f>D209-D200</f>
        <v>-206</v>
      </c>
      <c r="E1530" s="115">
        <f t="shared" ref="E1530:J1530" si="58">E209-E200</f>
        <v>0</v>
      </c>
      <c r="F1530" s="115">
        <f t="shared" si="58"/>
        <v>-2326.4899999999893</v>
      </c>
      <c r="G1530" s="115">
        <f t="shared" si="58"/>
        <v>-208</v>
      </c>
      <c r="H1530" s="115">
        <f t="shared" si="58"/>
        <v>0</v>
      </c>
      <c r="I1530" s="115">
        <f t="shared" si="58"/>
        <v>0</v>
      </c>
      <c r="J1530" s="115">
        <f t="shared" si="58"/>
        <v>0</v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308</v>
      </c>
      <c r="B1531" s="115">
        <f>B210-B200</f>
        <v>-340.83268775918395</v>
      </c>
      <c r="C1531" s="115">
        <f>C210-C200</f>
        <v>-308</v>
      </c>
      <c r="D1531" s="115">
        <f>D210-D200</f>
        <v>-322</v>
      </c>
      <c r="E1531" s="115">
        <f t="shared" ref="E1531:J1531" si="59">E210-E200</f>
        <v>0</v>
      </c>
      <c r="F1531" s="115">
        <f t="shared" si="59"/>
        <v>-2326.4899999999893</v>
      </c>
      <c r="G1531" s="115">
        <f t="shared" si="59"/>
        <v>-353</v>
      </c>
      <c r="H1531" s="115">
        <f t="shared" si="59"/>
        <v>0</v>
      </c>
      <c r="I1531" s="115">
        <f t="shared" si="59"/>
        <v>0</v>
      </c>
      <c r="J1531" s="115">
        <f t="shared" si="59"/>
        <v>0</v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309</v>
      </c>
      <c r="B1532" s="115">
        <f>B211-B200</f>
        <v>-218.05518187692451</v>
      </c>
      <c r="C1532" s="115">
        <f>C211-C200</f>
        <v>-191</v>
      </c>
      <c r="D1532" s="115">
        <f>D211-D200</f>
        <v>-198</v>
      </c>
      <c r="E1532" s="115">
        <f t="shared" ref="E1532:J1532" si="60">E211-E200</f>
        <v>0</v>
      </c>
      <c r="F1532" s="115">
        <f t="shared" si="60"/>
        <v>-2326.4899999999893</v>
      </c>
      <c r="G1532" s="115">
        <f t="shared" si="60"/>
        <v>-203</v>
      </c>
      <c r="H1532" s="115">
        <f t="shared" si="60"/>
        <v>0</v>
      </c>
      <c r="I1532" s="115">
        <f t="shared" si="60"/>
        <v>0</v>
      </c>
      <c r="J1532" s="115">
        <f t="shared" si="60"/>
        <v>0</v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301</v>
      </c>
      <c r="B1533" s="115">
        <f>B212-B200</f>
        <v>-480.55312008871579</v>
      </c>
      <c r="C1533" s="115">
        <f>C212-C200</f>
        <v>-326</v>
      </c>
      <c r="D1533" s="115">
        <f>D212-D200</f>
        <v>-327</v>
      </c>
      <c r="E1533" s="115">
        <f t="shared" ref="E1533:J1533" si="61">E212-E200</f>
        <v>0</v>
      </c>
      <c r="F1533" s="115">
        <f t="shared" si="61"/>
        <v>-414.62099999998759</v>
      </c>
      <c r="G1533" s="115">
        <f t="shared" si="61"/>
        <v>-347</v>
      </c>
      <c r="H1533" s="115">
        <f t="shared" si="61"/>
        <v>0</v>
      </c>
      <c r="I1533" s="115">
        <f t="shared" si="61"/>
        <v>0</v>
      </c>
      <c r="J1533" s="115">
        <f t="shared" si="61"/>
        <v>0</v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302</v>
      </c>
      <c r="B1534" s="115">
        <f>B214-B213</f>
        <v>1461.0219374801136</v>
      </c>
      <c r="C1534" s="115">
        <f>C214-C213</f>
        <v>1534</v>
      </c>
      <c r="D1534" s="115">
        <f>D214-D213</f>
        <v>1534</v>
      </c>
      <c r="E1534" s="115">
        <f t="shared" ref="E1534:J1534" si="62">E214-E213</f>
        <v>0</v>
      </c>
      <c r="F1534" s="115">
        <f t="shared" si="62"/>
        <v>1498.8719999999973</v>
      </c>
      <c r="G1534" s="115">
        <f t="shared" si="62"/>
        <v>1526</v>
      </c>
      <c r="H1534" s="115">
        <f t="shared" si="62"/>
        <v>0</v>
      </c>
      <c r="I1534" s="115">
        <f t="shared" si="62"/>
        <v>0</v>
      </c>
      <c r="J1534" s="115">
        <f t="shared" si="62"/>
        <v>0</v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303</v>
      </c>
      <c r="B1535" s="115">
        <f>B217-B215</f>
        <v>-728.88801086671174</v>
      </c>
      <c r="C1535" s="115">
        <f>C217-C215</f>
        <v>-752</v>
      </c>
      <c r="D1535" s="115">
        <f>D217-D215</f>
        <v>-750</v>
      </c>
      <c r="E1535" s="115">
        <f t="shared" ref="E1535:J1535" si="63">E217-E215</f>
        <v>0</v>
      </c>
      <c r="F1535" s="115">
        <f t="shared" si="63"/>
        <v>-745.6240000000339</v>
      </c>
      <c r="G1535" s="115">
        <f t="shared" si="63"/>
        <v>-733</v>
      </c>
      <c r="H1535" s="115">
        <f t="shared" si="63"/>
        <v>0</v>
      </c>
      <c r="I1535" s="115">
        <f t="shared" si="63"/>
        <v>0</v>
      </c>
      <c r="J1535" s="115">
        <f t="shared" si="63"/>
        <v>0</v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304</v>
      </c>
      <c r="B1536" s="115">
        <f>B218-B212</f>
        <v>-367.93897272712525</v>
      </c>
      <c r="C1536" s="115">
        <f>C218-C212</f>
        <v>-395</v>
      </c>
      <c r="D1536" s="115">
        <f>D218-D212</f>
        <v>-395</v>
      </c>
      <c r="E1536" s="115">
        <f t="shared" ref="E1536:J1536" si="64">E218-E212</f>
        <v>0</v>
      </c>
      <c r="F1536" s="115">
        <f t="shared" si="64"/>
        <v>-376.18500000000176</v>
      </c>
      <c r="G1536" s="115">
        <f t="shared" si="64"/>
        <v>-391</v>
      </c>
      <c r="H1536" s="115">
        <f t="shared" si="64"/>
        <v>0</v>
      </c>
      <c r="I1536" s="115">
        <f t="shared" si="64"/>
        <v>0</v>
      </c>
      <c r="J1536" s="115">
        <f t="shared" si="64"/>
        <v>0</v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305</v>
      </c>
      <c r="B1537" s="115">
        <f>B220-B219</f>
        <v>-575.65122491419174</v>
      </c>
      <c r="C1537" s="115">
        <f>C220-C219</f>
        <v>-606</v>
      </c>
      <c r="D1537" s="115">
        <f>D220-D219</f>
        <v>-606</v>
      </c>
      <c r="E1537" s="115">
        <f t="shared" ref="E1537:J1537" si="65">E220-E219</f>
        <v>0</v>
      </c>
      <c r="F1537" s="115">
        <f t="shared" si="65"/>
        <v>-570.54500000000507</v>
      </c>
      <c r="G1537" s="115">
        <f t="shared" si="65"/>
        <v>-589</v>
      </c>
      <c r="H1537" s="115">
        <f t="shared" si="65"/>
        <v>0</v>
      </c>
      <c r="I1537" s="115">
        <f t="shared" si="65"/>
        <v>0</v>
      </c>
      <c r="J1537" s="115">
        <f t="shared" si="65"/>
        <v>0</v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9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9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9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9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9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7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9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9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9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426</v>
      </c>
      <c r="C1547" t="s">
        <v>325</v>
      </c>
      <c r="H1547" s="39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245</v>
      </c>
      <c r="C1549" s="10" t="s">
        <v>257</v>
      </c>
      <c r="D1549" s="10" t="s">
        <v>258</v>
      </c>
      <c r="E1549" s="10" t="s">
        <v>515</v>
      </c>
      <c r="F1549" s="10" t="s">
        <v>373</v>
      </c>
      <c r="G1549" s="10" t="s">
        <v>482</v>
      </c>
      <c r="H1549" s="10" t="s">
        <v>516</v>
      </c>
      <c r="I1549" s="10" t="s">
        <v>517</v>
      </c>
      <c r="J1549" s="10" t="s">
        <v>517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295</v>
      </c>
      <c r="B1550" s="115">
        <f>B231-B230</f>
        <v>0</v>
      </c>
      <c r="C1550" s="115">
        <f>C231-C230</f>
        <v>0</v>
      </c>
      <c r="D1550" s="115">
        <f>D231-D230</f>
        <v>0</v>
      </c>
      <c r="E1550" s="115">
        <f t="shared" ref="E1550:J1550" si="66">E231-E230</f>
        <v>0</v>
      </c>
      <c r="F1550" s="115">
        <f t="shared" si="66"/>
        <v>0</v>
      </c>
      <c r="G1550" s="115">
        <f t="shared" si="66"/>
        <v>0</v>
      </c>
      <c r="H1550" s="115">
        <f t="shared" si="66"/>
        <v>0</v>
      </c>
      <c r="I1550" s="115">
        <f t="shared" si="66"/>
        <v>0</v>
      </c>
      <c r="J1550" s="115">
        <f t="shared" si="66"/>
        <v>0</v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296</v>
      </c>
      <c r="B1551" s="115">
        <f>B232-B230</f>
        <v>0</v>
      </c>
      <c r="C1551" s="115">
        <f>C232-C230</f>
        <v>0</v>
      </c>
      <c r="D1551" s="115">
        <f>D232-D230</f>
        <v>0</v>
      </c>
      <c r="E1551" s="115">
        <f t="shared" ref="E1551:J1551" si="67">E232-E230</f>
        <v>0</v>
      </c>
      <c r="F1551" s="115">
        <f t="shared" si="67"/>
        <v>0</v>
      </c>
      <c r="G1551" s="115">
        <f t="shared" si="67"/>
        <v>0</v>
      </c>
      <c r="H1551" s="115">
        <f t="shared" si="67"/>
        <v>0</v>
      </c>
      <c r="I1551" s="115">
        <f t="shared" si="67"/>
        <v>0</v>
      </c>
      <c r="J1551" s="115">
        <f t="shared" si="67"/>
        <v>0</v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297</v>
      </c>
      <c r="B1552" s="115">
        <f>B233-B230</f>
        <v>0</v>
      </c>
      <c r="C1552" s="115">
        <f>C233-C230</f>
        <v>0</v>
      </c>
      <c r="D1552" s="115">
        <f>D233-D230</f>
        <v>0</v>
      </c>
      <c r="E1552" s="115">
        <f t="shared" ref="E1552:J1552" si="68">E233-E230</f>
        <v>0</v>
      </c>
      <c r="F1552" s="115">
        <f t="shared" si="68"/>
        <v>0</v>
      </c>
      <c r="G1552" s="115">
        <f t="shared" si="68"/>
        <v>0</v>
      </c>
      <c r="H1552" s="115">
        <f t="shared" si="68"/>
        <v>0</v>
      </c>
      <c r="I1552" s="115">
        <f t="shared" si="68"/>
        <v>0</v>
      </c>
      <c r="J1552" s="115">
        <f t="shared" si="68"/>
        <v>0</v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422</v>
      </c>
      <c r="B1553" s="115">
        <f>B233-B232</f>
        <v>0</v>
      </c>
      <c r="C1553" s="115">
        <f>C233-C232</f>
        <v>0</v>
      </c>
      <c r="D1553" s="115">
        <f>D233-D232</f>
        <v>0</v>
      </c>
      <c r="E1553" s="115">
        <f t="shared" ref="E1553:J1553" si="69">E233-E232</f>
        <v>0</v>
      </c>
      <c r="F1553" s="115">
        <f t="shared" si="69"/>
        <v>0</v>
      </c>
      <c r="G1553" s="115">
        <f t="shared" si="69"/>
        <v>0</v>
      </c>
      <c r="H1553" s="115">
        <f t="shared" si="69"/>
        <v>0</v>
      </c>
      <c r="I1553" s="115">
        <f t="shared" si="69"/>
        <v>0</v>
      </c>
      <c r="J1553" s="115">
        <f t="shared" si="69"/>
        <v>0</v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423</v>
      </c>
      <c r="B1554" s="115">
        <f>B234-B230</f>
        <v>0</v>
      </c>
      <c r="C1554" s="115">
        <f>C234-C230</f>
        <v>0</v>
      </c>
      <c r="D1554" s="115">
        <f>D234-D230</f>
        <v>0</v>
      </c>
      <c r="E1554" s="115">
        <f t="shared" ref="E1554:J1554" si="70">E234-E230</f>
        <v>0</v>
      </c>
      <c r="F1554" s="115">
        <f t="shared" si="70"/>
        <v>0</v>
      </c>
      <c r="G1554" s="115">
        <f t="shared" si="70"/>
        <v>0</v>
      </c>
      <c r="H1554" s="115">
        <f t="shared" si="70"/>
        <v>0</v>
      </c>
      <c r="I1554" s="115">
        <f t="shared" si="70"/>
        <v>0</v>
      </c>
      <c r="J1554" s="115">
        <f t="shared" si="70"/>
        <v>0</v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424</v>
      </c>
      <c r="B1555" s="115">
        <f>B233-B234</f>
        <v>0</v>
      </c>
      <c r="C1555" s="115">
        <f>C233-C234</f>
        <v>0</v>
      </c>
      <c r="D1555" s="115">
        <f>D233-D234</f>
        <v>0</v>
      </c>
      <c r="E1555" s="115">
        <f t="shared" ref="E1555:J1555" si="71">E233-E234</f>
        <v>0</v>
      </c>
      <c r="F1555" s="115">
        <f t="shared" si="71"/>
        <v>0</v>
      </c>
      <c r="G1555" s="115">
        <f t="shared" si="71"/>
        <v>0</v>
      </c>
      <c r="H1555" s="115">
        <f t="shared" si="71"/>
        <v>0</v>
      </c>
      <c r="I1555" s="115">
        <f t="shared" si="71"/>
        <v>0</v>
      </c>
      <c r="J1555" s="115">
        <f t="shared" si="71"/>
        <v>0</v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298</v>
      </c>
      <c r="B1556" s="115">
        <f>B235-B230</f>
        <v>0</v>
      </c>
      <c r="C1556" s="115">
        <f>C235-C230</f>
        <v>0</v>
      </c>
      <c r="D1556" s="115">
        <f>D235-D230</f>
        <v>0</v>
      </c>
      <c r="E1556" s="115">
        <f t="shared" ref="E1556:J1556" si="72">E235-E230</f>
        <v>0</v>
      </c>
      <c r="F1556" s="115">
        <f t="shared" si="72"/>
        <v>0</v>
      </c>
      <c r="G1556" s="115">
        <f t="shared" si="72"/>
        <v>0</v>
      </c>
      <c r="H1556" s="115">
        <f t="shared" si="72"/>
        <v>0</v>
      </c>
      <c r="I1556" s="115">
        <f t="shared" si="72"/>
        <v>0</v>
      </c>
      <c r="J1556" s="115">
        <f t="shared" si="72"/>
        <v>0</v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299</v>
      </c>
      <c r="B1557" s="115">
        <f>B236-B230</f>
        <v>0</v>
      </c>
      <c r="C1557" s="115">
        <f>C236-C230</f>
        <v>0</v>
      </c>
      <c r="D1557" s="115">
        <f>D236-D230</f>
        <v>0</v>
      </c>
      <c r="E1557" s="115">
        <f t="shared" ref="E1557:J1557" si="73">E236-E230</f>
        <v>0</v>
      </c>
      <c r="F1557" s="115">
        <f t="shared" si="73"/>
        <v>0</v>
      </c>
      <c r="G1557" s="115">
        <f t="shared" si="73"/>
        <v>0</v>
      </c>
      <c r="H1557" s="115">
        <f t="shared" si="73"/>
        <v>0</v>
      </c>
      <c r="I1557" s="115">
        <f t="shared" si="73"/>
        <v>0</v>
      </c>
      <c r="J1557" s="115">
        <f t="shared" si="73"/>
        <v>0</v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300</v>
      </c>
      <c r="B1558" s="115">
        <f>B237-B230</f>
        <v>0</v>
      </c>
      <c r="C1558" s="115">
        <f>C237-C230</f>
        <v>0</v>
      </c>
      <c r="D1558" s="115">
        <f>D237-D230</f>
        <v>0</v>
      </c>
      <c r="E1558" s="115">
        <f t="shared" ref="E1558:J1558" si="74">E237-E230</f>
        <v>0</v>
      </c>
      <c r="F1558" s="115">
        <f t="shared" si="74"/>
        <v>-10879.920000001301</v>
      </c>
      <c r="G1558" s="115">
        <f t="shared" si="74"/>
        <v>0</v>
      </c>
      <c r="H1558" s="115">
        <f t="shared" si="74"/>
        <v>0</v>
      </c>
      <c r="I1558" s="115">
        <f t="shared" si="74"/>
        <v>0</v>
      </c>
      <c r="J1558" s="115">
        <f t="shared" si="74"/>
        <v>0</v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306</v>
      </c>
      <c r="B1559" s="115">
        <f>B238-B230</f>
        <v>0</v>
      </c>
      <c r="C1559" s="115">
        <f>C238-C230</f>
        <v>0</v>
      </c>
      <c r="D1559" s="115">
        <f>D238-D230</f>
        <v>0</v>
      </c>
      <c r="E1559" s="115">
        <f t="shared" ref="E1559:J1559" si="75">E238-E230</f>
        <v>0</v>
      </c>
      <c r="F1559" s="115">
        <f t="shared" si="75"/>
        <v>-10879.920000001301</v>
      </c>
      <c r="G1559" s="115">
        <f t="shared" si="75"/>
        <v>0</v>
      </c>
      <c r="H1559" s="115">
        <f t="shared" si="75"/>
        <v>0</v>
      </c>
      <c r="I1559" s="115">
        <f t="shared" si="75"/>
        <v>0</v>
      </c>
      <c r="J1559" s="115">
        <f t="shared" si="75"/>
        <v>0</v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307</v>
      </c>
      <c r="B1560" s="115">
        <f>B239-B230</f>
        <v>0</v>
      </c>
      <c r="C1560" s="115">
        <f>C239-C230</f>
        <v>0</v>
      </c>
      <c r="D1560" s="115">
        <f>D239-D230</f>
        <v>0</v>
      </c>
      <c r="E1560" s="115">
        <f t="shared" ref="E1560:J1560" si="76">E239-E230</f>
        <v>0</v>
      </c>
      <c r="F1560" s="115">
        <f t="shared" si="76"/>
        <v>-10879.920000001301</v>
      </c>
      <c r="G1560" s="115">
        <f t="shared" si="76"/>
        <v>0</v>
      </c>
      <c r="H1560" s="115">
        <f t="shared" si="76"/>
        <v>0</v>
      </c>
      <c r="I1560" s="115">
        <f t="shared" si="76"/>
        <v>0</v>
      </c>
      <c r="J1560" s="115">
        <f t="shared" si="76"/>
        <v>0</v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308</v>
      </c>
      <c r="B1561" s="115">
        <f>B240-B230</f>
        <v>0</v>
      </c>
      <c r="C1561" s="115">
        <f>C240-C230</f>
        <v>0</v>
      </c>
      <c r="D1561" s="115">
        <f>D240-D230</f>
        <v>0</v>
      </c>
      <c r="E1561" s="115">
        <f t="shared" ref="E1561:J1561" si="77">E240-E230</f>
        <v>0</v>
      </c>
      <c r="F1561" s="115">
        <f t="shared" si="77"/>
        <v>-10879.920000001301</v>
      </c>
      <c r="G1561" s="115">
        <f t="shared" si="77"/>
        <v>0</v>
      </c>
      <c r="H1561" s="115">
        <f t="shared" si="77"/>
        <v>0</v>
      </c>
      <c r="I1561" s="115">
        <f t="shared" si="77"/>
        <v>0</v>
      </c>
      <c r="J1561" s="115">
        <f t="shared" si="77"/>
        <v>0</v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309</v>
      </c>
      <c r="B1562" s="115">
        <f>B241-B230</f>
        <v>0</v>
      </c>
      <c r="C1562" s="115">
        <f>C241-C230</f>
        <v>0</v>
      </c>
      <c r="D1562" s="115">
        <f>D241-D230</f>
        <v>0</v>
      </c>
      <c r="E1562" s="115">
        <f t="shared" ref="E1562:J1562" si="78">E241-E230</f>
        <v>0</v>
      </c>
      <c r="F1562" s="115">
        <f t="shared" si="78"/>
        <v>-10879.920000001301</v>
      </c>
      <c r="G1562" s="115">
        <f t="shared" si="78"/>
        <v>0</v>
      </c>
      <c r="H1562" s="115">
        <f t="shared" si="78"/>
        <v>0</v>
      </c>
      <c r="I1562" s="115">
        <f t="shared" si="78"/>
        <v>0</v>
      </c>
      <c r="J1562" s="115">
        <f t="shared" si="78"/>
        <v>0</v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301</v>
      </c>
      <c r="B1563" s="115">
        <f>B242-B230</f>
        <v>-8316.0983649090085</v>
      </c>
      <c r="C1563" s="115">
        <f>C242-C230</f>
        <v>-8511</v>
      </c>
      <c r="D1563" s="115">
        <f>D242-D230</f>
        <v>-8511</v>
      </c>
      <c r="E1563" s="115">
        <f t="shared" ref="E1563:J1563" si="79">E242-E230</f>
        <v>-8231.5489530987925</v>
      </c>
      <c r="F1563" s="115">
        <f t="shared" si="79"/>
        <v>-8326.6880000013116</v>
      </c>
      <c r="G1563" s="115">
        <f t="shared" si="79"/>
        <v>-8241</v>
      </c>
      <c r="H1563" s="115">
        <f t="shared" si="79"/>
        <v>0</v>
      </c>
      <c r="I1563" s="115">
        <f t="shared" si="79"/>
        <v>0</v>
      </c>
      <c r="J1563" s="115">
        <f t="shared" si="79"/>
        <v>0</v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302</v>
      </c>
      <c r="B1564" s="115">
        <f>B244-B243</f>
        <v>1951.1712326347274</v>
      </c>
      <c r="C1564" s="115">
        <f>C244-C243</f>
        <v>2262</v>
      </c>
      <c r="D1564" s="115">
        <f>D244-D243</f>
        <v>2262</v>
      </c>
      <c r="E1564" s="115">
        <f t="shared" ref="E1564:J1564" si="80">E244-E243</f>
        <v>2035.0880473582379</v>
      </c>
      <c r="F1564" s="115">
        <f t="shared" si="80"/>
        <v>2001.7830000000072</v>
      </c>
      <c r="G1564" s="115">
        <f t="shared" si="80"/>
        <v>2038</v>
      </c>
      <c r="H1564" s="115">
        <f t="shared" si="80"/>
        <v>0</v>
      </c>
      <c r="I1564" s="115">
        <f t="shared" si="80"/>
        <v>0</v>
      </c>
      <c r="J1564" s="115">
        <f t="shared" si="80"/>
        <v>0</v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303</v>
      </c>
      <c r="B1565" s="115">
        <f>B247-B245</f>
        <v>-973.41818225425504</v>
      </c>
      <c r="C1565" s="115">
        <f>C247-C245</f>
        <v>-988</v>
      </c>
      <c r="D1565" s="115">
        <f>D247-D245</f>
        <v>-986</v>
      </c>
      <c r="E1565" s="115">
        <f t="shared" ref="E1565:J1565" si="81">E247-E245</f>
        <v>-948.45472065499689</v>
      </c>
      <c r="F1565" s="115">
        <f t="shared" si="81"/>
        <v>-995.56300000003102</v>
      </c>
      <c r="G1565" s="115">
        <f t="shared" si="81"/>
        <v>-979</v>
      </c>
      <c r="H1565" s="115">
        <f t="shared" si="81"/>
        <v>0</v>
      </c>
      <c r="I1565" s="115">
        <f t="shared" si="81"/>
        <v>0</v>
      </c>
      <c r="J1565" s="115">
        <f t="shared" si="81"/>
        <v>0</v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304</v>
      </c>
      <c r="B1566" s="115">
        <f>B248-B242</f>
        <v>-491.37656357751894</v>
      </c>
      <c r="C1566" s="115">
        <f>C248-C242</f>
        <v>-536</v>
      </c>
      <c r="D1566" s="115">
        <f>D248-D242</f>
        <v>-536</v>
      </c>
      <c r="E1566" s="115">
        <f t="shared" ref="E1566:J1566" si="82">E248-E242</f>
        <v>-508.82957927786538</v>
      </c>
      <c r="F1566" s="115">
        <f t="shared" si="82"/>
        <v>-502.37599999999247</v>
      </c>
      <c r="G1566" s="115">
        <f t="shared" si="82"/>
        <v>-522</v>
      </c>
      <c r="H1566" s="115">
        <f t="shared" si="82"/>
        <v>0</v>
      </c>
      <c r="I1566" s="115">
        <f t="shared" si="82"/>
        <v>0</v>
      </c>
      <c r="J1566" s="115">
        <f t="shared" si="82"/>
        <v>0</v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305</v>
      </c>
      <c r="B1567" s="115">
        <f>B250-B249</f>
        <v>-768.77292617570515</v>
      </c>
      <c r="C1567" s="115">
        <f>C250-C249</f>
        <v>-757</v>
      </c>
      <c r="D1567" s="115">
        <f>D250-D249</f>
        <v>-757</v>
      </c>
      <c r="E1567" s="115">
        <f t="shared" ref="E1567:J1567" si="83">E250-E249</f>
        <v>-628.6073605510785</v>
      </c>
      <c r="F1567" s="115">
        <f t="shared" si="83"/>
        <v>-761.74900000005232</v>
      </c>
      <c r="G1567" s="115">
        <f t="shared" si="83"/>
        <v>-787</v>
      </c>
      <c r="H1567" s="115">
        <f t="shared" si="83"/>
        <v>0</v>
      </c>
      <c r="I1567" s="115">
        <f t="shared" si="83"/>
        <v>0</v>
      </c>
      <c r="J1567" s="115">
        <f t="shared" si="83"/>
        <v>0</v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9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9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9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9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9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9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9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9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9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427</v>
      </c>
      <c r="C1577" t="s">
        <v>325</v>
      </c>
      <c r="H1577" s="39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245</v>
      </c>
      <c r="C1579" s="10" t="s">
        <v>257</v>
      </c>
      <c r="D1579" s="10" t="s">
        <v>258</v>
      </c>
      <c r="E1579" s="10" t="s">
        <v>515</v>
      </c>
      <c r="F1579" s="10" t="s">
        <v>373</v>
      </c>
      <c r="G1579" s="10" t="s">
        <v>482</v>
      </c>
      <c r="H1579" s="10" t="s">
        <v>516</v>
      </c>
      <c r="I1579" s="10" t="s">
        <v>517</v>
      </c>
      <c r="J1579" s="10" t="s">
        <v>517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295</v>
      </c>
      <c r="B1580" s="115">
        <f>B261-B260</f>
        <v>18915.264083107104</v>
      </c>
      <c r="C1580" s="115">
        <f>C261-C260</f>
        <v>20111.349600000001</v>
      </c>
      <c r="D1580" s="115">
        <f>D261-D260</f>
        <v>20120.142600000006</v>
      </c>
      <c r="E1580" s="115">
        <f t="shared" ref="E1580:J1580" si="84">E261-E260</f>
        <v>19017.663366672015</v>
      </c>
      <c r="F1580" s="115">
        <f t="shared" si="84"/>
        <v>19551.276999999594</v>
      </c>
      <c r="G1580" s="115">
        <f t="shared" si="84"/>
        <v>19004</v>
      </c>
      <c r="H1580" s="115">
        <f t="shared" si="84"/>
        <v>0</v>
      </c>
      <c r="I1580" s="115">
        <f t="shared" si="84"/>
        <v>0</v>
      </c>
      <c r="J1580" s="115">
        <f t="shared" si="84"/>
        <v>0</v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296</v>
      </c>
      <c r="B1581" s="115">
        <f>B262-B260</f>
        <v>19364.810485522787</v>
      </c>
      <c r="C1581" s="115">
        <f>C262-C260</f>
        <v>19072.896299999993</v>
      </c>
      <c r="D1581" s="115">
        <f>D262-D260</f>
        <v>19201.274099999995</v>
      </c>
      <c r="E1581" s="115">
        <f t="shared" ref="E1581:J1581" si="85">E262-E260</f>
        <v>19104.840784896282</v>
      </c>
      <c r="F1581" s="115">
        <f t="shared" si="85"/>
        <v>19396.717999999877</v>
      </c>
      <c r="G1581" s="115">
        <f t="shared" si="85"/>
        <v>18700</v>
      </c>
      <c r="H1581" s="115">
        <f t="shared" si="85"/>
        <v>0</v>
      </c>
      <c r="I1581" s="115">
        <f t="shared" si="85"/>
        <v>0</v>
      </c>
      <c r="J1581" s="115">
        <f t="shared" si="85"/>
        <v>0</v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297</v>
      </c>
      <c r="B1582" s="115">
        <f>B263-B260</f>
        <v>24586.004007827651</v>
      </c>
      <c r="C1582" s="115">
        <f>C263-C260</f>
        <v>23446.534499999994</v>
      </c>
      <c r="D1582" s="115">
        <f>D263-D260</f>
        <v>23701.531499999997</v>
      </c>
      <c r="E1582" s="115">
        <f t="shared" ref="E1582:J1582" si="86">E263-E260</f>
        <v>25480.931460652864</v>
      </c>
      <c r="F1582" s="115">
        <f t="shared" si="86"/>
        <v>25968.325999999914</v>
      </c>
      <c r="G1582" s="115">
        <f t="shared" si="86"/>
        <v>23751</v>
      </c>
      <c r="H1582" s="115">
        <f t="shared" si="86"/>
        <v>0</v>
      </c>
      <c r="I1582" s="115">
        <f t="shared" si="86"/>
        <v>0</v>
      </c>
      <c r="J1582" s="115">
        <f t="shared" si="86"/>
        <v>0</v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422</v>
      </c>
      <c r="B1583" s="115">
        <f>B263-B262</f>
        <v>5221.193522304864</v>
      </c>
      <c r="C1583" s="115">
        <f>C263-C262</f>
        <v>4373.6382000000012</v>
      </c>
      <c r="D1583" s="115">
        <f>D263-D262</f>
        <v>4500.2574000000022</v>
      </c>
      <c r="E1583" s="115">
        <f t="shared" ref="E1583:J1583" si="87">E263-E262</f>
        <v>6376.0906757565826</v>
      </c>
      <c r="F1583" s="115">
        <f t="shared" si="87"/>
        <v>6571.6080000000366</v>
      </c>
      <c r="G1583" s="115">
        <f t="shared" si="87"/>
        <v>5051</v>
      </c>
      <c r="H1583" s="115">
        <f t="shared" si="87"/>
        <v>0</v>
      </c>
      <c r="I1583" s="115">
        <f t="shared" si="87"/>
        <v>0</v>
      </c>
      <c r="J1583" s="115">
        <f t="shared" si="87"/>
        <v>0</v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423</v>
      </c>
      <c r="B1584" s="115">
        <f>B264-B260</f>
        <v>22301.111432579637</v>
      </c>
      <c r="C1584" s="115">
        <f>C264-C260</f>
        <v>21744.209699999992</v>
      </c>
      <c r="D1584" s="115">
        <f>D264-D260</f>
        <v>21931.207500000004</v>
      </c>
      <c r="E1584" s="115">
        <f t="shared" ref="E1584:J1584" si="88">E264-E260</f>
        <v>22803.530209622651</v>
      </c>
      <c r="F1584" s="115">
        <f t="shared" si="88"/>
        <v>22931.620999999883</v>
      </c>
      <c r="G1584" s="115">
        <f t="shared" si="88"/>
        <v>21496</v>
      </c>
      <c r="H1584" s="115">
        <f t="shared" si="88"/>
        <v>0</v>
      </c>
      <c r="I1584" s="115">
        <f t="shared" si="88"/>
        <v>0</v>
      </c>
      <c r="J1584" s="115">
        <f t="shared" si="88"/>
        <v>0</v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424</v>
      </c>
      <c r="B1585" s="115">
        <f>B263-B264</f>
        <v>2284.8925752480136</v>
      </c>
      <c r="C1585" s="115">
        <f>C263-C264</f>
        <v>1702.3248000000021</v>
      </c>
      <c r="D1585" s="115">
        <f>D263-D264</f>
        <v>1770.3239999999932</v>
      </c>
      <c r="E1585" s="115">
        <f t="shared" ref="E1585:J1585" si="89">E263-E264</f>
        <v>2677.4012510302127</v>
      </c>
      <c r="F1585" s="115">
        <f t="shared" si="89"/>
        <v>3036.7050000000309</v>
      </c>
      <c r="G1585" s="115">
        <f t="shared" si="89"/>
        <v>2255</v>
      </c>
      <c r="H1585" s="115">
        <f t="shared" si="89"/>
        <v>0</v>
      </c>
      <c r="I1585" s="115">
        <f t="shared" si="89"/>
        <v>0</v>
      </c>
      <c r="J1585" s="115">
        <f t="shared" si="89"/>
        <v>0</v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298</v>
      </c>
      <c r="B1586" s="115">
        <f>B265-B260</f>
        <v>-11038.86987662132</v>
      </c>
      <c r="C1586" s="115">
        <f>C265-C260</f>
        <v>-13547.082000000002</v>
      </c>
      <c r="D1586" s="115">
        <f>D265-D260</f>
        <v>-13657.287600000003</v>
      </c>
      <c r="E1586" s="115">
        <f t="shared" ref="E1586:J1586" si="90">E265-E260</f>
        <v>-11735.450340055279</v>
      </c>
      <c r="F1586" s="115">
        <f t="shared" si="90"/>
        <v>-10884.426000000065</v>
      </c>
      <c r="G1586" s="115">
        <f t="shared" si="90"/>
        <v>-10868</v>
      </c>
      <c r="H1586" s="115">
        <f t="shared" si="90"/>
        <v>0</v>
      </c>
      <c r="I1586" s="115">
        <f t="shared" si="90"/>
        <v>0</v>
      </c>
      <c r="J1586" s="115">
        <f t="shared" si="90"/>
        <v>0</v>
      </c>
      <c r="K1586" s="2"/>
      <c r="L1586" s="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299</v>
      </c>
      <c r="B1587" s="115">
        <f>B266-B260</f>
        <v>82547.195091609639</v>
      </c>
      <c r="C1587" s="115">
        <f>C266-C260</f>
        <v>82523.770499999999</v>
      </c>
      <c r="D1587" s="115">
        <f>D266-D260</f>
        <v>82561.873500000002</v>
      </c>
      <c r="E1587" s="115">
        <f t="shared" ref="E1587:J1587" si="91">E266-E260</f>
        <v>83877.688992625408</v>
      </c>
      <c r="F1587" s="115">
        <f t="shared" si="91"/>
        <v>83455.590000000055</v>
      </c>
      <c r="G1587" s="115">
        <f t="shared" si="91"/>
        <v>83911</v>
      </c>
      <c r="H1587" s="115">
        <f t="shared" si="91"/>
        <v>0</v>
      </c>
      <c r="I1587" s="115">
        <f t="shared" si="91"/>
        <v>0</v>
      </c>
      <c r="J1587" s="115">
        <f t="shared" si="91"/>
        <v>0</v>
      </c>
      <c r="K1587" s="2"/>
      <c r="L1587" s="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300</v>
      </c>
      <c r="B1588" s="115">
        <f>B267-B260</f>
        <v>-11634.045355272188</v>
      </c>
      <c r="C1588" s="115">
        <f>C267-C260</f>
        <v>-12365.889000000003</v>
      </c>
      <c r="D1588" s="115">
        <f>D267-D260</f>
        <v>-12266.821199999998</v>
      </c>
      <c r="E1588" s="115">
        <f t="shared" ref="E1588:J1588" si="92">E267-E260</f>
        <v>-11839.498345022832</v>
      </c>
      <c r="F1588" s="115">
        <f t="shared" si="92"/>
        <v>-77744.589000000124</v>
      </c>
      <c r="G1588" s="115">
        <f t="shared" si="92"/>
        <v>-11359</v>
      </c>
      <c r="H1588" s="115">
        <f t="shared" si="92"/>
        <v>0</v>
      </c>
      <c r="I1588" s="115">
        <f t="shared" si="92"/>
        <v>0</v>
      </c>
      <c r="J1588" s="115">
        <f t="shared" si="92"/>
        <v>0</v>
      </c>
      <c r="K1588" s="2"/>
      <c r="L1588" s="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306</v>
      </c>
      <c r="B1589" s="115">
        <f>B268-B260</f>
        <v>-11754.013649202185</v>
      </c>
      <c r="C1589" s="115">
        <f>C268-C260</f>
        <v>-10503.824700000012</v>
      </c>
      <c r="D1589" s="115">
        <f>D268-D260</f>
        <v>-10448.428799999994</v>
      </c>
      <c r="E1589" s="115">
        <f t="shared" ref="E1589:J1589" si="93">E268-E260</f>
        <v>-10258.575653922991</v>
      </c>
      <c r="F1589" s="115">
        <f t="shared" si="93"/>
        <v>-77744.589000000124</v>
      </c>
      <c r="G1589" s="115">
        <f t="shared" si="93"/>
        <v>-12082</v>
      </c>
      <c r="H1589" s="115">
        <f t="shared" si="93"/>
        <v>0</v>
      </c>
      <c r="I1589" s="115">
        <f t="shared" si="93"/>
        <v>0</v>
      </c>
      <c r="J1589" s="115">
        <f t="shared" si="93"/>
        <v>0</v>
      </c>
      <c r="K1589" s="2"/>
      <c r="L1589" s="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307</v>
      </c>
      <c r="B1590" s="115">
        <f>B269-B260</f>
        <v>-7817.5600749920559</v>
      </c>
      <c r="C1590" s="115">
        <f>C269-C260</f>
        <v>-7672.4787000000069</v>
      </c>
      <c r="D1590" s="115">
        <f>D269-D260</f>
        <v>-6409.803899999999</v>
      </c>
      <c r="E1590" s="115">
        <f t="shared" ref="E1590:J1590" si="94">E269-E260</f>
        <v>-7081.9071430943295</v>
      </c>
      <c r="F1590" s="115">
        <f t="shared" si="94"/>
        <v>-77744.589000000124</v>
      </c>
      <c r="G1590" s="115">
        <f t="shared" si="94"/>
        <v>-6454</v>
      </c>
      <c r="H1590" s="115">
        <f t="shared" si="94"/>
        <v>0</v>
      </c>
      <c r="I1590" s="115">
        <f t="shared" si="94"/>
        <v>0</v>
      </c>
      <c r="J1590" s="115">
        <f t="shared" si="94"/>
        <v>0</v>
      </c>
      <c r="K1590" s="2"/>
      <c r="L1590" s="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308</v>
      </c>
      <c r="B1591" s="115">
        <f>B270-B260</f>
        <v>-10670.555491848965</v>
      </c>
      <c r="C1591" s="115">
        <f>C270-C260</f>
        <v>-9642.6969000000099</v>
      </c>
      <c r="D1591" s="115">
        <f>D270-D260</f>
        <v>-10072.674599999998</v>
      </c>
      <c r="E1591" s="115">
        <f t="shared" ref="E1591:J1591" si="95">E270-E260</f>
        <v>-10042.24309284125</v>
      </c>
      <c r="F1591" s="115">
        <f t="shared" si="95"/>
        <v>-77744.589000000124</v>
      </c>
      <c r="G1591" s="115">
        <f t="shared" si="95"/>
        <v>-11057</v>
      </c>
      <c r="H1591" s="115">
        <f t="shared" si="95"/>
        <v>0</v>
      </c>
      <c r="I1591" s="115">
        <f t="shared" si="95"/>
        <v>0</v>
      </c>
      <c r="J1591" s="115">
        <f t="shared" si="95"/>
        <v>0</v>
      </c>
      <c r="K1591" s="2"/>
      <c r="L1591" s="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309</v>
      </c>
      <c r="B1592" s="115">
        <f>B271-B260</f>
        <v>-6715.5040009148943</v>
      </c>
      <c r="C1592" s="115">
        <f>C271-C260</f>
        <v>-5903.3271000000095</v>
      </c>
      <c r="D1592" s="115">
        <f>D271-D260</f>
        <v>-6110.8418999999994</v>
      </c>
      <c r="E1592" s="115">
        <f t="shared" ref="E1592:J1592" si="96">E271-E260</f>
        <v>-5967.896384927808</v>
      </c>
      <c r="F1592" s="115">
        <f t="shared" si="96"/>
        <v>-77744.589000000124</v>
      </c>
      <c r="G1592" s="115">
        <f t="shared" si="96"/>
        <v>-6228</v>
      </c>
      <c r="H1592" s="115">
        <f t="shared" si="96"/>
        <v>0</v>
      </c>
      <c r="I1592" s="115">
        <f t="shared" si="96"/>
        <v>0</v>
      </c>
      <c r="J1592" s="115">
        <f t="shared" si="96"/>
        <v>0</v>
      </c>
      <c r="K1592" s="2"/>
      <c r="L1592" s="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301</v>
      </c>
      <c r="B1593" s="115">
        <f>B272-B260</f>
        <v>-17069.761231742021</v>
      </c>
      <c r="C1593" s="115">
        <f>C272-C260</f>
        <v>-11287.574100000013</v>
      </c>
      <c r="D1593" s="115">
        <f>D272-D260</f>
        <v>-11299.591199999995</v>
      </c>
      <c r="E1593" s="115">
        <f t="shared" ref="E1593:J1593" si="97">E272-E260</f>
        <v>-12740.641192736119</v>
      </c>
      <c r="F1593" s="115">
        <f t="shared" si="97"/>
        <v>-14639.222999999976</v>
      </c>
      <c r="G1593" s="115">
        <f t="shared" si="97"/>
        <v>-12643</v>
      </c>
      <c r="H1593" s="115">
        <f t="shared" si="97"/>
        <v>0</v>
      </c>
      <c r="I1593" s="115">
        <f t="shared" si="97"/>
        <v>0</v>
      </c>
      <c r="J1593" s="115">
        <f t="shared" si="97"/>
        <v>0</v>
      </c>
      <c r="K1593" s="2"/>
      <c r="L1593" s="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302</v>
      </c>
      <c r="B1594" s="115">
        <f>B274-B273</f>
        <v>60530.879139999975</v>
      </c>
      <c r="C1594" s="115">
        <f>C274-C273</f>
        <v>63325.134299999998</v>
      </c>
      <c r="D1594" s="115">
        <f>D274-D273</f>
        <v>63324.841199999995</v>
      </c>
      <c r="E1594" s="115">
        <f t="shared" ref="E1594:J1594" si="98">E274-E273</f>
        <v>62439.203149882829</v>
      </c>
      <c r="F1594" s="115">
        <f t="shared" si="98"/>
        <v>60539.442999999643</v>
      </c>
      <c r="G1594" s="115">
        <f t="shared" si="98"/>
        <v>62424</v>
      </c>
      <c r="H1594" s="115">
        <f t="shared" si="98"/>
        <v>0</v>
      </c>
      <c r="I1594" s="115">
        <f t="shared" si="98"/>
        <v>0</v>
      </c>
      <c r="J1594" s="115">
        <f t="shared" si="98"/>
        <v>0</v>
      </c>
      <c r="K1594" s="2"/>
      <c r="L1594" s="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303</v>
      </c>
      <c r="B1595" s="115">
        <f>B277-B275</f>
        <v>-128.59902699998929</v>
      </c>
      <c r="C1595" s="115">
        <f>C277-C275</f>
        <v>-1172.1069000000061</v>
      </c>
      <c r="D1595" s="115">
        <f>D277-D275</f>
        <v>-1170.3482999999978</v>
      </c>
      <c r="E1595" s="115">
        <f t="shared" ref="E1595:J1595" si="99">E277-E275</f>
        <v>-1184.9597259000147</v>
      </c>
      <c r="F1595" s="115">
        <f t="shared" si="99"/>
        <v>-210.54399999971793</v>
      </c>
      <c r="G1595" s="115">
        <f t="shared" si="99"/>
        <v>-991</v>
      </c>
      <c r="H1595" s="115">
        <f t="shared" si="99"/>
        <v>0</v>
      </c>
      <c r="I1595" s="115">
        <f t="shared" si="99"/>
        <v>0</v>
      </c>
      <c r="J1595" s="115">
        <f t="shared" si="99"/>
        <v>0</v>
      </c>
      <c r="K1595" s="2"/>
      <c r="L1595" s="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304</v>
      </c>
      <c r="B1596" s="115">
        <f>B278-B272</f>
        <v>-18311.258299999994</v>
      </c>
      <c r="C1596" s="115">
        <f>C278-C272</f>
        <v>-19361.599799999996</v>
      </c>
      <c r="D1596" s="115">
        <f>D278-D272</f>
        <v>-19361.599800000011</v>
      </c>
      <c r="E1596" s="115">
        <f t="shared" ref="E1596:J1596" si="100">E278-E272</f>
        <v>-18600.804264325918</v>
      </c>
      <c r="F1596" s="115">
        <f t="shared" si="100"/>
        <v>-18229.952000000507</v>
      </c>
      <c r="G1596" s="115">
        <f t="shared" si="100"/>
        <v>-18612</v>
      </c>
      <c r="H1596" s="115">
        <f t="shared" si="100"/>
        <v>0</v>
      </c>
      <c r="I1596" s="115">
        <f t="shared" si="100"/>
        <v>0</v>
      </c>
      <c r="J1596" s="115">
        <f t="shared" si="100"/>
        <v>0</v>
      </c>
      <c r="K1596" s="2"/>
      <c r="L1596" s="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305</v>
      </c>
      <c r="B1597" s="115">
        <f>B280-B279</f>
        <v>-131.47529319499154</v>
      </c>
      <c r="C1597" s="115">
        <f>C280-C279</f>
        <v>-890.14470000000438</v>
      </c>
      <c r="D1597" s="115">
        <f>D280-D279</f>
        <v>-890.14470000000438</v>
      </c>
      <c r="E1597" s="115">
        <f t="shared" ref="E1597:J1597" si="101">E280-E279</f>
        <v>-846.39043610011868</v>
      </c>
      <c r="F1597" s="115">
        <f t="shared" si="101"/>
        <v>-204.73199999980716</v>
      </c>
      <c r="G1597" s="115">
        <f t="shared" si="101"/>
        <v>-794</v>
      </c>
      <c r="H1597" s="115">
        <f t="shared" si="101"/>
        <v>0</v>
      </c>
      <c r="I1597" s="115">
        <f t="shared" si="101"/>
        <v>0</v>
      </c>
      <c r="J1597" s="115">
        <f t="shared" si="101"/>
        <v>0</v>
      </c>
      <c r="K1597" s="2"/>
      <c r="L1597" s="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8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8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20"/>
    </row>
    <row r="1601" spans="1:10">
      <c r="H1601" s="120"/>
    </row>
    <row r="1602" spans="1:10">
      <c r="H1602" s="120"/>
    </row>
    <row r="1603" spans="1:10">
      <c r="H1603" s="120"/>
    </row>
    <row r="1604" spans="1:10">
      <c r="H1604" s="120"/>
    </row>
    <row r="1605" spans="1:10">
      <c r="H1605" s="120"/>
    </row>
    <row r="1606" spans="1:10">
      <c r="H1606" s="120"/>
    </row>
    <row r="1607" spans="1:10">
      <c r="A1607" t="s">
        <v>428</v>
      </c>
      <c r="H1607" s="120"/>
    </row>
    <row r="1608" spans="1:10">
      <c r="A1608" s="2"/>
      <c r="B1608" s="10"/>
      <c r="C1608" s="10"/>
      <c r="D1608" s="10"/>
      <c r="E1608" s="10"/>
      <c r="F1608" s="10"/>
      <c r="G1608" s="10"/>
      <c r="H1608" s="10"/>
    </row>
    <row r="1609" spans="1:10">
      <c r="A1609" s="2"/>
      <c r="B1609" s="10" t="s">
        <v>245</v>
      </c>
      <c r="C1609" s="10" t="s">
        <v>257</v>
      </c>
      <c r="D1609" s="10" t="s">
        <v>258</v>
      </c>
      <c r="E1609" s="10" t="s">
        <v>515</v>
      </c>
      <c r="F1609" s="10" t="s">
        <v>373</v>
      </c>
      <c r="G1609" s="10" t="s">
        <v>482</v>
      </c>
      <c r="H1609" s="10" t="s">
        <v>516</v>
      </c>
      <c r="I1609" s="10" t="s">
        <v>517</v>
      </c>
      <c r="J1609" s="10" t="s">
        <v>517</v>
      </c>
    </row>
    <row r="1610" spans="1:10">
      <c r="A1610" s="2" t="s">
        <v>295</v>
      </c>
      <c r="B1610" s="115">
        <f>B291-B290</f>
        <v>-405.37097200003336</v>
      </c>
      <c r="C1610" s="115">
        <f>C291-C290</f>
        <v>504.13199999999779</v>
      </c>
      <c r="D1610" s="115">
        <f>D291-D290</f>
        <v>507.94230000000971</v>
      </c>
      <c r="E1610" s="115">
        <f t="shared" ref="E1610:J1610" si="102">E291-E290</f>
        <v>-100.43560256171622</v>
      </c>
      <c r="F1610" s="115">
        <f t="shared" si="102"/>
        <v>-24.393000000018219</v>
      </c>
      <c r="G1610" s="115">
        <f t="shared" si="102"/>
        <v>-108</v>
      </c>
      <c r="H1610" s="115">
        <f t="shared" si="102"/>
        <v>0</v>
      </c>
      <c r="I1610" s="115">
        <f t="shared" si="102"/>
        <v>0</v>
      </c>
      <c r="J1610" s="115">
        <f t="shared" si="102"/>
        <v>0</v>
      </c>
    </row>
    <row r="1611" spans="1:10">
      <c r="A1611" s="2" t="s">
        <v>296</v>
      </c>
      <c r="B1611" s="115">
        <f>B292-B290</f>
        <v>6197.4568829997443</v>
      </c>
      <c r="C1611" s="115">
        <f>C292-C290</f>
        <v>6900.1601999999912</v>
      </c>
      <c r="D1611" s="115">
        <f>D292-D290</f>
        <v>6942.0734999999986</v>
      </c>
      <c r="E1611" s="115">
        <f t="shared" ref="E1611:J1611" si="103">E292-E290</f>
        <v>6585.5913626223482</v>
      </c>
      <c r="F1611" s="115">
        <f t="shared" si="103"/>
        <v>6799.3390000001455</v>
      </c>
      <c r="G1611" s="115">
        <f t="shared" si="103"/>
        <v>7543</v>
      </c>
      <c r="H1611" s="115">
        <f t="shared" si="103"/>
        <v>0</v>
      </c>
      <c r="I1611" s="115">
        <f t="shared" si="103"/>
        <v>0</v>
      </c>
      <c r="J1611" s="115">
        <f t="shared" si="103"/>
        <v>0</v>
      </c>
    </row>
    <row r="1612" spans="1:10">
      <c r="A1612" s="2" t="s">
        <v>297</v>
      </c>
      <c r="B1612" s="115">
        <f>B293-B290</f>
        <v>6421.6280599997845</v>
      </c>
      <c r="C1612" s="115">
        <f>C293-C290</f>
        <v>7514.2046999999948</v>
      </c>
      <c r="D1612" s="115">
        <f>D293-D290</f>
        <v>7522.9976999999999</v>
      </c>
      <c r="E1612" s="115">
        <f t="shared" ref="E1612:J1612" si="104">E293-E290</f>
        <v>7908.0123132445588</v>
      </c>
      <c r="F1612" s="115">
        <f t="shared" si="104"/>
        <v>7439.9940000001443</v>
      </c>
      <c r="G1612" s="115">
        <f t="shared" si="104"/>
        <v>6631</v>
      </c>
      <c r="H1612" s="115">
        <f t="shared" si="104"/>
        <v>0</v>
      </c>
      <c r="I1612" s="115">
        <f t="shared" si="104"/>
        <v>0</v>
      </c>
      <c r="J1612" s="115">
        <f t="shared" si="104"/>
        <v>0</v>
      </c>
    </row>
    <row r="1613" spans="1:10">
      <c r="A1613" s="2" t="s">
        <v>422</v>
      </c>
      <c r="B1613" s="115">
        <f>B293-B292</f>
        <v>224.17117700004019</v>
      </c>
      <c r="C1613" s="115">
        <f>C293-C292</f>
        <v>614.04450000000361</v>
      </c>
      <c r="D1613" s="115">
        <f>D293-D292</f>
        <v>580.92420000000129</v>
      </c>
      <c r="E1613" s="115">
        <f t="shared" ref="E1613:J1613" si="105">E293-E292</f>
        <v>1322.4209506222105</v>
      </c>
      <c r="F1613" s="115">
        <f t="shared" si="105"/>
        <v>640.65499999999884</v>
      </c>
      <c r="G1613" s="115">
        <f t="shared" si="105"/>
        <v>-912</v>
      </c>
      <c r="H1613" s="115">
        <f t="shared" si="105"/>
        <v>0</v>
      </c>
      <c r="I1613" s="115">
        <f t="shared" si="105"/>
        <v>0</v>
      </c>
      <c r="J1613" s="115">
        <f t="shared" si="105"/>
        <v>0</v>
      </c>
    </row>
    <row r="1614" spans="1:10">
      <c r="A1614" s="2" t="s">
        <v>423</v>
      </c>
      <c r="B1614" s="115">
        <f>B294-B290</f>
        <v>6370.8576229997998</v>
      </c>
      <c r="C1614" s="115">
        <f>C294-C290</f>
        <v>7256.5697999999902</v>
      </c>
      <c r="D1614" s="115">
        <f>D294-D290</f>
        <v>7305.8106000000116</v>
      </c>
      <c r="E1614" s="115">
        <f t="shared" ref="E1614:J1614" si="106">E294-E290</f>
        <v>7225.3169394542492</v>
      </c>
      <c r="F1614" s="115">
        <f t="shared" si="106"/>
        <v>7171.0950000002413</v>
      </c>
      <c r="G1614" s="115">
        <f t="shared" si="106"/>
        <v>6215</v>
      </c>
      <c r="H1614" s="115">
        <f t="shared" si="106"/>
        <v>0</v>
      </c>
      <c r="I1614" s="115">
        <f t="shared" si="106"/>
        <v>0</v>
      </c>
      <c r="J1614" s="115">
        <f t="shared" si="106"/>
        <v>0</v>
      </c>
    </row>
    <row r="1615" spans="1:10">
      <c r="A1615" s="2" t="s">
        <v>424</v>
      </c>
      <c r="B1615" s="115">
        <f>B293-B294</f>
        <v>50.770436999984668</v>
      </c>
      <c r="C1615" s="115">
        <f>C293-C294</f>
        <v>257.63490000000456</v>
      </c>
      <c r="D1615" s="115">
        <f>D293-D294</f>
        <v>217.18709999998828</v>
      </c>
      <c r="E1615" s="115">
        <f t="shared" ref="E1615:J1615" si="107">E293-E294</f>
        <v>682.69537379030953</v>
      </c>
      <c r="F1615" s="115">
        <f t="shared" si="107"/>
        <v>268.89899999990303</v>
      </c>
      <c r="G1615" s="115">
        <f t="shared" si="107"/>
        <v>416</v>
      </c>
      <c r="H1615" s="115">
        <f t="shared" si="107"/>
        <v>0</v>
      </c>
      <c r="I1615" s="115">
        <f t="shared" si="107"/>
        <v>0</v>
      </c>
      <c r="J1615" s="115">
        <f t="shared" si="107"/>
        <v>0</v>
      </c>
    </row>
    <row r="1616" spans="1:10">
      <c r="A1616" s="2" t="s">
        <v>298</v>
      </c>
      <c r="B1616" s="115">
        <f>B295-B290</f>
        <v>-6290.918063000332</v>
      </c>
      <c r="C1616" s="115">
        <f>C295-C290</f>
        <v>-8112.4218000000037</v>
      </c>
      <c r="D1616" s="115">
        <f>D295-D290</f>
        <v>-8128.2491999999984</v>
      </c>
      <c r="E1616" s="115">
        <f t="shared" ref="E1616:J1616" si="108">E295-E290</f>
        <v>-6830.4744029793801</v>
      </c>
      <c r="F1616" s="115">
        <f t="shared" si="108"/>
        <v>-6620.6630000002115</v>
      </c>
      <c r="G1616" s="115">
        <f t="shared" si="108"/>
        <v>-6423</v>
      </c>
      <c r="H1616" s="115">
        <f t="shared" si="108"/>
        <v>0</v>
      </c>
      <c r="I1616" s="115">
        <f t="shared" si="108"/>
        <v>0</v>
      </c>
      <c r="J1616" s="115">
        <f t="shared" si="108"/>
        <v>0</v>
      </c>
    </row>
    <row r="1617" spans="1:10">
      <c r="A1617" s="2" t="s">
        <v>299</v>
      </c>
      <c r="B1617" s="115">
        <f>B296-B290</f>
        <v>78315.086707999581</v>
      </c>
      <c r="C1617" s="115">
        <f>C296-C290</f>
        <v>79122.931200000006</v>
      </c>
      <c r="D1617" s="115">
        <f>D296-D290</f>
        <v>79134.948300000018</v>
      </c>
      <c r="E1617" s="115">
        <f t="shared" ref="E1617:J1617" si="109">E296-E290</f>
        <v>79545.053409443106</v>
      </c>
      <c r="F1617" s="115">
        <f t="shared" si="109"/>
        <v>78996.242000000784</v>
      </c>
      <c r="G1617" s="115">
        <f t="shared" si="109"/>
        <v>79506</v>
      </c>
      <c r="H1617" s="115">
        <f t="shared" si="109"/>
        <v>0</v>
      </c>
      <c r="I1617" s="115">
        <f t="shared" si="109"/>
        <v>0</v>
      </c>
      <c r="J1617" s="115">
        <f t="shared" si="109"/>
        <v>0</v>
      </c>
    </row>
    <row r="1618" spans="1:10">
      <c r="A1618" s="2" t="s">
        <v>300</v>
      </c>
      <c r="B1618" s="115">
        <f>B297-B290</f>
        <v>-14709.388924000181</v>
      </c>
      <c r="C1618" s="115">
        <f>C297-C290</f>
        <v>-14377.727400000003</v>
      </c>
      <c r="D1618" s="115">
        <f>D297-D290</f>
        <v>-14367.761999999995</v>
      </c>
      <c r="E1618" s="115">
        <f t="shared" ref="E1618:J1618" si="110">E297-E290</f>
        <v>-14566.844239012011</v>
      </c>
      <c r="F1618" s="115">
        <f t="shared" si="110"/>
        <v>-55209.465000000047</v>
      </c>
      <c r="G1618" s="115">
        <f t="shared" si="110"/>
        <v>-14010</v>
      </c>
      <c r="H1618" s="115">
        <f t="shared" si="110"/>
        <v>0</v>
      </c>
      <c r="I1618" s="115">
        <f t="shared" si="110"/>
        <v>0</v>
      </c>
      <c r="J1618" s="115">
        <f t="shared" si="110"/>
        <v>0</v>
      </c>
    </row>
    <row r="1619" spans="1:10">
      <c r="A1619" s="2" t="s">
        <v>306</v>
      </c>
      <c r="B1619" s="115">
        <f>B298-B290</f>
        <v>-10985.102862000153</v>
      </c>
      <c r="C1619" s="115">
        <f>C298-C290</f>
        <v>-8138.2146000000066</v>
      </c>
      <c r="D1619" s="115">
        <f>D298-D290</f>
        <v>-8144.9558999999863</v>
      </c>
      <c r="E1619" s="115">
        <f t="shared" ref="E1619:J1619" si="111">E298-E290</f>
        <v>-8062.854894600292</v>
      </c>
      <c r="F1619" s="115">
        <f t="shared" si="111"/>
        <v>-55209.465000000047</v>
      </c>
      <c r="G1619" s="115">
        <f t="shared" si="111"/>
        <v>-9606</v>
      </c>
      <c r="H1619" s="115">
        <f t="shared" si="111"/>
        <v>0</v>
      </c>
      <c r="I1619" s="115">
        <f t="shared" si="111"/>
        <v>0</v>
      </c>
      <c r="J1619" s="115">
        <f t="shared" si="111"/>
        <v>0</v>
      </c>
    </row>
    <row r="1620" spans="1:10">
      <c r="A1620" s="2" t="s">
        <v>307</v>
      </c>
      <c r="B1620" s="115">
        <f>B299-B290</f>
        <v>-6271.9237800000992</v>
      </c>
      <c r="C1620" s="115">
        <f>C299-C290</f>
        <v>-6130.7727000000014</v>
      </c>
      <c r="D1620" s="115">
        <f>D299-D290</f>
        <v>-5192.5595999999932</v>
      </c>
      <c r="E1620" s="115">
        <f t="shared" ref="E1620:J1620" si="112">E299-E290</f>
        <v>-5721.4243741610553</v>
      </c>
      <c r="F1620" s="115">
        <f t="shared" si="112"/>
        <v>-55209.465000000047</v>
      </c>
      <c r="G1620" s="115">
        <f t="shared" si="112"/>
        <v>-5207</v>
      </c>
      <c r="H1620" s="115">
        <f t="shared" si="112"/>
        <v>0</v>
      </c>
      <c r="I1620" s="115">
        <f t="shared" si="112"/>
        <v>0</v>
      </c>
      <c r="J1620" s="115">
        <f t="shared" si="112"/>
        <v>0</v>
      </c>
    </row>
    <row r="1621" spans="1:10">
      <c r="A1621" s="2" t="s">
        <v>308</v>
      </c>
      <c r="B1621" s="115">
        <f>B300-B290</f>
        <v>-8798.4021940000894</v>
      </c>
      <c r="C1621" s="115">
        <f>C300-C290</f>
        <v>-8065.5258000000103</v>
      </c>
      <c r="D1621" s="115">
        <f>D300-D290</f>
        <v>-8350.7120999999897</v>
      </c>
      <c r="E1621" s="115">
        <f t="shared" ref="E1621:J1621" si="113">E300-E290</f>
        <v>-8254.3534204467214</v>
      </c>
      <c r="F1621" s="115">
        <f t="shared" si="113"/>
        <v>-55209.465000000047</v>
      </c>
      <c r="G1621" s="115">
        <f t="shared" si="113"/>
        <v>-9048</v>
      </c>
      <c r="H1621" s="115">
        <f t="shared" si="113"/>
        <v>0</v>
      </c>
      <c r="I1621" s="115">
        <f t="shared" si="113"/>
        <v>0</v>
      </c>
      <c r="J1621" s="115">
        <f t="shared" si="113"/>
        <v>0</v>
      </c>
    </row>
    <row r="1622" spans="1:10">
      <c r="A1622" s="2" t="s">
        <v>309</v>
      </c>
      <c r="B1622" s="115">
        <f>B301-B290</f>
        <v>-5785.6759560000282</v>
      </c>
      <c r="C1622" s="115">
        <f>C301-C290</f>
        <v>-5204.2836000000098</v>
      </c>
      <c r="D1622" s="115">
        <f>D301-D290</f>
        <v>-5312.7305999999953</v>
      </c>
      <c r="E1622" s="115">
        <f t="shared" ref="E1622:J1622" si="114">E301-E290</f>
        <v>-5165.0306461699947</v>
      </c>
      <c r="F1622" s="115">
        <f t="shared" si="114"/>
        <v>-55209.465000000047</v>
      </c>
      <c r="G1622" s="115">
        <f t="shared" si="114"/>
        <v>-5406</v>
      </c>
      <c r="H1622" s="115">
        <f t="shared" si="114"/>
        <v>0</v>
      </c>
      <c r="I1622" s="115">
        <f t="shared" si="114"/>
        <v>0</v>
      </c>
      <c r="J1622" s="115">
        <f t="shared" si="114"/>
        <v>0</v>
      </c>
    </row>
    <row r="1623" spans="1:10">
      <c r="A1623" s="2" t="s">
        <v>301</v>
      </c>
      <c r="B1623" s="115">
        <f>B302-B290</f>
        <v>-11617.948439000036</v>
      </c>
      <c r="C1623" s="115">
        <f>C302-C290</f>
        <v>-8147.0076000000117</v>
      </c>
      <c r="D1623" s="115">
        <f>D302-D290</f>
        <v>-8158.7315999999846</v>
      </c>
      <c r="E1623" s="115">
        <f t="shared" ref="E1623:J1623" si="115">E302-E290</f>
        <v>-7808.6231142087126</v>
      </c>
      <c r="F1623" s="115">
        <f t="shared" si="115"/>
        <v>-10335.240000000398</v>
      </c>
      <c r="G1623" s="115">
        <f t="shared" si="115"/>
        <v>-7661</v>
      </c>
      <c r="H1623" s="115">
        <f t="shared" si="115"/>
        <v>0</v>
      </c>
      <c r="I1623" s="115">
        <f t="shared" si="115"/>
        <v>0</v>
      </c>
      <c r="J1623" s="115">
        <f t="shared" si="115"/>
        <v>0</v>
      </c>
    </row>
    <row r="1624" spans="1:10">
      <c r="A1624" s="2" t="s">
        <v>302</v>
      </c>
      <c r="B1624" s="115">
        <f>B304-B303</f>
        <v>43046.197719999916</v>
      </c>
      <c r="C1624" s="115">
        <f>C304-C303</f>
        <v>45710.117399999996</v>
      </c>
      <c r="D1624" s="115">
        <f>D304-D303</f>
        <v>45709.824299999993</v>
      </c>
      <c r="E1624" s="115">
        <f t="shared" ref="E1624:J1624" si="116">E304-E303</f>
        <v>44950.355650157813</v>
      </c>
      <c r="F1624" s="115">
        <f t="shared" si="116"/>
        <v>43050.834000000781</v>
      </c>
      <c r="G1624" s="115">
        <f t="shared" si="116"/>
        <v>45083</v>
      </c>
      <c r="H1624" s="115">
        <f t="shared" si="116"/>
        <v>0</v>
      </c>
      <c r="I1624" s="115">
        <f t="shared" si="116"/>
        <v>0</v>
      </c>
      <c r="J1624" s="115">
        <f t="shared" si="116"/>
        <v>0</v>
      </c>
    </row>
    <row r="1625" spans="1:10">
      <c r="A1625" s="2" t="s">
        <v>303</v>
      </c>
      <c r="B1625" s="115">
        <f>B307-B305</f>
        <v>-130.60374799993588</v>
      </c>
      <c r="C1625" s="115">
        <f>C307-C305</f>
        <v>-883.98960000000079</v>
      </c>
      <c r="D1625" s="115">
        <f>D307-D305</f>
        <v>-882.23099999999249</v>
      </c>
      <c r="E1625" s="115">
        <f t="shared" ref="E1625:J1625" si="117">E307-E305</f>
        <v>-1187.4385179241217</v>
      </c>
      <c r="F1625" s="115">
        <f t="shared" si="117"/>
        <v>-201.61899999979505</v>
      </c>
      <c r="G1625" s="115">
        <f t="shared" si="117"/>
        <v>-949</v>
      </c>
      <c r="H1625" s="115">
        <f t="shared" si="117"/>
        <v>0</v>
      </c>
      <c r="I1625" s="115">
        <f t="shared" si="117"/>
        <v>0</v>
      </c>
      <c r="J1625" s="115">
        <f t="shared" si="117"/>
        <v>0</v>
      </c>
    </row>
    <row r="1626" spans="1:10">
      <c r="A1626" s="2" t="s">
        <v>304</v>
      </c>
      <c r="B1626" s="115">
        <f>B308-B302</f>
        <v>2.0479500000001281</v>
      </c>
      <c r="C1626" s="115">
        <f>C308-C302</f>
        <v>-1076.263199999994</v>
      </c>
      <c r="D1626" s="115">
        <f>D308-D302</f>
        <v>-1075.9701000000132</v>
      </c>
      <c r="E1626" s="115">
        <f t="shared" ref="E1626:J1626" si="118">E308-E302</f>
        <v>-369.13008963198808</v>
      </c>
      <c r="F1626" s="115">
        <f t="shared" si="118"/>
        <v>0</v>
      </c>
      <c r="G1626" s="115">
        <f t="shared" si="118"/>
        <v>-528</v>
      </c>
      <c r="H1626" s="115">
        <f t="shared" si="118"/>
        <v>0</v>
      </c>
      <c r="I1626" s="115">
        <f t="shared" si="118"/>
        <v>0</v>
      </c>
      <c r="J1626" s="115">
        <f t="shared" si="118"/>
        <v>0</v>
      </c>
    </row>
    <row r="1627" spans="1:10">
      <c r="A1627" s="2" t="s">
        <v>305</v>
      </c>
      <c r="B1627" s="115">
        <f>B310-B309</f>
        <v>-130.49553499999456</v>
      </c>
      <c r="C1627" s="115">
        <f>C310-C309</f>
        <v>-808.66290000000299</v>
      </c>
      <c r="D1627" s="115">
        <f>D310-D309</f>
        <v>-808.66290000000299</v>
      </c>
      <c r="E1627" s="115">
        <f t="shared" ref="E1627:J1627" si="119">E310-E309</f>
        <v>-837.52327862627135</v>
      </c>
      <c r="F1627" s="115">
        <f t="shared" si="119"/>
        <v>-201.64199999980337</v>
      </c>
      <c r="G1627" s="115">
        <f t="shared" si="119"/>
        <v>-792</v>
      </c>
      <c r="H1627" s="115">
        <f t="shared" si="119"/>
        <v>0</v>
      </c>
      <c r="I1627" s="115">
        <f t="shared" si="119"/>
        <v>0</v>
      </c>
      <c r="J1627" s="115">
        <f t="shared" si="119"/>
        <v>0</v>
      </c>
    </row>
    <row r="1628" spans="1:10">
      <c r="H1628" s="120"/>
    </row>
    <row r="1629" spans="1:10">
      <c r="H1629" s="120"/>
    </row>
    <row r="1630" spans="1:10">
      <c r="H1630" s="120"/>
    </row>
    <row r="1631" spans="1:10">
      <c r="H1631" s="120"/>
    </row>
    <row r="1632" spans="1:10">
      <c r="H1632" s="120"/>
    </row>
    <row r="1633" spans="1:10">
      <c r="H1633" s="120"/>
    </row>
    <row r="1634" spans="1:10">
      <c r="H1634" s="120"/>
    </row>
    <row r="1635" spans="1:10">
      <c r="H1635" s="120"/>
    </row>
    <row r="1636" spans="1:10">
      <c r="H1636" s="120"/>
    </row>
    <row r="1637" spans="1:10">
      <c r="A1637" t="s">
        <v>311</v>
      </c>
      <c r="H1637" s="120"/>
    </row>
    <row r="1638" spans="1:10">
      <c r="A1638" s="2"/>
      <c r="B1638" s="10"/>
      <c r="C1638" s="10"/>
      <c r="D1638" s="10"/>
      <c r="E1638" s="10"/>
      <c r="F1638" s="10"/>
      <c r="G1638" s="10"/>
      <c r="H1638" s="10"/>
    </row>
    <row r="1639" spans="1:10">
      <c r="A1639" s="2"/>
      <c r="B1639" s="10" t="s">
        <v>245</v>
      </c>
      <c r="C1639" s="10" t="s">
        <v>257</v>
      </c>
      <c r="D1639" s="10" t="s">
        <v>258</v>
      </c>
      <c r="E1639" s="10" t="s">
        <v>515</v>
      </c>
      <c r="F1639" s="10" t="s">
        <v>373</v>
      </c>
      <c r="G1639" s="10" t="s">
        <v>482</v>
      </c>
      <c r="H1639" s="10" t="s">
        <v>516</v>
      </c>
      <c r="I1639" s="10" t="s">
        <v>517</v>
      </c>
      <c r="J1639" s="10" t="s">
        <v>517</v>
      </c>
    </row>
    <row r="1640" spans="1:10">
      <c r="A1640" s="2" t="s">
        <v>295</v>
      </c>
      <c r="B1640" s="115">
        <f>B321-B320</f>
        <v>19320.635055107134</v>
      </c>
      <c r="C1640" s="115">
        <f>C321-C320</f>
        <v>19607.217600000004</v>
      </c>
      <c r="D1640" s="115">
        <f>D321-D320</f>
        <v>19612.2003</v>
      </c>
      <c r="E1640" s="115">
        <f t="shared" ref="E1640:J1640" si="120">E321-E320</f>
        <v>19118.098969233924</v>
      </c>
      <c r="F1640" s="115">
        <f t="shared" si="120"/>
        <v>19575.692999999996</v>
      </c>
      <c r="G1640" s="115">
        <f t="shared" si="120"/>
        <v>19111</v>
      </c>
      <c r="H1640" s="115">
        <f t="shared" si="120"/>
        <v>0</v>
      </c>
      <c r="I1640" s="115">
        <f t="shared" si="120"/>
        <v>0</v>
      </c>
      <c r="J1640" s="115">
        <f t="shared" si="120"/>
        <v>0</v>
      </c>
    </row>
    <row r="1641" spans="1:10">
      <c r="A1641" s="2" t="s">
        <v>296</v>
      </c>
      <c r="B1641" s="115">
        <f>B322-B320</f>
        <v>13167.353602523046</v>
      </c>
      <c r="C1641" s="115">
        <f>C322-C320</f>
        <v>12172.736100000002</v>
      </c>
      <c r="D1641" s="115">
        <f>D322-D320</f>
        <v>12259.2006</v>
      </c>
      <c r="E1641" s="115">
        <f t="shared" ref="E1641:J1641" si="121">E322-E320</f>
        <v>12519.249422273995</v>
      </c>
      <c r="F1641" s="115">
        <f t="shared" si="121"/>
        <v>12597.44899999999</v>
      </c>
      <c r="G1641" s="115">
        <f t="shared" si="121"/>
        <v>11157</v>
      </c>
      <c r="H1641" s="115">
        <f t="shared" si="121"/>
        <v>0</v>
      </c>
      <c r="I1641" s="115">
        <f t="shared" si="121"/>
        <v>0</v>
      </c>
      <c r="J1641" s="115">
        <f t="shared" si="121"/>
        <v>0</v>
      </c>
    </row>
    <row r="1642" spans="1:10">
      <c r="A1642" s="2" t="s">
        <v>297</v>
      </c>
      <c r="B1642" s="115">
        <f>B323-B320</f>
        <v>18164.375947827863</v>
      </c>
      <c r="C1642" s="115">
        <f>C323-C320</f>
        <v>15932.3298</v>
      </c>
      <c r="D1642" s="115">
        <f>D323-D320</f>
        <v>16178.533800000001</v>
      </c>
      <c r="E1642" s="115">
        <f t="shared" ref="E1642:J1642" si="122">E323-E320</f>
        <v>17572.919147408411</v>
      </c>
      <c r="F1642" s="115">
        <f t="shared" si="122"/>
        <v>18528.229999999847</v>
      </c>
      <c r="G1642" s="115">
        <f t="shared" si="122"/>
        <v>17119</v>
      </c>
      <c r="H1642" s="115">
        <f t="shared" si="122"/>
        <v>0</v>
      </c>
      <c r="I1642" s="115">
        <f t="shared" si="122"/>
        <v>0</v>
      </c>
      <c r="J1642" s="115">
        <f t="shared" si="122"/>
        <v>0</v>
      </c>
    </row>
    <row r="1643" spans="1:10">
      <c r="A1643" s="2" t="s">
        <v>422</v>
      </c>
      <c r="B1643" s="115">
        <f>B323-B322</f>
        <v>4997.0223453048166</v>
      </c>
      <c r="C1643" s="115">
        <f>C323-C322</f>
        <v>3759.5936999999976</v>
      </c>
      <c r="D1643" s="115">
        <f>D323-D322</f>
        <v>3919.3332000000009</v>
      </c>
      <c r="E1643" s="115">
        <f t="shared" ref="E1643:J1643" si="123">E323-E322</f>
        <v>5053.6697251344158</v>
      </c>
      <c r="F1643" s="115">
        <f t="shared" si="123"/>
        <v>5930.7809999998572</v>
      </c>
      <c r="G1643" s="115">
        <f t="shared" si="123"/>
        <v>5962</v>
      </c>
      <c r="H1643" s="115">
        <f t="shared" si="123"/>
        <v>0</v>
      </c>
      <c r="I1643" s="115">
        <f t="shared" si="123"/>
        <v>0</v>
      </c>
      <c r="J1643" s="115">
        <f t="shared" si="123"/>
        <v>0</v>
      </c>
    </row>
    <row r="1644" spans="1:10">
      <c r="A1644" s="2" t="s">
        <v>423</v>
      </c>
      <c r="B1644" s="115">
        <f>B324-B320</f>
        <v>15930.253809579826</v>
      </c>
      <c r="C1644" s="115">
        <f>C324-C320</f>
        <v>14487.639900000002</v>
      </c>
      <c r="D1644" s="115">
        <f>D324-D320</f>
        <v>14625.396899999996</v>
      </c>
      <c r="E1644" s="115">
        <f t="shared" ref="E1644:J1644" si="124">E324-E320</f>
        <v>15578.213270168479</v>
      </c>
      <c r="F1644" s="115">
        <f t="shared" si="124"/>
        <v>15760.480999999916</v>
      </c>
      <c r="G1644" s="115">
        <f t="shared" si="124"/>
        <v>15279</v>
      </c>
      <c r="H1644" s="115">
        <f t="shared" si="124"/>
        <v>0</v>
      </c>
      <c r="I1644" s="115">
        <f t="shared" si="124"/>
        <v>0</v>
      </c>
      <c r="J1644" s="115">
        <f t="shared" si="124"/>
        <v>0</v>
      </c>
    </row>
    <row r="1645" spans="1:10">
      <c r="A1645" s="2" t="s">
        <v>424</v>
      </c>
      <c r="B1645" s="115">
        <f>B323-B324</f>
        <v>2234.1221382480362</v>
      </c>
      <c r="C1645" s="115">
        <f>C323-C324</f>
        <v>1444.6898999999976</v>
      </c>
      <c r="D1645" s="115">
        <f>D323-D324</f>
        <v>1553.136900000005</v>
      </c>
      <c r="E1645" s="115">
        <f t="shared" ref="E1645:J1645" si="125">E323-E324</f>
        <v>1994.7058772399323</v>
      </c>
      <c r="F1645" s="115">
        <f t="shared" si="125"/>
        <v>2767.7489999999307</v>
      </c>
      <c r="G1645" s="115">
        <f t="shared" si="125"/>
        <v>1840</v>
      </c>
      <c r="H1645" s="115">
        <f t="shared" si="125"/>
        <v>0</v>
      </c>
      <c r="I1645" s="115">
        <f t="shared" si="125"/>
        <v>0</v>
      </c>
      <c r="J1645" s="115">
        <f t="shared" si="125"/>
        <v>0</v>
      </c>
    </row>
    <row r="1646" spans="1:10">
      <c r="A1646" s="2" t="s">
        <v>298</v>
      </c>
      <c r="B1646" s="115">
        <f>B325-B320</f>
        <v>-4747.9518136209954</v>
      </c>
      <c r="C1646" s="115">
        <f>C325-C320</f>
        <v>-5434.6602000000003</v>
      </c>
      <c r="D1646" s="115">
        <f>D325-D320</f>
        <v>-5529.0384000000031</v>
      </c>
      <c r="E1646" s="115">
        <f t="shared" ref="E1646:J1646" si="126">E325-E320</f>
        <v>-4904.9759370761203</v>
      </c>
      <c r="F1646" s="115">
        <f t="shared" si="126"/>
        <v>-4263.7490000000616</v>
      </c>
      <c r="G1646" s="115">
        <f t="shared" si="126"/>
        <v>-4446</v>
      </c>
      <c r="H1646" s="115">
        <f t="shared" si="126"/>
        <v>0</v>
      </c>
      <c r="I1646" s="115">
        <f t="shared" si="126"/>
        <v>0</v>
      </c>
      <c r="J1646" s="115">
        <f t="shared" si="126"/>
        <v>0</v>
      </c>
    </row>
    <row r="1647" spans="1:10">
      <c r="A1647" s="2" t="s">
        <v>299</v>
      </c>
      <c r="B1647" s="115">
        <f>B326-B320</f>
        <v>4232.1083836100515</v>
      </c>
      <c r="C1647" s="115">
        <f>C326-C320</f>
        <v>3400.8392999999996</v>
      </c>
      <c r="D1647" s="115">
        <f>D326-D320</f>
        <v>3426.9251999999979</v>
      </c>
      <c r="E1647" s="115">
        <f t="shared" ref="E1647:J1647" si="127">E326-E320</f>
        <v>4332.6355831830624</v>
      </c>
      <c r="F1647" s="115">
        <f t="shared" si="127"/>
        <v>4459.3389999999417</v>
      </c>
      <c r="G1647" s="115">
        <f t="shared" si="127"/>
        <v>4403</v>
      </c>
      <c r="H1647" s="115">
        <f t="shared" si="127"/>
        <v>0</v>
      </c>
      <c r="I1647" s="115">
        <f t="shared" si="127"/>
        <v>0</v>
      </c>
      <c r="J1647" s="115">
        <f t="shared" si="127"/>
        <v>0</v>
      </c>
    </row>
    <row r="1648" spans="1:10">
      <c r="A1648" s="2" t="s">
        <v>300</v>
      </c>
      <c r="B1648" s="115">
        <f>B327-B320</f>
        <v>3075.3435687279962</v>
      </c>
      <c r="C1648" s="115">
        <f>C327-C320</f>
        <v>2011.8384000000005</v>
      </c>
      <c r="D1648" s="115">
        <f>D327-D320</f>
        <v>2100.9408000000003</v>
      </c>
      <c r="E1648" s="115">
        <f t="shared" ref="E1648:J1648" si="128">E327-E320</f>
        <v>2727.3458939895354</v>
      </c>
      <c r="F1648" s="115">
        <f t="shared" si="128"/>
        <v>-22535.143000000036</v>
      </c>
      <c r="G1648" s="115">
        <f t="shared" si="128"/>
        <v>2650</v>
      </c>
      <c r="H1648" s="115">
        <f t="shared" si="128"/>
        <v>0</v>
      </c>
      <c r="I1648" s="115">
        <f t="shared" si="128"/>
        <v>0</v>
      </c>
      <c r="J1648" s="115">
        <f t="shared" si="128"/>
        <v>0</v>
      </c>
    </row>
    <row r="1649" spans="1:10">
      <c r="A1649" s="2" t="s">
        <v>306</v>
      </c>
      <c r="B1649" s="115">
        <f>B328-B320</f>
        <v>-768.91078720202859</v>
      </c>
      <c r="C1649" s="115">
        <f>C328-C320</f>
        <v>-2365.6101000000017</v>
      </c>
      <c r="D1649" s="115">
        <f>D328-D320</f>
        <v>-2303.4729000000007</v>
      </c>
      <c r="E1649" s="115">
        <f t="shared" ref="E1649:J1649" si="129">E328-E320</f>
        <v>-2195.720759322885</v>
      </c>
      <c r="F1649" s="115">
        <f t="shared" si="129"/>
        <v>-22535.143000000036</v>
      </c>
      <c r="G1649" s="115">
        <f t="shared" si="129"/>
        <v>-2477</v>
      </c>
      <c r="H1649" s="115">
        <f t="shared" si="129"/>
        <v>0</v>
      </c>
      <c r="I1649" s="115">
        <f t="shared" si="129"/>
        <v>0</v>
      </c>
      <c r="J1649" s="115">
        <f t="shared" si="129"/>
        <v>0</v>
      </c>
    </row>
    <row r="1650" spans="1:10">
      <c r="A1650" s="2" t="s">
        <v>307</v>
      </c>
      <c r="B1650" s="115">
        <f>B329-B320</f>
        <v>-1545.6362949919603</v>
      </c>
      <c r="C1650" s="115">
        <f>C329-C320</f>
        <v>-1541.7060000000019</v>
      </c>
      <c r="D1650" s="115">
        <f>D329-D320</f>
        <v>-1217.2443000000021</v>
      </c>
      <c r="E1650" s="115">
        <f t="shared" ref="E1650:J1650" si="130">E329-E320</f>
        <v>-1360.4827689334015</v>
      </c>
      <c r="F1650" s="115">
        <f t="shared" si="130"/>
        <v>-22535.143000000036</v>
      </c>
      <c r="G1650" s="115">
        <f t="shared" si="130"/>
        <v>-1212</v>
      </c>
      <c r="H1650" s="115">
        <f t="shared" si="130"/>
        <v>0</v>
      </c>
      <c r="I1650" s="115">
        <f t="shared" si="130"/>
        <v>0</v>
      </c>
      <c r="J1650" s="115">
        <f t="shared" si="130"/>
        <v>0</v>
      </c>
    </row>
    <row r="1651" spans="1:10">
      <c r="A1651" s="2" t="s">
        <v>308</v>
      </c>
      <c r="B1651" s="115">
        <f>B330-B320</f>
        <v>-1872.1532978488867</v>
      </c>
      <c r="C1651" s="115">
        <f>C330-C320</f>
        <v>-1577.1710999999996</v>
      </c>
      <c r="D1651" s="115">
        <f>D330-D320</f>
        <v>-1721.9625000000015</v>
      </c>
      <c r="E1651" s="115">
        <f t="shared" ref="E1651:J1651" si="131">E330-E320</f>
        <v>-1787.889672394489</v>
      </c>
      <c r="F1651" s="115">
        <f t="shared" si="131"/>
        <v>-22535.143000000036</v>
      </c>
      <c r="G1651" s="115">
        <f t="shared" si="131"/>
        <v>-2010</v>
      </c>
      <c r="H1651" s="115">
        <f t="shared" si="131"/>
        <v>0</v>
      </c>
      <c r="I1651" s="115">
        <f t="shared" si="131"/>
        <v>0</v>
      </c>
      <c r="J1651" s="115">
        <f t="shared" si="131"/>
        <v>0</v>
      </c>
    </row>
    <row r="1652" spans="1:10">
      <c r="A1652" s="2" t="s">
        <v>309</v>
      </c>
      <c r="B1652" s="115">
        <f>B331-B320</f>
        <v>-929.82804491486968</v>
      </c>
      <c r="C1652" s="115">
        <f>C331-C320</f>
        <v>-699.04349999999977</v>
      </c>
      <c r="D1652" s="115">
        <f>D331-D320</f>
        <v>-798.11130000000048</v>
      </c>
      <c r="E1652" s="115">
        <f t="shared" ref="E1652:J1652" si="132">E331-E320</f>
        <v>-802.86573875787872</v>
      </c>
      <c r="F1652" s="115">
        <f t="shared" si="132"/>
        <v>-22535.143000000036</v>
      </c>
      <c r="G1652" s="115">
        <f t="shared" si="132"/>
        <v>-823</v>
      </c>
      <c r="H1652" s="115">
        <f t="shared" si="132"/>
        <v>0</v>
      </c>
      <c r="I1652" s="115">
        <f t="shared" si="132"/>
        <v>0</v>
      </c>
      <c r="J1652" s="115">
        <f t="shared" si="132"/>
        <v>0</v>
      </c>
    </row>
    <row r="1653" spans="1:10">
      <c r="A1653" s="2" t="s">
        <v>301</v>
      </c>
      <c r="B1653" s="115">
        <f>B332-B320</f>
        <v>-5451.8127927419882</v>
      </c>
      <c r="C1653" s="115">
        <f>C332-C320</f>
        <v>-3140.5665000000008</v>
      </c>
      <c r="D1653" s="115">
        <f>D332-D320</f>
        <v>-3140.8596000000034</v>
      </c>
      <c r="E1653" s="115">
        <f t="shared" ref="E1653:J1653" si="133">E332-E320</f>
        <v>-4932.0180785274606</v>
      </c>
      <c r="F1653" s="115">
        <f t="shared" si="133"/>
        <v>-4304.0020000000986</v>
      </c>
      <c r="G1653" s="115">
        <f t="shared" si="133"/>
        <v>-4983</v>
      </c>
      <c r="H1653" s="115">
        <f t="shared" si="133"/>
        <v>0</v>
      </c>
      <c r="I1653" s="115">
        <f t="shared" si="133"/>
        <v>0</v>
      </c>
      <c r="J1653" s="115">
        <f t="shared" si="133"/>
        <v>0</v>
      </c>
    </row>
    <row r="1654" spans="1:10">
      <c r="A1654" s="2" t="s">
        <v>302</v>
      </c>
      <c r="B1654" s="115">
        <f>B334-B333</f>
        <v>17484.681420000055</v>
      </c>
      <c r="C1654" s="115">
        <f>C334-C333</f>
        <v>17615.016900000002</v>
      </c>
      <c r="D1654" s="115">
        <f>D334-D333</f>
        <v>17615.016900000002</v>
      </c>
      <c r="E1654" s="115">
        <f t="shared" ref="E1654:J1654" si="134">E334-E333</f>
        <v>17488.84749972459</v>
      </c>
      <c r="F1654" s="115">
        <f t="shared" si="134"/>
        <v>17488.437999999947</v>
      </c>
      <c r="G1654" s="115">
        <f t="shared" si="134"/>
        <v>17340</v>
      </c>
      <c r="H1654" s="115">
        <f t="shared" si="134"/>
        <v>0</v>
      </c>
      <c r="I1654" s="115">
        <f t="shared" si="134"/>
        <v>0</v>
      </c>
      <c r="J1654" s="115">
        <f t="shared" si="134"/>
        <v>0</v>
      </c>
    </row>
    <row r="1655" spans="1:10">
      <c r="A1655" s="2" t="s">
        <v>303</v>
      </c>
      <c r="B1655" s="115">
        <f>B337-B335</f>
        <v>2.0047209999538609</v>
      </c>
      <c r="C1655" s="115">
        <f>C337-C335</f>
        <v>-288.11730000000171</v>
      </c>
      <c r="D1655" s="115">
        <f>D337-D335</f>
        <v>-288.11730000000171</v>
      </c>
      <c r="E1655" s="115">
        <f t="shared" ref="E1655:J1655" si="135">E337-E335</f>
        <v>2.4787920240814856</v>
      </c>
      <c r="F1655" s="115">
        <f t="shared" si="135"/>
        <v>-8.6240000002690067</v>
      </c>
      <c r="G1655" s="115">
        <f t="shared" si="135"/>
        <v>-42</v>
      </c>
      <c r="H1655" s="115">
        <f t="shared" si="135"/>
        <v>0</v>
      </c>
      <c r="I1655" s="115">
        <f t="shared" si="135"/>
        <v>0</v>
      </c>
      <c r="J1655" s="115">
        <f t="shared" si="135"/>
        <v>0</v>
      </c>
    </row>
    <row r="1656" spans="1:10">
      <c r="A1656" s="2" t="s">
        <v>304</v>
      </c>
      <c r="B1656" s="115">
        <f>B338-B332</f>
        <v>-18313.306249999994</v>
      </c>
      <c r="C1656" s="115">
        <f>C338-C332</f>
        <v>-18285.336600000002</v>
      </c>
      <c r="D1656" s="115">
        <f>D338-D332</f>
        <v>-18285.629700000001</v>
      </c>
      <c r="E1656" s="115">
        <f t="shared" ref="E1656:J1656" si="136">E338-E332</f>
        <v>-18231.674174693937</v>
      </c>
      <c r="F1656" s="115">
        <f t="shared" si="136"/>
        <v>-18229.954999999936</v>
      </c>
      <c r="G1656" s="115">
        <f t="shared" si="136"/>
        <v>-18084</v>
      </c>
      <c r="H1656" s="115">
        <f t="shared" si="136"/>
        <v>0</v>
      </c>
      <c r="I1656" s="115">
        <f t="shared" si="136"/>
        <v>0</v>
      </c>
      <c r="J1656" s="115">
        <f t="shared" si="136"/>
        <v>0</v>
      </c>
    </row>
    <row r="1657" spans="1:10">
      <c r="A1657" s="2" t="s">
        <v>305</v>
      </c>
      <c r="B1657" s="115">
        <f>B340-B339</f>
        <v>-0.97975819500048389</v>
      </c>
      <c r="C1657" s="115">
        <f>C340-C339</f>
        <v>-81.481800000000007</v>
      </c>
      <c r="D1657" s="115">
        <f>D340-D339</f>
        <v>-81.481800000000007</v>
      </c>
      <c r="E1657" s="115">
        <f t="shared" ref="E1657:J1657" si="137">E340-E339</f>
        <v>-8.867157473872469</v>
      </c>
      <c r="F1657" s="115">
        <f t="shared" si="137"/>
        <v>-3.0859999999999999</v>
      </c>
      <c r="G1657" s="115">
        <f t="shared" si="137"/>
        <v>-2</v>
      </c>
      <c r="H1657" s="115">
        <f t="shared" si="137"/>
        <v>0</v>
      </c>
      <c r="I1657" s="115">
        <f t="shared" si="137"/>
        <v>0</v>
      </c>
      <c r="J1657" s="115">
        <f t="shared" si="137"/>
        <v>0</v>
      </c>
    </row>
    <row r="1658" spans="1:10">
      <c r="H1658" s="120"/>
    </row>
    <row r="1659" spans="1:10">
      <c r="H1659" s="120"/>
    </row>
    <row r="1660" spans="1:10">
      <c r="H1660" s="120"/>
    </row>
    <row r="1661" spans="1:10">
      <c r="H1661" s="120"/>
    </row>
    <row r="1662" spans="1:10">
      <c r="H1662" s="120"/>
    </row>
    <row r="1663" spans="1:10">
      <c r="H1663" s="120"/>
    </row>
    <row r="1664" spans="1:10">
      <c r="H1664" s="120"/>
    </row>
    <row r="1665" spans="1:10">
      <c r="H1665" s="120"/>
    </row>
    <row r="1666" spans="1:10">
      <c r="H1666" s="120"/>
    </row>
    <row r="1667" spans="1:10">
      <c r="A1667" t="s">
        <v>312</v>
      </c>
      <c r="H1667" s="120"/>
    </row>
    <row r="1668" spans="1:10">
      <c r="A1668" s="2"/>
      <c r="B1668" s="10"/>
      <c r="C1668" s="10"/>
      <c r="D1668" s="10"/>
      <c r="E1668" s="10"/>
      <c r="F1668" s="10"/>
      <c r="G1668" s="10"/>
      <c r="H1668" s="10"/>
    </row>
    <row r="1669" spans="1:10">
      <c r="A1669" s="2"/>
      <c r="B1669" s="10" t="s">
        <v>245</v>
      </c>
      <c r="C1669" s="10" t="s">
        <v>257</v>
      </c>
      <c r="D1669" s="10" t="s">
        <v>258</v>
      </c>
      <c r="E1669" s="10" t="s">
        <v>515</v>
      </c>
      <c r="F1669" s="10" t="s">
        <v>373</v>
      </c>
      <c r="G1669" s="10" t="s">
        <v>482</v>
      </c>
      <c r="H1669" s="10" t="s">
        <v>516</v>
      </c>
      <c r="I1669" s="10" t="s">
        <v>517</v>
      </c>
      <c r="J1669" s="10" t="s">
        <v>517</v>
      </c>
    </row>
    <row r="1670" spans="1:10">
      <c r="A1670" s="2" t="s">
        <v>295</v>
      </c>
      <c r="B1670" s="112">
        <f>B351-B350</f>
        <v>0.16552233282530127</v>
      </c>
      <c r="C1670" s="112">
        <f>C351-C350</f>
        <v>0.17980020930713314</v>
      </c>
      <c r="D1670" s="112">
        <f>D351-D350</f>
        <v>0.18012945021843185</v>
      </c>
      <c r="E1670" s="112">
        <f t="shared" ref="E1670:J1670" si="138">E351-E350</f>
        <v>0.16517544395384132</v>
      </c>
      <c r="F1670" s="112">
        <f t="shared" si="138"/>
        <v>0.17085733713324514</v>
      </c>
      <c r="G1670" s="112">
        <f t="shared" si="138"/>
        <v>0.14999999999999991</v>
      </c>
      <c r="H1670" s="112">
        <f t="shared" si="138"/>
        <v>0</v>
      </c>
      <c r="I1670" s="112">
        <f t="shared" si="138"/>
        <v>0</v>
      </c>
      <c r="J1670" s="112">
        <f t="shared" si="138"/>
        <v>0</v>
      </c>
    </row>
    <row r="1671" spans="1:10">
      <c r="A1671" s="2" t="s">
        <v>296</v>
      </c>
      <c r="B1671" s="112">
        <f>B352-B350</f>
        <v>0.17083237030228204</v>
      </c>
      <c r="C1671" s="112">
        <f>C352-C350</f>
        <v>0.22028933633201087</v>
      </c>
      <c r="D1671" s="112">
        <f>D352-D350</f>
        <v>0.21969251983271265</v>
      </c>
      <c r="E1671" s="112">
        <f t="shared" ref="E1671:J1671" si="139">E352-E350</f>
        <v>0.17529849690866373</v>
      </c>
      <c r="F1671" s="112">
        <f t="shared" si="139"/>
        <v>0.17958347541332031</v>
      </c>
      <c r="G1671" s="112">
        <f t="shared" si="139"/>
        <v>0.16000000000000014</v>
      </c>
      <c r="H1671" s="112">
        <f t="shared" si="139"/>
        <v>0</v>
      </c>
      <c r="I1671" s="112">
        <f t="shared" si="139"/>
        <v>0</v>
      </c>
      <c r="J1671" s="112">
        <f t="shared" si="139"/>
        <v>0</v>
      </c>
    </row>
    <row r="1672" spans="1:10">
      <c r="A1672" s="2" t="s">
        <v>297</v>
      </c>
      <c r="B1672" s="112">
        <f>B353-B350</f>
        <v>0.2416630702180198</v>
      </c>
      <c r="C1672" s="112">
        <f>C353-C350</f>
        <v>0.25649070875822488</v>
      </c>
      <c r="D1672" s="112">
        <f>D353-D350</f>
        <v>0.29907491375648076</v>
      </c>
      <c r="E1672" s="112">
        <f t="shared" ref="E1672:J1672" si="140">E353-E350</f>
        <v>0.26441609491045259</v>
      </c>
      <c r="F1672" s="112">
        <f t="shared" si="140"/>
        <v>0.27090438957405505</v>
      </c>
      <c r="G1672" s="112">
        <f t="shared" si="140"/>
        <v>0.22999999999999998</v>
      </c>
      <c r="H1672" s="112">
        <f t="shared" si="140"/>
        <v>0</v>
      </c>
      <c r="I1672" s="112">
        <f t="shared" si="140"/>
        <v>0</v>
      </c>
      <c r="J1672" s="112">
        <f t="shared" si="140"/>
        <v>0</v>
      </c>
    </row>
    <row r="1673" spans="1:10">
      <c r="A1673" s="2" t="s">
        <v>422</v>
      </c>
      <c r="B1673" s="112">
        <f>B353-B352</f>
        <v>7.083069991573776E-2</v>
      </c>
      <c r="C1673" s="112">
        <f>C353-C352</f>
        <v>3.6201372426214018E-2</v>
      </c>
      <c r="D1673" s="112">
        <f>D353-D352</f>
        <v>7.9382393923768113E-2</v>
      </c>
      <c r="E1673" s="112">
        <f t="shared" ref="E1673:J1673" si="141">E353-E352</f>
        <v>8.9117598001788867E-2</v>
      </c>
      <c r="F1673" s="112">
        <f t="shared" si="141"/>
        <v>9.1320914160734734E-2</v>
      </c>
      <c r="G1673" s="112">
        <f t="shared" si="141"/>
        <v>6.999999999999984E-2</v>
      </c>
      <c r="H1673" s="112">
        <f t="shared" si="141"/>
        <v>0</v>
      </c>
      <c r="I1673" s="112">
        <f t="shared" si="141"/>
        <v>0</v>
      </c>
      <c r="J1673" s="112">
        <f t="shared" si="141"/>
        <v>0</v>
      </c>
    </row>
    <row r="1674" spans="1:10">
      <c r="A1674" s="2" t="s">
        <v>423</v>
      </c>
      <c r="B1674" s="112">
        <f>B354-B350</f>
        <v>0.20521092225697135</v>
      </c>
      <c r="C1674" s="112">
        <f>C354-C350</f>
        <v>0.23965789582697861</v>
      </c>
      <c r="D1674" s="112">
        <f>D354-D350</f>
        <v>0.25826036346901748</v>
      </c>
      <c r="E1674" s="112">
        <f t="shared" ref="E1674:J1674" si="142">E354-E350</f>
        <v>0.22045495843896257</v>
      </c>
      <c r="F1674" s="112">
        <f t="shared" si="142"/>
        <v>0.22316083129132069</v>
      </c>
      <c r="G1674" s="112">
        <f t="shared" si="142"/>
        <v>0.18999999999999995</v>
      </c>
      <c r="H1674" s="112">
        <f t="shared" si="142"/>
        <v>0</v>
      </c>
      <c r="I1674" s="112">
        <f t="shared" si="142"/>
        <v>0</v>
      </c>
      <c r="J1674" s="112">
        <f t="shared" si="142"/>
        <v>0</v>
      </c>
    </row>
    <row r="1675" spans="1:10">
      <c r="A1675" s="2" t="s">
        <v>424</v>
      </c>
      <c r="B1675" s="112">
        <f>B353-B354</f>
        <v>3.6452147961048453E-2</v>
      </c>
      <c r="C1675" s="112">
        <f>C353-C354</f>
        <v>1.6832812931246277E-2</v>
      </c>
      <c r="D1675" s="112">
        <f>D353-D354</f>
        <v>4.081455028746328E-2</v>
      </c>
      <c r="E1675" s="112">
        <f t="shared" ref="E1675:J1675" si="143">E353-E354</f>
        <v>4.3961136471490025E-2</v>
      </c>
      <c r="F1675" s="112">
        <f t="shared" si="143"/>
        <v>4.7743558282734355E-2</v>
      </c>
      <c r="G1675" s="112">
        <f t="shared" si="143"/>
        <v>4.0000000000000036E-2</v>
      </c>
      <c r="H1675" s="112">
        <f t="shared" si="143"/>
        <v>0</v>
      </c>
      <c r="I1675" s="112">
        <f t="shared" si="143"/>
        <v>0</v>
      </c>
      <c r="J1675" s="112">
        <f t="shared" si="143"/>
        <v>0</v>
      </c>
    </row>
    <row r="1676" spans="1:10">
      <c r="A1676" s="2" t="s">
        <v>298</v>
      </c>
      <c r="B1676" s="112">
        <f>B355-B350</f>
        <v>-1.1501304028538328E-4</v>
      </c>
      <c r="C1676" s="112">
        <f>C355-C350</f>
        <v>3.0960240556585639E-3</v>
      </c>
      <c r="D1676" s="112">
        <f>D355-D350</f>
        <v>-1.9178441745544283E-3</v>
      </c>
      <c r="E1676" s="112">
        <f t="shared" ref="E1676:J1676" si="144">E355-E350</f>
        <v>4.3634996221117994E-3</v>
      </c>
      <c r="F1676" s="112">
        <f t="shared" si="144"/>
        <v>2.532500625511247E-3</v>
      </c>
      <c r="G1676" s="112">
        <f t="shared" si="144"/>
        <v>0</v>
      </c>
      <c r="H1676" s="112">
        <f t="shared" si="144"/>
        <v>0</v>
      </c>
      <c r="I1676" s="112">
        <f t="shared" si="144"/>
        <v>0</v>
      </c>
      <c r="J1676" s="112">
        <f t="shared" si="144"/>
        <v>0</v>
      </c>
    </row>
    <row r="1677" spans="1:10">
      <c r="A1677" s="2" t="s">
        <v>299</v>
      </c>
      <c r="B1677" s="112">
        <f>B356-B350</f>
        <v>0.41996347475500828</v>
      </c>
      <c r="C1677" s="112">
        <f>C356-C350</f>
        <v>0.46293089227817585</v>
      </c>
      <c r="D1677" s="112">
        <f>D356-D350</f>
        <v>0.46845118630956062</v>
      </c>
      <c r="E1677" s="112">
        <f t="shared" ref="E1677:J1677" si="145">E356-E350</f>
        <v>0.43775165348703338</v>
      </c>
      <c r="F1677" s="112">
        <f t="shared" si="145"/>
        <v>0.44030929939147168</v>
      </c>
      <c r="G1677" s="112">
        <f t="shared" si="145"/>
        <v>0.43000000000000016</v>
      </c>
      <c r="H1677" s="112">
        <f t="shared" si="145"/>
        <v>0</v>
      </c>
      <c r="I1677" s="112">
        <f t="shared" si="145"/>
        <v>0</v>
      </c>
      <c r="J1677" s="112">
        <f t="shared" si="145"/>
        <v>0</v>
      </c>
    </row>
    <row r="1678" spans="1:10">
      <c r="A1678" s="2" t="s">
        <v>300</v>
      </c>
      <c r="B1678" s="112">
        <f>B357-B350</f>
        <v>1.210608694129256E-3</v>
      </c>
      <c r="C1678" s="112">
        <f>C357-C350</f>
        <v>1.3724131510370885E-2</v>
      </c>
      <c r="D1678" s="112">
        <f>D357-D350</f>
        <v>1.454754124542168E-2</v>
      </c>
      <c r="E1678" s="112">
        <f t="shared" ref="E1678:J1678" si="146">E357-E350</f>
        <v>1.6855010360993461E-2</v>
      </c>
      <c r="F1678" s="112">
        <f t="shared" si="146"/>
        <v>-3.2263863232202681</v>
      </c>
      <c r="G1678" s="112">
        <f t="shared" si="146"/>
        <v>2.9999999999999805E-2</v>
      </c>
      <c r="H1678" s="112">
        <f t="shared" si="146"/>
        <v>0</v>
      </c>
      <c r="I1678" s="112">
        <f t="shared" si="146"/>
        <v>0</v>
      </c>
      <c r="J1678" s="112">
        <f t="shared" si="146"/>
        <v>0</v>
      </c>
    </row>
    <row r="1679" spans="1:10">
      <c r="A1679" s="2" t="s">
        <v>306</v>
      </c>
      <c r="B1679" s="112">
        <f>B358-B350</f>
        <v>-9.551085122376346E-3</v>
      </c>
      <c r="C1679" s="112">
        <f>C358-C350</f>
        <v>-2.5269055819481245E-2</v>
      </c>
      <c r="D1679" s="112">
        <f>D358-D350</f>
        <v>-2.6661273644267069E-2</v>
      </c>
      <c r="E1679" s="112">
        <f t="shared" ref="E1679:J1679" si="147">E358-E350</f>
        <v>-2.3167591614273508E-2</v>
      </c>
      <c r="F1679" s="112">
        <f t="shared" si="147"/>
        <v>-3.2263863232202681</v>
      </c>
      <c r="G1679" s="112">
        <f t="shared" si="147"/>
        <v>-2.0000000000000018E-2</v>
      </c>
      <c r="H1679" s="112">
        <f t="shared" si="147"/>
        <v>0</v>
      </c>
      <c r="I1679" s="112">
        <f t="shared" si="147"/>
        <v>0</v>
      </c>
      <c r="J1679" s="112">
        <f t="shared" si="147"/>
        <v>0</v>
      </c>
    </row>
    <row r="1680" spans="1:10">
      <c r="A1680" s="2" t="s">
        <v>307</v>
      </c>
      <c r="B1680" s="112">
        <f>B359-B350</f>
        <v>-2.2999937642001367E-2</v>
      </c>
      <c r="C1680" s="112">
        <f>C359-C350</f>
        <v>-2.2393893669617526E-2</v>
      </c>
      <c r="D1680" s="112">
        <f>D359-D350</f>
        <v>-1.9831019794521065E-2</v>
      </c>
      <c r="E1680" s="112">
        <f t="shared" ref="E1680:J1680" si="148">E359-E350</f>
        <v>-2.0418772804253305E-2</v>
      </c>
      <c r="F1680" s="112">
        <f t="shared" si="148"/>
        <v>-3.2263863232202681</v>
      </c>
      <c r="G1680" s="112">
        <f t="shared" si="148"/>
        <v>-2.0000000000000018E-2</v>
      </c>
      <c r="H1680" s="112">
        <f t="shared" si="148"/>
        <v>0</v>
      </c>
      <c r="I1680" s="112">
        <f t="shared" si="148"/>
        <v>0</v>
      </c>
      <c r="J1680" s="112">
        <f t="shared" si="148"/>
        <v>0</v>
      </c>
    </row>
    <row r="1681" spans="1:10">
      <c r="A1681" s="2" t="s">
        <v>308</v>
      </c>
      <c r="B1681" s="112">
        <f>B360-B350</f>
        <v>-2.8270179604654722E-2</v>
      </c>
      <c r="C1681" s="112">
        <f>C360-C350</f>
        <v>-2.4649107315888763E-2</v>
      </c>
      <c r="D1681" s="112">
        <f>D360-D350</f>
        <v>-2.5889399176201255E-2</v>
      </c>
      <c r="E1681" s="112">
        <f t="shared" ref="E1681:J1681" si="149">E360-E350</f>
        <v>-2.4350810618261054E-2</v>
      </c>
      <c r="F1681" s="112">
        <f t="shared" si="149"/>
        <v>-3.2263863232202681</v>
      </c>
      <c r="G1681" s="112">
        <f t="shared" si="149"/>
        <v>-2.0000000000000018E-2</v>
      </c>
      <c r="H1681" s="112">
        <f t="shared" si="149"/>
        <v>0</v>
      </c>
      <c r="I1681" s="112">
        <f t="shared" si="149"/>
        <v>0</v>
      </c>
      <c r="J1681" s="112">
        <f t="shared" si="149"/>
        <v>0</v>
      </c>
    </row>
    <row r="1682" spans="1:10">
      <c r="A1682" s="2" t="s">
        <v>309</v>
      </c>
      <c r="B1682" s="112">
        <f>B361-B350</f>
        <v>-1.7725316134948432E-2</v>
      </c>
      <c r="C1682" s="112">
        <f>C361-C350</f>
        <v>-1.5393276109397558E-2</v>
      </c>
      <c r="D1682" s="112">
        <f>D361-D350</f>
        <v>-1.5474084779643071E-2</v>
      </c>
      <c r="E1682" s="112">
        <f t="shared" ref="E1682:J1682" si="150">E361-E350</f>
        <v>-1.4740312922222998E-2</v>
      </c>
      <c r="F1682" s="112">
        <f t="shared" si="150"/>
        <v>-3.2263863232202681</v>
      </c>
      <c r="G1682" s="112">
        <f t="shared" si="150"/>
        <v>-9.9999999999997868E-3</v>
      </c>
      <c r="H1682" s="112">
        <f t="shared" si="150"/>
        <v>0</v>
      </c>
      <c r="I1682" s="112">
        <f t="shared" si="150"/>
        <v>0</v>
      </c>
      <c r="J1682" s="112">
        <f t="shared" si="150"/>
        <v>0</v>
      </c>
    </row>
    <row r="1683" spans="1:10">
      <c r="A1683" s="2" t="s">
        <v>301</v>
      </c>
      <c r="B1683" s="112">
        <f>B362-B350</f>
        <v>-4.5013431078735344E-2</v>
      </c>
      <c r="C1683" s="112">
        <f>C362-C350</f>
        <v>-1.0183447425757386E-2</v>
      </c>
      <c r="D1683" s="112">
        <f>D362-D350</f>
        <v>-1.0822384240921856E-2</v>
      </c>
      <c r="E1683" s="112">
        <f t="shared" ref="E1683:J1683" si="151">E362-E350</f>
        <v>-3.3871432050562422E-2</v>
      </c>
      <c r="F1683" s="112">
        <f t="shared" si="151"/>
        <v>-3.4365252209703989E-2</v>
      </c>
      <c r="G1683" s="112">
        <f t="shared" si="151"/>
        <v>-2.9999999999999805E-2</v>
      </c>
      <c r="H1683" s="112">
        <f t="shared" si="151"/>
        <v>0</v>
      </c>
      <c r="I1683" s="112">
        <f t="shared" si="151"/>
        <v>0</v>
      </c>
      <c r="J1683" s="112">
        <f t="shared" si="151"/>
        <v>0</v>
      </c>
    </row>
    <row r="1684" spans="1:10">
      <c r="A1684" s="2" t="s">
        <v>302</v>
      </c>
      <c r="B1684" s="112">
        <f>B364-B363</f>
        <v>0.40948138278354662</v>
      </c>
      <c r="C1684" s="112">
        <f>C364-C363</f>
        <v>0.41598491592011166</v>
      </c>
      <c r="D1684" s="112">
        <f>D364-D363</f>
        <v>0.4157662817379939</v>
      </c>
      <c r="E1684" s="112">
        <f t="shared" ref="E1684:J1684" si="152">E364-E363</f>
        <v>0.40813576878035107</v>
      </c>
      <c r="F1684" s="112">
        <f t="shared" si="152"/>
        <v>0.39712878570291199</v>
      </c>
      <c r="G1684" s="112">
        <f t="shared" si="152"/>
        <v>0.4099999999999997</v>
      </c>
      <c r="H1684" s="112">
        <f t="shared" si="152"/>
        <v>0</v>
      </c>
      <c r="I1684" s="112">
        <f t="shared" si="152"/>
        <v>0</v>
      </c>
      <c r="J1684" s="112">
        <f t="shared" si="152"/>
        <v>0</v>
      </c>
    </row>
    <row r="1685" spans="1:10">
      <c r="A1685" s="2" t="s">
        <v>303</v>
      </c>
      <c r="B1685" s="112">
        <f>B367-B365</f>
        <v>0.582472929172408</v>
      </c>
      <c r="C1685" s="112">
        <f>C367-C365</f>
        <v>0.57413854735219161</v>
      </c>
      <c r="D1685" s="112">
        <f>D367-D365</f>
        <v>0.57203585317648553</v>
      </c>
      <c r="E1685" s="112">
        <f t="shared" ref="E1685:J1685" si="153">E367-E365</f>
        <v>0.57773378434848244</v>
      </c>
      <c r="F1685" s="112">
        <f t="shared" si="153"/>
        <v>0.60629102758884601</v>
      </c>
      <c r="G1685" s="112">
        <f t="shared" si="153"/>
        <v>0.49000000000000021</v>
      </c>
      <c r="H1685" s="112">
        <f t="shared" si="153"/>
        <v>0</v>
      </c>
      <c r="I1685" s="112">
        <f t="shared" si="153"/>
        <v>0</v>
      </c>
      <c r="J1685" s="112">
        <f t="shared" si="153"/>
        <v>0</v>
      </c>
    </row>
    <row r="1686" spans="1:10">
      <c r="A1686" s="2" t="s">
        <v>304</v>
      </c>
      <c r="B1686" s="112">
        <f>B368-B362</f>
        <v>-0.24222778262640654</v>
      </c>
      <c r="C1686" s="112">
        <f>C368-C362</f>
        <v>-0.25848576199149109</v>
      </c>
      <c r="D1686" s="112">
        <f>D368-D362</f>
        <v>-0.25718157954594156</v>
      </c>
      <c r="E1686" s="112">
        <f t="shared" ref="E1686:J1686" si="154">E368-E362</f>
        <v>-0.24762251643361433</v>
      </c>
      <c r="F1686" s="112">
        <f t="shared" si="154"/>
        <v>-0.27644510664767408</v>
      </c>
      <c r="G1686" s="112">
        <f t="shared" si="154"/>
        <v>-0.2200000000000002</v>
      </c>
      <c r="H1686" s="112">
        <f t="shared" si="154"/>
        <v>0</v>
      </c>
      <c r="I1686" s="112">
        <f t="shared" si="154"/>
        <v>0</v>
      </c>
      <c r="J1686" s="112">
        <f t="shared" si="154"/>
        <v>0</v>
      </c>
    </row>
    <row r="1687" spans="1:10">
      <c r="A1687" s="2" t="s">
        <v>305</v>
      </c>
      <c r="B1687" s="112">
        <f>B370-B369</f>
        <v>0.56009649461553357</v>
      </c>
      <c r="C1687" s="112">
        <f>C370-C369</f>
        <v>0.55852744677689747</v>
      </c>
      <c r="D1687" s="112">
        <f>D370-D369</f>
        <v>0.5603586594324832</v>
      </c>
      <c r="E1687" s="112">
        <f t="shared" ref="E1687:J1687" si="155">E370-E369</f>
        <v>0.4697372067489245</v>
      </c>
      <c r="F1687" s="112">
        <f t="shared" si="155"/>
        <v>0.54603541998267113</v>
      </c>
      <c r="G1687" s="112">
        <f t="shared" si="155"/>
        <v>0.51000000000000023</v>
      </c>
      <c r="H1687" s="112">
        <f t="shared" si="155"/>
        <v>0</v>
      </c>
      <c r="I1687" s="112">
        <f t="shared" si="155"/>
        <v>0</v>
      </c>
      <c r="J1687" s="112">
        <f t="shared" si="155"/>
        <v>0</v>
      </c>
    </row>
    <row r="1688" spans="1:10">
      <c r="H1688" s="120"/>
    </row>
    <row r="1689" spans="1:10">
      <c r="H1689" s="120"/>
    </row>
    <row r="1690" spans="1:10">
      <c r="H1690" s="120"/>
    </row>
    <row r="1691" spans="1:10">
      <c r="H1691" s="120"/>
    </row>
    <row r="1692" spans="1:10">
      <c r="H1692" s="120"/>
    </row>
    <row r="1693" spans="1:10">
      <c r="H1693" s="120"/>
    </row>
    <row r="1694" spans="1:10">
      <c r="H1694" s="120"/>
    </row>
    <row r="1695" spans="1:10">
      <c r="H1695" s="120"/>
    </row>
    <row r="1696" spans="1:10">
      <c r="H1696" s="120"/>
    </row>
    <row r="1697" spans="1:12">
      <c r="A1697" t="s">
        <v>313</v>
      </c>
      <c r="H1697" s="120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245</v>
      </c>
      <c r="C1699" s="10" t="s">
        <v>257</v>
      </c>
      <c r="D1699" s="10" t="s">
        <v>258</v>
      </c>
      <c r="E1699" s="10" t="s">
        <v>515</v>
      </c>
      <c r="F1699" s="10" t="s">
        <v>373</v>
      </c>
      <c r="G1699" s="10" t="s">
        <v>482</v>
      </c>
      <c r="H1699" s="10" t="s">
        <v>516</v>
      </c>
      <c r="I1699" s="10" t="s">
        <v>517</v>
      </c>
      <c r="J1699" s="10" t="s">
        <v>517</v>
      </c>
    </row>
    <row r="1700" spans="1:12">
      <c r="A1700" s="2" t="s">
        <v>295</v>
      </c>
      <c r="B1700" s="113">
        <f>B381-B380</f>
        <v>0.13129856164381337</v>
      </c>
      <c r="C1700" s="113">
        <f>C381-C380</f>
        <v>5.5555555555560687E-2</v>
      </c>
      <c r="D1700" s="113">
        <f>D381-D380</f>
        <v>0</v>
      </c>
      <c r="E1700" s="113">
        <f t="shared" ref="E1700:J1700" si="156">E381-E380</f>
        <v>2.3646671946799813E-3</v>
      </c>
      <c r="F1700" s="113">
        <f t="shared" si="156"/>
        <v>8.0616438356280185E-3</v>
      </c>
      <c r="G1700" s="113">
        <f t="shared" si="156"/>
        <v>2.0000000000003126E-2</v>
      </c>
      <c r="H1700" s="113">
        <f t="shared" si="156"/>
        <v>0</v>
      </c>
      <c r="I1700" s="113">
        <f t="shared" si="156"/>
        <v>0</v>
      </c>
      <c r="J1700" s="113">
        <f t="shared" si="156"/>
        <v>0</v>
      </c>
      <c r="K1700" s="95"/>
      <c r="L1700" s="95"/>
    </row>
    <row r="1701" spans="1:12">
      <c r="A1701" s="2" t="s">
        <v>296</v>
      </c>
      <c r="B1701" s="113">
        <f>B382-B380</f>
        <v>0.27622477625561714</v>
      </c>
      <c r="C1701" s="113">
        <f>C382-C380</f>
        <v>0.33333333333333925</v>
      </c>
      <c r="D1701" s="113">
        <f>D382-D380</f>
        <v>0.33333333333333925</v>
      </c>
      <c r="E1701" s="113">
        <f t="shared" ref="E1701:J1701" si="157">E382-E380</f>
        <v>0.14305113383518986</v>
      </c>
      <c r="F1701" s="113">
        <f t="shared" si="157"/>
        <v>0.24570662100454754</v>
      </c>
      <c r="G1701" s="113">
        <f t="shared" si="157"/>
        <v>0.5400000000000027</v>
      </c>
      <c r="H1701" s="113">
        <f t="shared" si="157"/>
        <v>0</v>
      </c>
      <c r="I1701" s="113">
        <f t="shared" si="157"/>
        <v>0</v>
      </c>
      <c r="J1701" s="113">
        <f t="shared" si="157"/>
        <v>0</v>
      </c>
      <c r="K1701" s="95"/>
      <c r="L1701" s="95"/>
    </row>
    <row r="1702" spans="1:12">
      <c r="A1702" s="2" t="s">
        <v>297</v>
      </c>
      <c r="B1702" s="113">
        <f>B383-B380</f>
        <v>0.25545473744285019</v>
      </c>
      <c r="C1702" s="113">
        <f>C383-C380</f>
        <v>0.22222222222222499</v>
      </c>
      <c r="D1702" s="113">
        <f>D383-D380</f>
        <v>0.22222222222222499</v>
      </c>
      <c r="E1702" s="113">
        <f t="shared" ref="E1702:J1702" si="158">E383-E380</f>
        <v>0.20615181614234501</v>
      </c>
      <c r="F1702" s="113">
        <f t="shared" si="158"/>
        <v>0.21382191780817195</v>
      </c>
      <c r="G1702" s="113">
        <f t="shared" si="158"/>
        <v>0.19000000000000128</v>
      </c>
      <c r="H1702" s="113">
        <f t="shared" si="158"/>
        <v>0</v>
      </c>
      <c r="I1702" s="113">
        <f t="shared" si="158"/>
        <v>0</v>
      </c>
      <c r="J1702" s="113">
        <f t="shared" si="158"/>
        <v>0</v>
      </c>
      <c r="K1702" s="95"/>
      <c r="L1702" s="95"/>
    </row>
    <row r="1703" spans="1:12">
      <c r="A1703" s="113" t="s">
        <v>422</v>
      </c>
      <c r="B1703" s="113">
        <f>B383-B382</f>
        <v>-2.0770038812766956E-2</v>
      </c>
      <c r="C1703" s="113">
        <f>C383-C382</f>
        <v>-0.11111111111111427</v>
      </c>
      <c r="D1703" s="113">
        <f>D383-D382</f>
        <v>-0.11111111111111427</v>
      </c>
      <c r="E1703" s="113">
        <f t="shared" ref="E1703:J1703" si="159">E383-E382</f>
        <v>6.3100682307155154E-2</v>
      </c>
      <c r="F1703" s="113">
        <f t="shared" si="159"/>
        <v>-3.1884703196375597E-2</v>
      </c>
      <c r="G1703" s="113">
        <f t="shared" si="159"/>
        <v>-0.35000000000000142</v>
      </c>
      <c r="H1703" s="113">
        <f t="shared" si="159"/>
        <v>0</v>
      </c>
      <c r="I1703" s="113">
        <f t="shared" si="159"/>
        <v>0</v>
      </c>
      <c r="J1703" s="113">
        <f t="shared" si="159"/>
        <v>0</v>
      </c>
      <c r="K1703" s="95"/>
      <c r="L1703" s="95"/>
    </row>
    <row r="1704" spans="1:12">
      <c r="A1704" s="113" t="s">
        <v>423</v>
      </c>
      <c r="B1704" s="113">
        <f>B384-B380</f>
        <v>0.25135318493148162</v>
      </c>
      <c r="C1704" s="113">
        <f>C384-C380</f>
        <v>0.22222222222222499</v>
      </c>
      <c r="D1704" s="113">
        <f>D384-D380</f>
        <v>0.22222222222222499</v>
      </c>
      <c r="E1704" s="113">
        <f t="shared" ref="E1704:J1704" si="160">E384-E380</f>
        <v>0.2213932691713012</v>
      </c>
      <c r="F1704" s="113">
        <f t="shared" si="160"/>
        <v>0.22721575342464106</v>
      </c>
      <c r="G1704" s="113">
        <f t="shared" si="160"/>
        <v>0.22000000000000242</v>
      </c>
      <c r="H1704" s="113">
        <f t="shared" si="160"/>
        <v>0</v>
      </c>
      <c r="I1704" s="113">
        <f t="shared" si="160"/>
        <v>0</v>
      </c>
      <c r="J1704" s="113">
        <f t="shared" si="160"/>
        <v>0</v>
      </c>
      <c r="K1704" s="95"/>
      <c r="L1704" s="95"/>
    </row>
    <row r="1705" spans="1:12">
      <c r="A1705" s="113" t="s">
        <v>424</v>
      </c>
      <c r="B1705" s="113">
        <f>B383-B384</f>
        <v>4.1015525113685669E-3</v>
      </c>
      <c r="C1705" s="113">
        <f>C383-C384</f>
        <v>0</v>
      </c>
      <c r="D1705" s="113">
        <f>D383-D384</f>
        <v>0</v>
      </c>
      <c r="E1705" s="113">
        <f t="shared" ref="E1705:J1705" si="161">E383-E384</f>
        <v>-1.5241453028956187E-2</v>
      </c>
      <c r="F1705" s="113">
        <f t="shared" si="161"/>
        <v>-1.3393835616469119E-2</v>
      </c>
      <c r="G1705" s="113">
        <f t="shared" si="161"/>
        <v>-3.0000000000001137E-2</v>
      </c>
      <c r="H1705" s="113">
        <f t="shared" si="161"/>
        <v>0</v>
      </c>
      <c r="I1705" s="113">
        <f t="shared" si="161"/>
        <v>0</v>
      </c>
      <c r="J1705" s="113">
        <f t="shared" si="161"/>
        <v>0</v>
      </c>
      <c r="K1705" s="95"/>
      <c r="L1705" s="95"/>
    </row>
    <row r="1706" spans="1:12">
      <c r="A1706" s="2" t="s">
        <v>298</v>
      </c>
      <c r="B1706" s="113">
        <f>B385-B380</f>
        <v>2.0351909817350169</v>
      </c>
      <c r="C1706" s="113">
        <f>C385-C380</f>
        <v>2.1111111111111107</v>
      </c>
      <c r="D1706" s="113">
        <f>D385-D380</f>
        <v>2.1111111111111107</v>
      </c>
      <c r="E1706" s="113">
        <f t="shared" ref="E1706:J1706" si="162">E385-E380</f>
        <v>2.1477256947672601</v>
      </c>
      <c r="F1706" s="113">
        <f t="shared" si="162"/>
        <v>2.1869520547945172</v>
      </c>
      <c r="G1706" s="113">
        <f t="shared" si="162"/>
        <v>2.16</v>
      </c>
      <c r="H1706" s="113">
        <f t="shared" si="162"/>
        <v>0</v>
      </c>
      <c r="I1706" s="113">
        <f t="shared" si="162"/>
        <v>0</v>
      </c>
      <c r="J1706" s="113">
        <f t="shared" si="162"/>
        <v>0</v>
      </c>
      <c r="K1706" s="95"/>
      <c r="L1706" s="95"/>
    </row>
    <row r="1707" spans="1:12">
      <c r="A1707" s="2" t="s">
        <v>299</v>
      </c>
      <c r="B1707" s="113">
        <f>B386-B380</f>
        <v>1.7406740296803136</v>
      </c>
      <c r="C1707" s="113">
        <f>C386-C380</f>
        <v>1.5555555555555536</v>
      </c>
      <c r="D1707" s="113">
        <f>D386-D380</f>
        <v>1.5</v>
      </c>
      <c r="E1707" s="113">
        <f t="shared" ref="E1707:J1707" si="163">E386-E380</f>
        <v>1.3420175834029422</v>
      </c>
      <c r="F1707" s="113">
        <f t="shared" si="163"/>
        <v>1.3992294520547652</v>
      </c>
      <c r="G1707" s="113">
        <f t="shared" si="163"/>
        <v>1.3800000000000026</v>
      </c>
      <c r="H1707" s="113">
        <f t="shared" si="163"/>
        <v>0</v>
      </c>
      <c r="I1707" s="113">
        <f t="shared" si="163"/>
        <v>0</v>
      </c>
      <c r="J1707" s="113">
        <f t="shared" si="163"/>
        <v>0</v>
      </c>
      <c r="K1707" s="95"/>
      <c r="L1707" s="95"/>
    </row>
    <row r="1708" spans="1:12">
      <c r="A1708" s="2" t="s">
        <v>300</v>
      </c>
      <c r="B1708" s="113">
        <f>B387-B380</f>
        <v>0.50201984018265478</v>
      </c>
      <c r="C1708" s="113">
        <f>C387-C380</f>
        <v>0</v>
      </c>
      <c r="D1708" s="113">
        <f>D387-D380</f>
        <v>0</v>
      </c>
      <c r="E1708" s="113">
        <f t="shared" ref="E1708:J1708" si="164">E387-E380</f>
        <v>1.3587400040400155E-3</v>
      </c>
      <c r="F1708" s="113">
        <f t="shared" si="164"/>
        <v>-24.081647260274028</v>
      </c>
      <c r="G1708" s="113">
        <f t="shared" si="164"/>
        <v>0</v>
      </c>
      <c r="H1708" s="113">
        <f t="shared" si="164"/>
        <v>0</v>
      </c>
      <c r="I1708" s="113">
        <f t="shared" si="164"/>
        <v>0</v>
      </c>
      <c r="J1708" s="113">
        <f t="shared" si="164"/>
        <v>0</v>
      </c>
      <c r="K1708" s="95"/>
      <c r="L1708" s="95"/>
    </row>
    <row r="1709" spans="1:12">
      <c r="A1709" s="2" t="s">
        <v>306</v>
      </c>
      <c r="B1709" s="113">
        <f>B388-B380</f>
        <v>0.49787178082191019</v>
      </c>
      <c r="C1709" s="113">
        <f>C388-C380</f>
        <v>0</v>
      </c>
      <c r="D1709" s="113">
        <f>D388-D380</f>
        <v>0</v>
      </c>
      <c r="E1709" s="113">
        <f t="shared" ref="E1709:J1709" si="165">E388-E380</f>
        <v>-1.1132384508272253E-4</v>
      </c>
      <c r="F1709" s="113">
        <f t="shared" si="165"/>
        <v>-24.081647260274028</v>
      </c>
      <c r="G1709" s="113">
        <f t="shared" si="165"/>
        <v>0</v>
      </c>
      <c r="H1709" s="113">
        <f t="shared" si="165"/>
        <v>0</v>
      </c>
      <c r="I1709" s="113">
        <f t="shared" si="165"/>
        <v>0</v>
      </c>
      <c r="J1709" s="113">
        <f t="shared" si="165"/>
        <v>0</v>
      </c>
      <c r="K1709" s="95"/>
      <c r="L1709" s="95"/>
    </row>
    <row r="1710" spans="1:12">
      <c r="A1710" s="2" t="s">
        <v>307</v>
      </c>
      <c r="B1710" s="113">
        <f>B389-B380</f>
        <v>0.30189928082198136</v>
      </c>
      <c r="C1710" s="113">
        <f>C389-C380</f>
        <v>0</v>
      </c>
      <c r="D1710" s="113">
        <f>D389-D380</f>
        <v>0</v>
      </c>
      <c r="E1710" s="113">
        <f t="shared" ref="E1710:J1710" si="166">E389-E380</f>
        <v>-6.2526505463011972E-5</v>
      </c>
      <c r="F1710" s="113">
        <f t="shared" si="166"/>
        <v>-24.081647260274028</v>
      </c>
      <c r="G1710" s="113">
        <f t="shared" si="166"/>
        <v>0</v>
      </c>
      <c r="H1710" s="113">
        <f t="shared" si="166"/>
        <v>0</v>
      </c>
      <c r="I1710" s="113">
        <f t="shared" si="166"/>
        <v>0</v>
      </c>
      <c r="J1710" s="113">
        <f t="shared" si="166"/>
        <v>0</v>
      </c>
      <c r="K1710" s="95"/>
      <c r="L1710" s="95"/>
    </row>
    <row r="1711" spans="1:12">
      <c r="A1711" s="2" t="s">
        <v>308</v>
      </c>
      <c r="B1711" s="113">
        <f>B390-B380</f>
        <v>0.36730779680366865</v>
      </c>
      <c r="C1711" s="113">
        <f>C390-C380</f>
        <v>0</v>
      </c>
      <c r="D1711" s="113">
        <f>D390-D380</f>
        <v>0</v>
      </c>
      <c r="E1711" s="113">
        <f t="shared" ref="E1711:J1711" si="167">E390-E380</f>
        <v>-6.9725084234306678E-5</v>
      </c>
      <c r="F1711" s="113">
        <f t="shared" si="167"/>
        <v>-24.081647260274028</v>
      </c>
      <c r="G1711" s="113">
        <f t="shared" si="167"/>
        <v>0</v>
      </c>
      <c r="H1711" s="113">
        <f t="shared" si="167"/>
        <v>0</v>
      </c>
      <c r="I1711" s="113">
        <f t="shared" si="167"/>
        <v>0</v>
      </c>
      <c r="J1711" s="113">
        <f t="shared" si="167"/>
        <v>0</v>
      </c>
      <c r="K1711" s="95"/>
      <c r="L1711" s="95"/>
    </row>
    <row r="1712" spans="1:12">
      <c r="A1712" s="2" t="s">
        <v>309</v>
      </c>
      <c r="B1712" s="113">
        <f>B391-B380</f>
        <v>0.28749655251141704</v>
      </c>
      <c r="C1712" s="113">
        <f>C391-C380</f>
        <v>0</v>
      </c>
      <c r="D1712" s="113">
        <f>D391-D380</f>
        <v>0</v>
      </c>
      <c r="E1712" s="113">
        <f t="shared" ref="E1712:J1712" si="168">E391-E380</f>
        <v>-3.3825975634727001E-5</v>
      </c>
      <c r="F1712" s="113">
        <f t="shared" si="168"/>
        <v>-24.081647260274028</v>
      </c>
      <c r="G1712" s="113">
        <f t="shared" si="168"/>
        <v>0</v>
      </c>
      <c r="H1712" s="113">
        <f t="shared" si="168"/>
        <v>0</v>
      </c>
      <c r="I1712" s="113">
        <f t="shared" si="168"/>
        <v>0</v>
      </c>
      <c r="J1712" s="113">
        <f t="shared" si="168"/>
        <v>0</v>
      </c>
      <c r="K1712" s="95"/>
      <c r="L1712" s="95"/>
    </row>
    <row r="1713" spans="1:12">
      <c r="A1713" s="2" t="s">
        <v>301</v>
      </c>
      <c r="B1713" s="113">
        <f>B392-B380</f>
        <v>-3.3900918367580601</v>
      </c>
      <c r="C1713" s="113">
        <f>C392-C380</f>
        <v>-3.3888888888888857</v>
      </c>
      <c r="D1713" s="113">
        <f>D392-D380</f>
        <v>-3.5</v>
      </c>
      <c r="E1713" s="113">
        <f t="shared" ref="E1713:J1713" si="169">E392-E380</f>
        <v>-3.685407287967049</v>
      </c>
      <c r="F1713" s="113">
        <f t="shared" si="169"/>
        <v>-2.9838184931507072</v>
      </c>
      <c r="G1713" s="113">
        <f t="shared" si="169"/>
        <v>-1.129999999999999</v>
      </c>
      <c r="H1713" s="113">
        <f t="shared" si="169"/>
        <v>0</v>
      </c>
      <c r="I1713" s="113">
        <f t="shared" si="169"/>
        <v>0</v>
      </c>
      <c r="J1713" s="113">
        <f t="shared" si="169"/>
        <v>0</v>
      </c>
      <c r="K1713" s="95"/>
      <c r="L1713" s="95"/>
    </row>
    <row r="1714" spans="1:12">
      <c r="A1714" s="2" t="s">
        <v>302</v>
      </c>
      <c r="B1714" s="113">
        <f>B394-B393</f>
        <v>1.2445157952069188</v>
      </c>
      <c r="C1714" s="113">
        <f>C394-C393</f>
        <v>0.11111111111111072</v>
      </c>
      <c r="D1714" s="113">
        <f>D394-D393</f>
        <v>0.11111111111111072</v>
      </c>
      <c r="E1714" s="113">
        <f t="shared" ref="E1714:J1714" si="170">E394-E393</f>
        <v>-2.2969494277099045E-2</v>
      </c>
      <c r="F1714" s="113">
        <f t="shared" si="170"/>
        <v>0</v>
      </c>
      <c r="G1714" s="113">
        <f t="shared" si="170"/>
        <v>0</v>
      </c>
      <c r="H1714" s="113">
        <f t="shared" si="170"/>
        <v>0</v>
      </c>
      <c r="I1714" s="113">
        <f t="shared" si="170"/>
        <v>0</v>
      </c>
      <c r="J1714" s="113">
        <f t="shared" si="170"/>
        <v>0</v>
      </c>
      <c r="K1714" s="95"/>
      <c r="L1714" s="95"/>
    </row>
    <row r="1715" spans="1:12">
      <c r="A1715" s="2" t="s">
        <v>303</v>
      </c>
      <c r="B1715" s="113">
        <f>B397-B395</f>
        <v>13.3271614098173</v>
      </c>
      <c r="C1715" s="113">
        <f>C397-C395</f>
        <v>13.611111111111111</v>
      </c>
      <c r="D1715" s="113">
        <f>D397-D395</f>
        <v>13.555555555555546</v>
      </c>
      <c r="E1715" s="113">
        <f t="shared" ref="E1715:J1715" si="171">E397-E395</f>
        <v>13.502765643540672</v>
      </c>
      <c r="F1715" s="113">
        <f t="shared" si="171"/>
        <v>13.62885844748866</v>
      </c>
      <c r="G1715" s="113">
        <f t="shared" si="171"/>
        <v>15.8</v>
      </c>
      <c r="H1715" s="113">
        <f t="shared" si="171"/>
        <v>0</v>
      </c>
      <c r="I1715" s="113">
        <f t="shared" si="171"/>
        <v>0</v>
      </c>
      <c r="J1715" s="113">
        <f t="shared" si="171"/>
        <v>0</v>
      </c>
      <c r="K1715" s="95"/>
      <c r="L1715" s="95"/>
    </row>
    <row r="1716" spans="1:12">
      <c r="A1716" s="2" t="s">
        <v>304</v>
      </c>
      <c r="B1716" s="113">
        <f>B398-B392</f>
        <v>-0.20888162442924596</v>
      </c>
      <c r="C1716" s="113">
        <f>C398-C392</f>
        <v>-5.5555555555560687E-2</v>
      </c>
      <c r="D1716" s="113">
        <f>D398-D392</f>
        <v>0</v>
      </c>
      <c r="E1716" s="113">
        <f t="shared" ref="E1716:J1716" si="172">E398-E392</f>
        <v>0.19140152601516291</v>
      </c>
      <c r="F1716" s="113">
        <f t="shared" si="172"/>
        <v>0</v>
      </c>
      <c r="G1716" s="113">
        <f t="shared" si="172"/>
        <v>0</v>
      </c>
      <c r="H1716" s="113">
        <f t="shared" si="172"/>
        <v>0</v>
      </c>
      <c r="I1716" s="113">
        <f t="shared" si="172"/>
        <v>0</v>
      </c>
      <c r="J1716" s="113">
        <f t="shared" si="172"/>
        <v>0</v>
      </c>
      <c r="K1716" s="95"/>
      <c r="L1716" s="95"/>
    </row>
    <row r="1717" spans="1:12">
      <c r="A1717" s="2" t="s">
        <v>305</v>
      </c>
      <c r="B1717" s="113">
        <f>B400-B399</f>
        <v>13.31593417237451</v>
      </c>
      <c r="C1717" s="113">
        <f>C400-C399</f>
        <v>13.555555555555561</v>
      </c>
      <c r="D1717" s="113">
        <f>D400-D399</f>
        <v>13.555555555555546</v>
      </c>
      <c r="E1717" s="113">
        <f t="shared" ref="E1717:J1717" si="173">E400-E399</f>
        <v>13.520225258436518</v>
      </c>
      <c r="F1717" s="113">
        <f t="shared" si="173"/>
        <v>13.575986301369944</v>
      </c>
      <c r="G1717" s="113">
        <f t="shared" si="173"/>
        <v>15.71</v>
      </c>
      <c r="H1717" s="113">
        <f t="shared" si="173"/>
        <v>0</v>
      </c>
      <c r="I1717" s="113">
        <f t="shared" si="173"/>
        <v>0</v>
      </c>
      <c r="J1717" s="113">
        <f t="shared" si="173"/>
        <v>0</v>
      </c>
      <c r="K1717" s="95"/>
      <c r="L1717" s="95"/>
    </row>
    <row r="1718" spans="1:12">
      <c r="H1718" s="120"/>
    </row>
    <row r="1719" spans="1:12">
      <c r="H1719" s="120"/>
    </row>
    <row r="1720" spans="1:12">
      <c r="H1720" s="120"/>
    </row>
    <row r="1721" spans="1:12">
      <c r="H1721" s="120"/>
    </row>
    <row r="1722" spans="1:12">
      <c r="H1722" s="120"/>
    </row>
    <row r="1723" spans="1:12">
      <c r="H1723" s="120"/>
    </row>
    <row r="1724" spans="1:12">
      <c r="H1724" s="120"/>
    </row>
    <row r="1725" spans="1:12">
      <c r="H1725" s="120"/>
    </row>
    <row r="1726" spans="1:12">
      <c r="H1726" s="120"/>
    </row>
    <row r="1727" spans="1:12">
      <c r="A1727" t="s">
        <v>314</v>
      </c>
      <c r="H1727" s="120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0">
      <c r="A1729" s="2"/>
      <c r="B1729" s="10" t="s">
        <v>245</v>
      </c>
      <c r="C1729" s="10" t="s">
        <v>257</v>
      </c>
      <c r="D1729" s="10" t="s">
        <v>258</v>
      </c>
      <c r="E1729" s="10" t="s">
        <v>515</v>
      </c>
      <c r="F1729" s="10" t="s">
        <v>373</v>
      </c>
      <c r="G1729" s="10" t="s">
        <v>482</v>
      </c>
      <c r="H1729" s="10" t="s">
        <v>516</v>
      </c>
      <c r="I1729" s="10" t="s">
        <v>517</v>
      </c>
      <c r="J1729" s="10" t="s">
        <v>517</v>
      </c>
    </row>
    <row r="1730" spans="1:10">
      <c r="A1730" s="2" t="s">
        <v>295</v>
      </c>
      <c r="B1730" s="348">
        <f>B411-B410</f>
        <v>2.0018038824201213E-3</v>
      </c>
      <c r="C1730" s="348">
        <f>C411-C410</f>
        <v>2.0999999999999994E-3</v>
      </c>
      <c r="D1730" s="348">
        <f>D411-D410</f>
        <v>2.0999999999999994E-3</v>
      </c>
      <c r="E1730" s="348">
        <f t="shared" ref="E1730:J1730" si="174">E411-E410</f>
        <v>1.9881190888771418E-3</v>
      </c>
      <c r="F1730" s="348">
        <f t="shared" si="174"/>
        <v>1.9998186073059507E-3</v>
      </c>
      <c r="G1730" s="348">
        <f t="shared" si="174"/>
        <v>1.9000000000000006E-3</v>
      </c>
      <c r="H1730" s="348">
        <f t="shared" si="174"/>
        <v>0</v>
      </c>
      <c r="I1730" s="348">
        <f t="shared" si="174"/>
        <v>0</v>
      </c>
      <c r="J1730" s="348">
        <f t="shared" si="174"/>
        <v>0</v>
      </c>
    </row>
    <row r="1731" spans="1:10">
      <c r="A1731" s="2" t="s">
        <v>296</v>
      </c>
      <c r="B1731" s="348">
        <f>B412-B410</f>
        <v>9.189551221461395E-4</v>
      </c>
      <c r="C1731" s="348">
        <f>C412-C410</f>
        <v>8.9999999999999976E-4</v>
      </c>
      <c r="D1731" s="348">
        <f>D412-D410</f>
        <v>8.9999999999999976E-4</v>
      </c>
      <c r="E1731" s="348">
        <f t="shared" ref="E1731:J1731" si="175">E412-E410</f>
        <v>8.7149856487888158E-4</v>
      </c>
      <c r="F1731" s="348">
        <f t="shared" si="175"/>
        <v>8.7437876712331483E-4</v>
      </c>
      <c r="G1731" s="348">
        <f t="shared" si="175"/>
        <v>7.0000000000000097E-4</v>
      </c>
      <c r="H1731" s="348">
        <f t="shared" si="175"/>
        <v>0</v>
      </c>
      <c r="I1731" s="348">
        <f t="shared" si="175"/>
        <v>0</v>
      </c>
      <c r="J1731" s="348">
        <f t="shared" si="175"/>
        <v>0</v>
      </c>
    </row>
    <row r="1732" spans="1:10">
      <c r="A1732" s="2" t="s">
        <v>297</v>
      </c>
      <c r="B1732" s="348">
        <f>B413-B410</f>
        <v>6.7186241552512523E-4</v>
      </c>
      <c r="C1732" s="348">
        <f>C413-C410</f>
        <v>7.0000000000000097E-4</v>
      </c>
      <c r="D1732" s="348">
        <f>D413-D410</f>
        <v>7.0000000000000097E-4</v>
      </c>
      <c r="E1732" s="348">
        <f t="shared" ref="E1732:J1732" si="176">E413-E410</f>
        <v>7.1519293080870953E-4</v>
      </c>
      <c r="F1732" s="348">
        <f t="shared" si="176"/>
        <v>6.3678458904108982E-4</v>
      </c>
      <c r="G1732" s="348">
        <f t="shared" si="176"/>
        <v>7.0000000000000097E-4</v>
      </c>
      <c r="H1732" s="348">
        <f t="shared" si="176"/>
        <v>0</v>
      </c>
      <c r="I1732" s="348">
        <f t="shared" si="176"/>
        <v>0</v>
      </c>
      <c r="J1732" s="348">
        <f t="shared" si="176"/>
        <v>0</v>
      </c>
    </row>
    <row r="1733" spans="1:10">
      <c r="A1733" s="113" t="s">
        <v>422</v>
      </c>
      <c r="B1733" s="348">
        <f>B413-B412</f>
        <v>-2.4709270662101428E-4</v>
      </c>
      <c r="C1733" s="348">
        <f>C413-C412</f>
        <v>-1.9999999999999879E-4</v>
      </c>
      <c r="D1733" s="348">
        <f>D413-D412</f>
        <v>-1.9999999999999879E-4</v>
      </c>
      <c r="E1733" s="348">
        <f t="shared" ref="E1733:J1733" si="177">E413-E412</f>
        <v>-1.5630563407017205E-4</v>
      </c>
      <c r="F1733" s="348">
        <f t="shared" si="177"/>
        <v>-2.3759417808222501E-4</v>
      </c>
      <c r="G1733" s="348">
        <f t="shared" si="177"/>
        <v>0</v>
      </c>
      <c r="H1733" s="348">
        <f t="shared" si="177"/>
        <v>0</v>
      </c>
      <c r="I1733" s="348">
        <f t="shared" si="177"/>
        <v>0</v>
      </c>
      <c r="J1733" s="348">
        <f t="shared" si="177"/>
        <v>0</v>
      </c>
    </row>
    <row r="1734" spans="1:10">
      <c r="A1734" s="113" t="s">
        <v>423</v>
      </c>
      <c r="B1734" s="348">
        <f>B414-B410</f>
        <v>7.2232370091324279E-4</v>
      </c>
      <c r="C1734" s="348">
        <f>C414-C410</f>
        <v>7.0000000000000097E-4</v>
      </c>
      <c r="D1734" s="348">
        <f>D414-D410</f>
        <v>7.0000000000000097E-4</v>
      </c>
      <c r="E1734" s="348">
        <f t="shared" ref="E1734:J1734" si="178">E414-E410</f>
        <v>7.3674821021327795E-4</v>
      </c>
      <c r="F1734" s="348">
        <f t="shared" si="178"/>
        <v>6.9351347031964584E-4</v>
      </c>
      <c r="G1734" s="348">
        <f t="shared" si="178"/>
        <v>7.0000000000000097E-4</v>
      </c>
      <c r="H1734" s="348">
        <f t="shared" si="178"/>
        <v>0</v>
      </c>
      <c r="I1734" s="348">
        <f t="shared" si="178"/>
        <v>0</v>
      </c>
      <c r="J1734" s="348">
        <f t="shared" si="178"/>
        <v>0</v>
      </c>
    </row>
    <row r="1735" spans="1:10">
      <c r="A1735" s="113" t="s">
        <v>424</v>
      </c>
      <c r="B1735" s="348">
        <f>B413-B414</f>
        <v>-5.046128538811756E-5</v>
      </c>
      <c r="C1735" s="348">
        <f>C413-C414</f>
        <v>0</v>
      </c>
      <c r="D1735" s="348">
        <f>D413-D414</f>
        <v>0</v>
      </c>
      <c r="E1735" s="348">
        <f t="shared" ref="E1735:J1735" si="179">E413-E414</f>
        <v>-2.1555279404568417E-5</v>
      </c>
      <c r="F1735" s="348">
        <f t="shared" si="179"/>
        <v>-5.672888127855602E-5</v>
      </c>
      <c r="G1735" s="348">
        <f t="shared" si="179"/>
        <v>0</v>
      </c>
      <c r="H1735" s="348">
        <f t="shared" si="179"/>
        <v>0</v>
      </c>
      <c r="I1735" s="348">
        <f t="shared" si="179"/>
        <v>0</v>
      </c>
      <c r="J1735" s="348">
        <f t="shared" si="179"/>
        <v>0</v>
      </c>
    </row>
    <row r="1736" spans="1:10">
      <c r="A1736" s="2" t="s">
        <v>298</v>
      </c>
      <c r="B1736" s="348">
        <f>B415-B410</f>
        <v>6.3684866095889241E-4</v>
      </c>
      <c r="C1736" s="348">
        <f>C415-C410</f>
        <v>8.0000000000000036E-4</v>
      </c>
      <c r="D1736" s="348">
        <f>D415-D410</f>
        <v>8.0000000000000036E-4</v>
      </c>
      <c r="E1736" s="348">
        <f t="shared" ref="E1736:J1736" si="180">E415-E410</f>
        <v>6.3099153733846974E-4</v>
      </c>
      <c r="F1736" s="348">
        <f t="shared" si="180"/>
        <v>5.8372796803650775E-4</v>
      </c>
      <c r="G1736" s="348">
        <f t="shared" si="180"/>
        <v>5.6999999999999933E-4</v>
      </c>
      <c r="H1736" s="348">
        <f t="shared" si="180"/>
        <v>0</v>
      </c>
      <c r="I1736" s="348">
        <f t="shared" si="180"/>
        <v>0</v>
      </c>
      <c r="J1736" s="348">
        <f t="shared" si="180"/>
        <v>0</v>
      </c>
    </row>
    <row r="1737" spans="1:10">
      <c r="A1737" s="2" t="s">
        <v>299</v>
      </c>
      <c r="B1737" s="348">
        <f>B416-B410</f>
        <v>-5.6960109246573763E-4</v>
      </c>
      <c r="C1737" s="348">
        <f>C416-C410</f>
        <v>-5.0000000000000044E-4</v>
      </c>
      <c r="D1737" s="348">
        <f>D416-D410</f>
        <v>-5.0000000000000044E-4</v>
      </c>
      <c r="E1737" s="348">
        <f t="shared" ref="E1737:J1737" si="181">E416-E410</f>
        <v>-5.59090523765347E-4</v>
      </c>
      <c r="F1737" s="348">
        <f t="shared" si="181"/>
        <v>-6.2237066210045662E-4</v>
      </c>
      <c r="G1737" s="348">
        <f t="shared" si="181"/>
        <v>-6.1999999999999902E-4</v>
      </c>
      <c r="H1737" s="348">
        <f t="shared" si="181"/>
        <v>0</v>
      </c>
      <c r="I1737" s="348">
        <f t="shared" si="181"/>
        <v>0</v>
      </c>
      <c r="J1737" s="348">
        <f t="shared" si="181"/>
        <v>0</v>
      </c>
    </row>
    <row r="1738" spans="1:10">
      <c r="A1738" s="2" t="s">
        <v>300</v>
      </c>
      <c r="B1738" s="348">
        <f>B417-B410</f>
        <v>7.3206289269409086E-4</v>
      </c>
      <c r="C1738" s="348">
        <f>C417-C410</f>
        <v>8.0000000000000036E-4</v>
      </c>
      <c r="D1738" s="348">
        <f>D417-D410</f>
        <v>8.0000000000000036E-4</v>
      </c>
      <c r="E1738" s="348">
        <f t="shared" ref="E1738:J1738" si="182">E417-E410</f>
        <v>8.7651396751430369E-4</v>
      </c>
      <c r="F1738" s="348">
        <f t="shared" si="182"/>
        <v>-9.1748202054794236E-3</v>
      </c>
      <c r="G1738" s="348">
        <f t="shared" si="182"/>
        <v>8.0000000000000036E-4</v>
      </c>
      <c r="H1738" s="348">
        <f t="shared" si="182"/>
        <v>0</v>
      </c>
      <c r="I1738" s="348">
        <f t="shared" si="182"/>
        <v>0</v>
      </c>
      <c r="J1738" s="348">
        <f t="shared" si="182"/>
        <v>0</v>
      </c>
    </row>
    <row r="1739" spans="1:10">
      <c r="A1739" s="2" t="s">
        <v>306</v>
      </c>
      <c r="B1739" s="348">
        <f>B418-B410</f>
        <v>6.7139499086758814E-4</v>
      </c>
      <c r="C1739" s="348">
        <f>C418-C410</f>
        <v>2.9999999999999992E-4</v>
      </c>
      <c r="D1739" s="348">
        <f>D418-D410</f>
        <v>2.9999999999999992E-4</v>
      </c>
      <c r="E1739" s="348">
        <f t="shared" ref="E1739:J1739" si="183">E418-E410</f>
        <v>3.1690081226112138E-4</v>
      </c>
      <c r="F1739" s="348">
        <f t="shared" si="183"/>
        <v>-9.1748202054794236E-3</v>
      </c>
      <c r="G1739" s="348">
        <f t="shared" si="183"/>
        <v>2.9999999999999992E-4</v>
      </c>
      <c r="H1739" s="348">
        <f t="shared" si="183"/>
        <v>0</v>
      </c>
      <c r="I1739" s="348">
        <f t="shared" si="183"/>
        <v>0</v>
      </c>
      <c r="J1739" s="348">
        <f t="shared" si="183"/>
        <v>0</v>
      </c>
    </row>
    <row r="1740" spans="1:10">
      <c r="A1740" s="2" t="s">
        <v>307</v>
      </c>
      <c r="B1740" s="348">
        <f>B419-B410</f>
        <v>1.948053356164315E-4</v>
      </c>
      <c r="C1740" s="348">
        <f>C419-C410</f>
        <v>2.0000000000000052E-4</v>
      </c>
      <c r="D1740" s="348">
        <f>D419-D410</f>
        <v>2.0000000000000052E-4</v>
      </c>
      <c r="E1740" s="348">
        <f t="shared" ref="E1740:J1740" si="184">E419-E410</f>
        <v>1.8217592191088067E-4</v>
      </c>
      <c r="F1740" s="348">
        <f t="shared" si="184"/>
        <v>-9.1748202054794236E-3</v>
      </c>
      <c r="G1740" s="348">
        <f t="shared" si="184"/>
        <v>9.9999999999999395E-5</v>
      </c>
      <c r="H1740" s="348">
        <f t="shared" si="184"/>
        <v>0</v>
      </c>
      <c r="I1740" s="348">
        <f t="shared" si="184"/>
        <v>0</v>
      </c>
      <c r="J1740" s="348">
        <f t="shared" si="184"/>
        <v>0</v>
      </c>
    </row>
    <row r="1741" spans="1:10">
      <c r="A1741" s="2" t="s">
        <v>308</v>
      </c>
      <c r="B1741" s="348">
        <f>B420-B410</f>
        <v>2.4119457648403946E-4</v>
      </c>
      <c r="C1741" s="348">
        <f>C420-C410</f>
        <v>2.0000000000000052E-4</v>
      </c>
      <c r="D1741" s="348">
        <f>D420-D410</f>
        <v>2.0000000000000052E-4</v>
      </c>
      <c r="E1741" s="348">
        <f t="shared" ref="E1741:J1741" si="185">E420-E410</f>
        <v>2.2162878483350697E-4</v>
      </c>
      <c r="F1741" s="348">
        <f t="shared" si="185"/>
        <v>-9.1748202054794236E-3</v>
      </c>
      <c r="G1741" s="348">
        <f t="shared" si="185"/>
        <v>2.0000000000000052E-4</v>
      </c>
      <c r="H1741" s="348">
        <f t="shared" si="185"/>
        <v>0</v>
      </c>
      <c r="I1741" s="348">
        <f t="shared" si="185"/>
        <v>0</v>
      </c>
      <c r="J1741" s="348">
        <f t="shared" si="185"/>
        <v>0</v>
      </c>
    </row>
    <row r="1742" spans="1:10">
      <c r="A1742" s="2" t="s">
        <v>309</v>
      </c>
      <c r="B1742" s="348">
        <f>B421-B410</f>
        <v>8.8737745433848519E-5</v>
      </c>
      <c r="C1742" s="348">
        <f>C421-C410</f>
        <v>9.9999999999999395E-5</v>
      </c>
      <c r="D1742" s="348">
        <f>D421-D410</f>
        <v>9.9999999999999395E-5</v>
      </c>
      <c r="E1742" s="348">
        <f t="shared" ref="E1742:J1742" si="186">E421-E410</f>
        <v>6.5315778344969891E-5</v>
      </c>
      <c r="F1742" s="348">
        <f t="shared" si="186"/>
        <v>-9.1748202054794236E-3</v>
      </c>
      <c r="G1742" s="348">
        <f t="shared" si="186"/>
        <v>0</v>
      </c>
      <c r="H1742" s="348">
        <f t="shared" si="186"/>
        <v>0</v>
      </c>
      <c r="I1742" s="348">
        <f t="shared" si="186"/>
        <v>0</v>
      </c>
      <c r="J1742" s="348">
        <f t="shared" si="186"/>
        <v>0</v>
      </c>
    </row>
    <row r="1743" spans="1:10">
      <c r="A1743" s="2" t="s">
        <v>301</v>
      </c>
      <c r="B1743" s="348">
        <f>B422-B410</f>
        <v>7.0621746232890983E-4</v>
      </c>
      <c r="C1743" s="348">
        <f>C422-C410</f>
        <v>-9.1999999999999998E-3</v>
      </c>
      <c r="D1743" s="348">
        <f>D422-D410</f>
        <v>-9.1999999999999998E-3</v>
      </c>
      <c r="E1743" s="348">
        <f t="shared" ref="E1743:J1743" si="187">E422-E410</f>
        <v>-1.9753348091282319E-5</v>
      </c>
      <c r="F1743" s="348">
        <f t="shared" si="187"/>
        <v>1.0434691780819433E-3</v>
      </c>
      <c r="G1743" s="348">
        <f t="shared" si="187"/>
        <v>1.4999999999999996E-3</v>
      </c>
      <c r="H1743" s="348">
        <f t="shared" si="187"/>
        <v>0</v>
      </c>
      <c r="I1743" s="348">
        <f t="shared" si="187"/>
        <v>0</v>
      </c>
      <c r="J1743" s="348">
        <f t="shared" si="187"/>
        <v>0</v>
      </c>
    </row>
    <row r="1744" spans="1:10">
      <c r="A1744" s="2" t="s">
        <v>302</v>
      </c>
      <c r="B1744" s="348">
        <f>B424-B423</f>
        <v>3.7456849128538784E-4</v>
      </c>
      <c r="C1744" s="348">
        <f>C424-C423</f>
        <v>0</v>
      </c>
      <c r="D1744" s="348">
        <f>D424-D423</f>
        <v>0</v>
      </c>
      <c r="E1744" s="348">
        <f t="shared" ref="E1744:J1744" si="188">E424-E423</f>
        <v>8.37685486957708E-6</v>
      </c>
      <c r="F1744" s="348">
        <f t="shared" si="188"/>
        <v>-8.8997821353319073E-7</v>
      </c>
      <c r="G1744" s="348">
        <f t="shared" si="188"/>
        <v>0</v>
      </c>
      <c r="H1744" s="348">
        <f t="shared" si="188"/>
        <v>0</v>
      </c>
      <c r="I1744" s="348">
        <f t="shared" si="188"/>
        <v>0</v>
      </c>
      <c r="J1744" s="348">
        <f t="shared" si="188"/>
        <v>0</v>
      </c>
    </row>
    <row r="1745" spans="1:10">
      <c r="A1745" s="2" t="s">
        <v>303</v>
      </c>
      <c r="B1745" s="348">
        <f>B427-B425</f>
        <v>7.0203072796806484E-3</v>
      </c>
      <c r="C1745" s="348">
        <f>C427-C425</f>
        <v>0</v>
      </c>
      <c r="D1745" s="348">
        <f>D427-D425</f>
        <v>0</v>
      </c>
      <c r="E1745" s="348">
        <f t="shared" ref="E1745:J1745" si="189">E427-E425</f>
        <v>7.3646007556345296E-3</v>
      </c>
      <c r="F1745" s="348">
        <f t="shared" si="189"/>
        <v>6.9569328767116667E-3</v>
      </c>
      <c r="G1745" s="348">
        <f t="shared" si="189"/>
        <v>7.4700000000000009E-3</v>
      </c>
      <c r="H1745" s="348">
        <f t="shared" si="189"/>
        <v>0</v>
      </c>
      <c r="I1745" s="348">
        <f t="shared" si="189"/>
        <v>0</v>
      </c>
      <c r="J1745" s="348">
        <f t="shared" si="189"/>
        <v>0</v>
      </c>
    </row>
    <row r="1746" spans="1:10">
      <c r="A1746" s="2" t="s">
        <v>304</v>
      </c>
      <c r="B1746" s="348">
        <f>B428-B422</f>
        <v>-3.5487509520560241E-3</v>
      </c>
      <c r="C1746" s="348">
        <f>C428-C422</f>
        <v>0</v>
      </c>
      <c r="D1746" s="348">
        <f>D428-D422</f>
        <v>0</v>
      </c>
      <c r="E1746" s="348">
        <f t="shared" ref="E1746:J1746" si="190">E428-E422</f>
        <v>-2.6608656183615556E-3</v>
      </c>
      <c r="F1746" s="348">
        <f t="shared" si="190"/>
        <v>-4.4207799086762129E-3</v>
      </c>
      <c r="G1746" s="348">
        <f t="shared" si="190"/>
        <v>-4.0299999999999997E-3</v>
      </c>
      <c r="H1746" s="348">
        <f t="shared" si="190"/>
        <v>0</v>
      </c>
      <c r="I1746" s="348">
        <f t="shared" si="190"/>
        <v>0</v>
      </c>
      <c r="J1746" s="348">
        <f t="shared" si="190"/>
        <v>0</v>
      </c>
    </row>
    <row r="1747" spans="1:10">
      <c r="A1747" s="2" t="s">
        <v>305</v>
      </c>
      <c r="B1747" s="348">
        <f>B430-B429</f>
        <v>1.766440163240555E-3</v>
      </c>
      <c r="C1747" s="348">
        <f>C430-C429</f>
        <v>0</v>
      </c>
      <c r="D1747" s="348">
        <f>D430-D429</f>
        <v>0</v>
      </c>
      <c r="E1747" s="348">
        <f t="shared" ref="E1747:J1747" si="191">E430-E429</f>
        <v>2.4077235955689315E-3</v>
      </c>
      <c r="F1747" s="348">
        <f t="shared" si="191"/>
        <v>2.8944619863000192E-3</v>
      </c>
      <c r="G1747" s="348">
        <f t="shared" si="191"/>
        <v>2.5900000000000003E-3</v>
      </c>
      <c r="H1747" s="348">
        <f t="shared" si="191"/>
        <v>0</v>
      </c>
      <c r="I1747" s="348">
        <f t="shared" si="191"/>
        <v>0</v>
      </c>
      <c r="J1747" s="348">
        <f t="shared" si="191"/>
        <v>0</v>
      </c>
    </row>
    <row r="1748" spans="1:10">
      <c r="H1748" s="120"/>
    </row>
    <row r="1749" spans="1:10">
      <c r="H1749" s="120"/>
    </row>
    <row r="1750" spans="1:10">
      <c r="H1750" s="120"/>
    </row>
    <row r="1751" spans="1:10">
      <c r="H1751" s="120"/>
    </row>
    <row r="1752" spans="1:10">
      <c r="H1752" s="120"/>
    </row>
    <row r="1753" spans="1:10">
      <c r="H1753" s="120"/>
    </row>
    <row r="1754" spans="1:10">
      <c r="H1754" s="120"/>
    </row>
    <row r="1755" spans="1:10">
      <c r="H1755" s="120"/>
    </row>
    <row r="1756" spans="1:10">
      <c r="H1756" s="120"/>
    </row>
    <row r="1757" spans="1:10">
      <c r="A1757" t="s">
        <v>315</v>
      </c>
      <c r="H1757" s="120"/>
    </row>
    <row r="1758" spans="1:10">
      <c r="A1758" s="2"/>
      <c r="B1758" s="10"/>
      <c r="C1758" s="10"/>
      <c r="D1758" s="10"/>
      <c r="E1758" s="10"/>
      <c r="F1758" s="10"/>
      <c r="G1758" s="10"/>
      <c r="H1758" s="10"/>
    </row>
    <row r="1759" spans="1:10">
      <c r="A1759" s="2"/>
      <c r="B1759" s="10" t="s">
        <v>245</v>
      </c>
      <c r="C1759" s="10" t="s">
        <v>257</v>
      </c>
      <c r="D1759" s="10" t="s">
        <v>258</v>
      </c>
      <c r="E1759" s="10" t="s">
        <v>515</v>
      </c>
      <c r="F1759" s="10" t="s">
        <v>373</v>
      </c>
      <c r="G1759" s="10" t="s">
        <v>482</v>
      </c>
      <c r="H1759" s="10" t="s">
        <v>516</v>
      </c>
      <c r="I1759" s="10" t="s">
        <v>517</v>
      </c>
      <c r="J1759" s="10" t="s">
        <v>517</v>
      </c>
    </row>
    <row r="1760" spans="1:10">
      <c r="A1760" s="2" t="s">
        <v>295</v>
      </c>
      <c r="B1760" s="113">
        <f>B441-B440</f>
        <v>9.71584081050176</v>
      </c>
      <c r="C1760" s="113">
        <f>C441-C440</f>
        <v>10.25</v>
      </c>
      <c r="D1760" s="113">
        <f>D441-D440</f>
        <v>10.25</v>
      </c>
      <c r="E1760" s="113">
        <f t="shared" ref="E1760:J1760" si="192">E441-E440</f>
        <v>10.016303972415322</v>
      </c>
      <c r="F1760" s="113">
        <f t="shared" si="192"/>
        <v>10.014840182646743</v>
      </c>
      <c r="G1760" s="113">
        <f t="shared" si="192"/>
        <v>9.8699999999999974</v>
      </c>
      <c r="H1760" s="113">
        <f t="shared" si="192"/>
        <v>0</v>
      </c>
      <c r="I1760" s="113">
        <f t="shared" si="192"/>
        <v>0</v>
      </c>
      <c r="J1760" s="113">
        <f t="shared" si="192"/>
        <v>0</v>
      </c>
    </row>
    <row r="1761" spans="1:10">
      <c r="A1761" s="2" t="s">
        <v>296</v>
      </c>
      <c r="B1761" s="113">
        <f>B442-B440</f>
        <v>3.3904429109588961</v>
      </c>
      <c r="C1761" s="113">
        <f>C442-C440</f>
        <v>2.9500000000000028</v>
      </c>
      <c r="D1761" s="113">
        <f>D442-D440</f>
        <v>2.9699999999999989</v>
      </c>
      <c r="E1761" s="113">
        <f t="shared" ref="E1761:J1761" si="193">E442-E440</f>
        <v>3.5083361998683955</v>
      </c>
      <c r="F1761" s="113">
        <f t="shared" si="193"/>
        <v>3.2772831050228106</v>
      </c>
      <c r="G1761" s="113">
        <f t="shared" si="193"/>
        <v>2.009999999999998</v>
      </c>
      <c r="H1761" s="113">
        <f t="shared" si="193"/>
        <v>0</v>
      </c>
      <c r="I1761" s="113">
        <f t="shared" si="193"/>
        <v>0</v>
      </c>
      <c r="J1761" s="113">
        <f t="shared" si="193"/>
        <v>0</v>
      </c>
    </row>
    <row r="1762" spans="1:10">
      <c r="A1762" s="2" t="s">
        <v>297</v>
      </c>
      <c r="B1762" s="113">
        <f>B443-B440</f>
        <v>2.2296104452054237</v>
      </c>
      <c r="C1762" s="113">
        <f>C443-C440</f>
        <v>2.3200000000000003</v>
      </c>
      <c r="D1762" s="113">
        <f>D443-D440</f>
        <v>2.3699999999999974</v>
      </c>
      <c r="E1762" s="113">
        <f t="shared" ref="E1762:J1762" si="194">E443-E440</f>
        <v>2.6617427477498623</v>
      </c>
      <c r="F1762" s="113">
        <f t="shared" si="194"/>
        <v>2.2586757990866175</v>
      </c>
      <c r="G1762" s="113">
        <f t="shared" si="194"/>
        <v>2.7700000000000031</v>
      </c>
      <c r="H1762" s="113">
        <f t="shared" si="194"/>
        <v>0</v>
      </c>
      <c r="I1762" s="113">
        <f t="shared" si="194"/>
        <v>0</v>
      </c>
      <c r="J1762" s="113">
        <f t="shared" si="194"/>
        <v>0</v>
      </c>
    </row>
    <row r="1763" spans="1:10">
      <c r="A1763" s="113" t="s">
        <v>422</v>
      </c>
      <c r="B1763" s="113">
        <f>B443-B442</f>
        <v>-1.1608324657534723</v>
      </c>
      <c r="C1763" s="113">
        <f>C443-C442</f>
        <v>-0.63000000000000256</v>
      </c>
      <c r="D1763" s="113">
        <f>D443-D442</f>
        <v>-0.60000000000000142</v>
      </c>
      <c r="E1763" s="113">
        <f t="shared" ref="E1763:J1763" si="195">E443-E442</f>
        <v>-0.84659345211853321</v>
      </c>
      <c r="F1763" s="113">
        <f t="shared" si="195"/>
        <v>-1.0186073059361931</v>
      </c>
      <c r="G1763" s="113">
        <f t="shared" si="195"/>
        <v>0.76000000000000512</v>
      </c>
      <c r="H1763" s="113">
        <f t="shared" si="195"/>
        <v>0</v>
      </c>
      <c r="I1763" s="113">
        <f t="shared" si="195"/>
        <v>0</v>
      </c>
      <c r="J1763" s="113">
        <f t="shared" si="195"/>
        <v>0</v>
      </c>
    </row>
    <row r="1764" spans="1:10">
      <c r="A1764" s="113" t="s">
        <v>423</v>
      </c>
      <c r="B1764" s="113">
        <f>B444-B440</f>
        <v>2.4701719406391831</v>
      </c>
      <c r="C1764" s="113">
        <f>C444-C440</f>
        <v>2.4299999999999997</v>
      </c>
      <c r="D1764" s="113">
        <f>D444-D440</f>
        <v>2.4499999999999957</v>
      </c>
      <c r="E1764" s="113">
        <f t="shared" ref="E1764:J1764" si="196">E444-E440</f>
        <v>2.7026421637180604</v>
      </c>
      <c r="F1764" s="113">
        <f t="shared" si="196"/>
        <v>2.470547945205503</v>
      </c>
      <c r="G1764" s="113">
        <f t="shared" si="196"/>
        <v>2.8500000000000014</v>
      </c>
      <c r="H1764" s="113">
        <f t="shared" si="196"/>
        <v>0</v>
      </c>
      <c r="I1764" s="113">
        <f t="shared" si="196"/>
        <v>0</v>
      </c>
      <c r="J1764" s="113">
        <f t="shared" si="196"/>
        <v>0</v>
      </c>
    </row>
    <row r="1765" spans="1:10">
      <c r="A1765" s="113" t="s">
        <v>424</v>
      </c>
      <c r="B1765" s="113">
        <f>B443-B444</f>
        <v>-0.24056149543375938</v>
      </c>
      <c r="C1765" s="113">
        <f>C443-C444</f>
        <v>-0.10999999999999943</v>
      </c>
      <c r="D1765" s="113">
        <f>D443-D444</f>
        <v>-7.9999999999998295E-2</v>
      </c>
      <c r="E1765" s="113">
        <f t="shared" ref="E1765:J1765" si="197">E443-E444</f>
        <v>-4.0899415968198127E-2</v>
      </c>
      <c r="F1765" s="113">
        <f t="shared" si="197"/>
        <v>-0.2118721461188855</v>
      </c>
      <c r="G1765" s="113">
        <f t="shared" si="197"/>
        <v>-7.9999999999998295E-2</v>
      </c>
      <c r="H1765" s="113">
        <f t="shared" si="197"/>
        <v>0</v>
      </c>
      <c r="I1765" s="113">
        <f t="shared" si="197"/>
        <v>0</v>
      </c>
      <c r="J1765" s="113">
        <f t="shared" si="197"/>
        <v>0</v>
      </c>
    </row>
    <row r="1766" spans="1:10">
      <c r="A1766" s="2" t="s">
        <v>298</v>
      </c>
      <c r="B1766" s="113">
        <f>B445-B440</f>
        <v>-3.1309044748858241</v>
      </c>
      <c r="C1766" s="113">
        <f>C445-C440</f>
        <v>-2.8099999999999952</v>
      </c>
      <c r="D1766" s="113">
        <f>D445-D440</f>
        <v>-2.730000000000004</v>
      </c>
      <c r="E1766" s="113">
        <f t="shared" ref="E1766:J1766" si="198">E445-E440</f>
        <v>-3.3505316843834692</v>
      </c>
      <c r="F1766" s="113">
        <f t="shared" si="198"/>
        <v>-3.5099315068494761</v>
      </c>
      <c r="G1766" s="113">
        <f t="shared" si="198"/>
        <v>-3.3699999999999974</v>
      </c>
      <c r="H1766" s="113">
        <f t="shared" si="198"/>
        <v>0</v>
      </c>
      <c r="I1766" s="113">
        <f t="shared" si="198"/>
        <v>0</v>
      </c>
      <c r="J1766" s="113">
        <f t="shared" si="198"/>
        <v>0</v>
      </c>
    </row>
    <row r="1767" spans="1:10">
      <c r="A1767" s="2" t="s">
        <v>299</v>
      </c>
      <c r="B1767" s="113">
        <f>B446-B440</f>
        <v>-7.5813861187215963</v>
      </c>
      <c r="C1767" s="113">
        <f>C446-C440</f>
        <v>-6.769999999999996</v>
      </c>
      <c r="D1767" s="113">
        <f>D446-D440</f>
        <v>-6.7899999999999991</v>
      </c>
      <c r="E1767" s="113">
        <f t="shared" ref="E1767:J1767" si="199">E446-E440</f>
        <v>-6.5810420142511532</v>
      </c>
      <c r="F1767" s="113">
        <f t="shared" si="199"/>
        <v>-6.9551369862997703</v>
      </c>
      <c r="G1767" s="113">
        <f t="shared" si="199"/>
        <v>-6.7199999999999989</v>
      </c>
      <c r="H1767" s="113">
        <f t="shared" si="199"/>
        <v>0</v>
      </c>
      <c r="I1767" s="113">
        <f t="shared" si="199"/>
        <v>0</v>
      </c>
      <c r="J1767" s="113">
        <f t="shared" si="199"/>
        <v>0</v>
      </c>
    </row>
    <row r="1768" spans="1:10">
      <c r="A1768" s="2" t="s">
        <v>300</v>
      </c>
      <c r="B1768" s="113">
        <f>B447-B440</f>
        <v>2.1560376255706188</v>
      </c>
      <c r="C1768" s="113">
        <f>C447-C440</f>
        <v>3.9500000000000028</v>
      </c>
      <c r="D1768" s="113">
        <f>D447-D440</f>
        <v>3.9699999999999989</v>
      </c>
      <c r="E1768" s="113">
        <f t="shared" ref="E1768:J1768" si="200">E447-E440</f>
        <v>4.3298394843467491</v>
      </c>
      <c r="F1768" s="113">
        <f t="shared" si="200"/>
        <v>-47.82614155251165</v>
      </c>
      <c r="G1768" s="113">
        <f t="shared" si="200"/>
        <v>4.0799999999999983</v>
      </c>
      <c r="H1768" s="113">
        <f t="shared" si="200"/>
        <v>0</v>
      </c>
      <c r="I1768" s="113">
        <f t="shared" si="200"/>
        <v>0</v>
      </c>
      <c r="J1768" s="113">
        <f t="shared" si="200"/>
        <v>0</v>
      </c>
    </row>
    <row r="1769" spans="1:10">
      <c r="A1769" s="2" t="s">
        <v>306</v>
      </c>
      <c r="B1769" s="113">
        <f>B448-B440</f>
        <v>1.8822388470317151</v>
      </c>
      <c r="C1769" s="113">
        <f>C448-C440</f>
        <v>1.3900000000000006</v>
      </c>
      <c r="D1769" s="113">
        <f>D448-D440</f>
        <v>1.3500000000000014</v>
      </c>
      <c r="E1769" s="113">
        <f t="shared" ref="E1769:J1769" si="201">E448-E440</f>
        <v>1.5713856767388279</v>
      </c>
      <c r="F1769" s="113">
        <f t="shared" si="201"/>
        <v>-47.82614155251165</v>
      </c>
      <c r="G1769" s="113">
        <f t="shared" si="201"/>
        <v>1.8200000000000003</v>
      </c>
      <c r="H1769" s="113">
        <f t="shared" si="201"/>
        <v>0</v>
      </c>
      <c r="I1769" s="113">
        <f t="shared" si="201"/>
        <v>0</v>
      </c>
      <c r="J1769" s="113">
        <f t="shared" si="201"/>
        <v>0</v>
      </c>
    </row>
    <row r="1770" spans="1:10">
      <c r="A1770" s="2" t="s">
        <v>307</v>
      </c>
      <c r="B1770" s="113">
        <f>B449-B440</f>
        <v>0.164507899543473</v>
      </c>
      <c r="C1770" s="113">
        <f>C449-C440</f>
        <v>0.88000000000000256</v>
      </c>
      <c r="D1770" s="113">
        <f>D449-D440</f>
        <v>0.68999999999999773</v>
      </c>
      <c r="E1770" s="113">
        <f t="shared" ref="E1770:J1770" si="202">E449-E440</f>
        <v>0.90472324323579301</v>
      </c>
      <c r="F1770" s="113">
        <f t="shared" si="202"/>
        <v>-47.82614155251165</v>
      </c>
      <c r="G1770" s="113">
        <f t="shared" si="202"/>
        <v>0.82999999999999829</v>
      </c>
      <c r="H1770" s="113">
        <f t="shared" si="202"/>
        <v>0</v>
      </c>
      <c r="I1770" s="113">
        <f t="shared" si="202"/>
        <v>0</v>
      </c>
      <c r="J1770" s="113">
        <f t="shared" si="202"/>
        <v>0</v>
      </c>
    </row>
    <row r="1771" spans="1:10">
      <c r="A1771" s="2" t="s">
        <v>308</v>
      </c>
      <c r="B1771" s="113">
        <f>B450-B440</f>
        <v>0.20708473744288369</v>
      </c>
      <c r="C1771" s="113">
        <f>C450-C440</f>
        <v>0.91000000000000369</v>
      </c>
      <c r="D1771" s="113">
        <f>D450-D440</f>
        <v>1.019999999999996</v>
      </c>
      <c r="E1771" s="113">
        <f t="shared" ref="E1771:J1771" si="203">E450-E440</f>
        <v>1.0996807144149443</v>
      </c>
      <c r="F1771" s="113">
        <f t="shared" si="203"/>
        <v>-47.82614155251165</v>
      </c>
      <c r="G1771" s="113">
        <f t="shared" si="203"/>
        <v>1.240000000000002</v>
      </c>
      <c r="H1771" s="113">
        <f t="shared" si="203"/>
        <v>0</v>
      </c>
      <c r="I1771" s="113">
        <f t="shared" si="203"/>
        <v>0</v>
      </c>
      <c r="J1771" s="113">
        <f t="shared" si="203"/>
        <v>0</v>
      </c>
    </row>
    <row r="1772" spans="1:10">
      <c r="A1772" s="2" t="s">
        <v>309</v>
      </c>
      <c r="B1772" s="113">
        <f>B451-B440</f>
        <v>-0.28509143835612605</v>
      </c>
      <c r="C1772" s="113">
        <f>C451-C440</f>
        <v>0.20000000000000284</v>
      </c>
      <c r="D1772" s="113">
        <f>D451-D440</f>
        <v>0.28999999999999915</v>
      </c>
      <c r="E1772" s="113">
        <f t="shared" ref="E1772:J1772" si="204">E451-E440</f>
        <v>0.32416350654671078</v>
      </c>
      <c r="F1772" s="113">
        <f t="shared" si="204"/>
        <v>-47.82614155251165</v>
      </c>
      <c r="G1772" s="113">
        <f t="shared" si="204"/>
        <v>0.29999999999999716</v>
      </c>
      <c r="H1772" s="113">
        <f t="shared" si="204"/>
        <v>0</v>
      </c>
      <c r="I1772" s="113">
        <f t="shared" si="204"/>
        <v>0</v>
      </c>
      <c r="J1772" s="113">
        <f t="shared" si="204"/>
        <v>0</v>
      </c>
    </row>
    <row r="1773" spans="1:10">
      <c r="A1773" s="2" t="s">
        <v>301</v>
      </c>
      <c r="B1773" s="113">
        <f>B452-B440</f>
        <v>17.911262100456398</v>
      </c>
      <c r="C1773" s="113">
        <f>C452-C440</f>
        <v>-48.26</v>
      </c>
      <c r="D1773" s="113">
        <f>D452-D440</f>
        <v>-48.28</v>
      </c>
      <c r="E1773" s="113">
        <f t="shared" ref="E1773:J1773" si="205">E452-E440</f>
        <v>9.9914558361476011</v>
      </c>
      <c r="F1773" s="113">
        <f t="shared" si="205"/>
        <v>18.115753424659552</v>
      </c>
      <c r="G1773" s="113">
        <f t="shared" si="205"/>
        <v>15.799999999999997</v>
      </c>
      <c r="H1773" s="113">
        <f t="shared" si="205"/>
        <v>0</v>
      </c>
      <c r="I1773" s="113">
        <f t="shared" si="205"/>
        <v>0</v>
      </c>
      <c r="J1773" s="113">
        <f t="shared" si="205"/>
        <v>0</v>
      </c>
    </row>
    <row r="1774" spans="1:10">
      <c r="A1774" s="2" t="s">
        <v>302</v>
      </c>
      <c r="B1774" s="113">
        <f>B454-B453</f>
        <v>-2.3475590686273549</v>
      </c>
      <c r="C1774" s="113">
        <f>C454-C453</f>
        <v>-0.10999999999999943</v>
      </c>
      <c r="D1774" s="113">
        <f>D454-D453</f>
        <v>-0.10999999999999943</v>
      </c>
      <c r="E1774" s="113">
        <f t="shared" ref="E1774:J1774" si="206">E454-E453</f>
        <v>0.11781526126443254</v>
      </c>
      <c r="F1774" s="113">
        <f t="shared" si="206"/>
        <v>-1.0620915032731659E-2</v>
      </c>
      <c r="G1774" s="113">
        <f t="shared" si="206"/>
        <v>0.10999999999999943</v>
      </c>
      <c r="H1774" s="113">
        <f t="shared" si="206"/>
        <v>0</v>
      </c>
      <c r="I1774" s="113">
        <f t="shared" si="206"/>
        <v>0</v>
      </c>
      <c r="J1774" s="113">
        <f t="shared" si="206"/>
        <v>0</v>
      </c>
    </row>
    <row r="1775" spans="1:10">
      <c r="A1775" s="2" t="s">
        <v>303</v>
      </c>
      <c r="B1775" s="113">
        <f>B457-B455</f>
        <v>-8.4070569178079779</v>
      </c>
      <c r="C1775" s="113">
        <f>C457-C455</f>
        <v>0</v>
      </c>
      <c r="D1775" s="113">
        <f>D457-D455</f>
        <v>0</v>
      </c>
      <c r="E1775" s="113">
        <f t="shared" ref="E1775:J1775" si="207">E457-E455</f>
        <v>-7.2115222511503916</v>
      </c>
      <c r="F1775" s="113">
        <f t="shared" si="207"/>
        <v>-10.088127853884934</v>
      </c>
      <c r="G1775" s="113">
        <f t="shared" si="207"/>
        <v>-14.800000000000004</v>
      </c>
      <c r="H1775" s="113">
        <f t="shared" si="207"/>
        <v>0</v>
      </c>
      <c r="I1775" s="113">
        <f t="shared" si="207"/>
        <v>0</v>
      </c>
      <c r="J1775" s="113">
        <f t="shared" si="207"/>
        <v>0</v>
      </c>
    </row>
    <row r="1776" spans="1:10">
      <c r="A1776" s="2" t="s">
        <v>304</v>
      </c>
      <c r="B1776" s="113">
        <f>B458-B452</f>
        <v>-19.79618232876696</v>
      </c>
      <c r="C1776" s="113">
        <f>C458-C452</f>
        <v>0</v>
      </c>
      <c r="D1776" s="113">
        <f>D458-D452</f>
        <v>0</v>
      </c>
      <c r="E1776" s="113">
        <f t="shared" ref="E1776:J1776" si="208">E458-E452</f>
        <v>-10.40469219254431</v>
      </c>
      <c r="F1776" s="113">
        <f t="shared" si="208"/>
        <v>-24.490296803649507</v>
      </c>
      <c r="G1776" s="113">
        <f t="shared" si="208"/>
        <v>-24.129999999999995</v>
      </c>
      <c r="H1776" s="113">
        <f t="shared" si="208"/>
        <v>0</v>
      </c>
      <c r="I1776" s="113">
        <f t="shared" si="208"/>
        <v>0</v>
      </c>
      <c r="J1776" s="113">
        <f t="shared" si="208"/>
        <v>0</v>
      </c>
    </row>
    <row r="1777" spans="1:25">
      <c r="A1777" s="2" t="s">
        <v>305</v>
      </c>
      <c r="B1777" s="113">
        <f>B460-B459</f>
        <v>-11.896106038813087</v>
      </c>
      <c r="C1777" s="113">
        <f>C460-C459</f>
        <v>0</v>
      </c>
      <c r="D1777" s="113">
        <f>D460-D459</f>
        <v>0</v>
      </c>
      <c r="E1777" s="113">
        <f t="shared" ref="E1777:J1777" si="209">E460-E459</f>
        <v>-7.5468826748804503</v>
      </c>
      <c r="F1777" s="113">
        <f t="shared" si="209"/>
        <v>-3.17625570775607</v>
      </c>
      <c r="G1777" s="113">
        <f t="shared" si="209"/>
        <v>-14.620000000000001</v>
      </c>
      <c r="H1777" s="113">
        <f t="shared" si="209"/>
        <v>0</v>
      </c>
      <c r="I1777" s="113">
        <f t="shared" si="209"/>
        <v>0</v>
      </c>
      <c r="J1777" s="113">
        <f t="shared" si="209"/>
        <v>0</v>
      </c>
    </row>
    <row r="1782" spans="1:25" ht="15.75">
      <c r="A1782" s="58" t="s">
        <v>486</v>
      </c>
    </row>
    <row r="1785" spans="1:25">
      <c r="B1785" s="10"/>
    </row>
    <row r="1786" spans="1:25">
      <c r="B1786" s="10"/>
    </row>
    <row r="1787" spans="1:25">
      <c r="A1787" t="s">
        <v>429</v>
      </c>
    </row>
    <row r="1788" spans="1:25">
      <c r="A1788" s="2"/>
      <c r="B1788" s="10"/>
      <c r="C1788" s="10"/>
      <c r="D1788" s="10"/>
      <c r="E1788" s="10"/>
      <c r="F1788" s="10"/>
      <c r="G1788" s="10"/>
      <c r="H1788" s="10"/>
    </row>
    <row r="1789" spans="1:25">
      <c r="A1789" s="2"/>
      <c r="B1789" s="10" t="s">
        <v>245</v>
      </c>
      <c r="C1789" s="10" t="s">
        <v>257</v>
      </c>
      <c r="D1789" s="10" t="s">
        <v>258</v>
      </c>
      <c r="E1789" s="10" t="s">
        <v>515</v>
      </c>
      <c r="F1789" s="10" t="s">
        <v>373</v>
      </c>
      <c r="G1789" s="10" t="s">
        <v>482</v>
      </c>
      <c r="H1789" s="10" t="s">
        <v>516</v>
      </c>
      <c r="I1789" s="10" t="s">
        <v>517</v>
      </c>
      <c r="J1789" s="10" t="s">
        <v>517</v>
      </c>
    </row>
    <row r="1790" spans="1:25">
      <c r="A1790" s="2" t="s">
        <v>295</v>
      </c>
      <c r="B1790" s="115">
        <f>B1051-B1050</f>
        <v>968.3644875039754</v>
      </c>
      <c r="C1790" s="115">
        <f>E1051-E1050</f>
        <v>1019</v>
      </c>
      <c r="D1790" s="115">
        <f>H1051-H1050</f>
        <v>993</v>
      </c>
      <c r="E1790" s="115">
        <f>K1051-K1050</f>
        <v>576.37039825340071</v>
      </c>
      <c r="F1790" s="115">
        <f>N1051-N1050</f>
        <v>721</v>
      </c>
      <c r="G1790" s="115">
        <f>Q1051-Q1050</f>
        <v>614</v>
      </c>
      <c r="H1790" s="115">
        <f>T1051-T1050</f>
        <v>0</v>
      </c>
      <c r="I1790" s="115">
        <f>W1051-W1050</f>
        <v>0</v>
      </c>
      <c r="J1790" s="115">
        <f>Z1051-Z1050</f>
        <v>0</v>
      </c>
      <c r="L1790" s="115"/>
      <c r="M1790" s="115"/>
      <c r="O1790" s="115"/>
      <c r="P1790" s="115"/>
      <c r="R1790" s="115"/>
      <c r="S1790" s="115"/>
      <c r="T1790" s="115"/>
      <c r="U1790" s="115"/>
      <c r="V1790" s="115"/>
      <c r="W1790" s="115"/>
      <c r="X1790" s="115"/>
      <c r="Y1790" s="115"/>
    </row>
    <row r="1791" spans="1:25">
      <c r="A1791" s="2" t="s">
        <v>296</v>
      </c>
      <c r="B1791" s="115">
        <f>B1052-B1050</f>
        <v>1402.1615356183192</v>
      </c>
      <c r="C1791" s="115">
        <f>E1052-E1050</f>
        <v>1352</v>
      </c>
      <c r="D1791" s="115">
        <f>H1052-H1050</f>
        <v>1379</v>
      </c>
      <c r="E1791" s="115">
        <f>K1052-K1050</f>
        <v>993.1302551726003</v>
      </c>
      <c r="F1791" s="115">
        <f>N1052-N1050</f>
        <v>1172</v>
      </c>
      <c r="G1791" s="115">
        <f>Q1052-Q1050</f>
        <v>1327</v>
      </c>
      <c r="H1791" s="115">
        <f>T1052-T1050</f>
        <v>0</v>
      </c>
      <c r="I1791" s="115">
        <f>W1052-W1050</f>
        <v>0</v>
      </c>
      <c r="J1791" s="115">
        <f>Z1052-Z1050</f>
        <v>0</v>
      </c>
      <c r="L1791" s="115"/>
      <c r="M1791" s="115"/>
      <c r="O1791" s="115"/>
      <c r="P1791" s="115"/>
      <c r="R1791" s="115"/>
      <c r="S1791" s="115"/>
    </row>
    <row r="1792" spans="1:25">
      <c r="A1792" s="2" t="s">
        <v>297</v>
      </c>
      <c r="B1792" s="115">
        <f>B1053-B1050</f>
        <v>1720.6639535603426</v>
      </c>
      <c r="C1792" s="115">
        <f>E1053-E1050</f>
        <v>1648</v>
      </c>
      <c r="D1792" s="115">
        <f>H1053-H1050</f>
        <v>1805</v>
      </c>
      <c r="E1792" s="115">
        <f>K1053-K1050</f>
        <v>1360.5259578706009</v>
      </c>
      <c r="F1792" s="115">
        <f>N1053-N1050</f>
        <v>1535</v>
      </c>
      <c r="G1792" s="115">
        <f>Q1053-Q1050</f>
        <v>1787</v>
      </c>
      <c r="H1792" s="115">
        <f>T1053-T1050</f>
        <v>0</v>
      </c>
      <c r="I1792" s="115">
        <f>W1053-W1050</f>
        <v>0</v>
      </c>
      <c r="J1792" s="115">
        <f>Z1053-Z1050</f>
        <v>0</v>
      </c>
      <c r="L1792" s="115"/>
      <c r="M1792" s="115"/>
      <c r="O1792" s="115"/>
      <c r="P1792" s="115"/>
      <c r="R1792" s="115"/>
      <c r="S1792" s="115"/>
    </row>
    <row r="1793" spans="1:19">
      <c r="A1793" s="113" t="s">
        <v>422</v>
      </c>
      <c r="B1793" s="115">
        <f>B1053-B1052</f>
        <v>318.50241794202338</v>
      </c>
      <c r="C1793" s="115">
        <f>E1053-E1052</f>
        <v>296</v>
      </c>
      <c r="D1793" s="115">
        <f>H1053-H1052</f>
        <v>426</v>
      </c>
      <c r="E1793" s="115">
        <f>K1053-K1052</f>
        <v>367.3957026980006</v>
      </c>
      <c r="F1793" s="115">
        <f>N1053-N1052</f>
        <v>363</v>
      </c>
      <c r="G1793" s="115">
        <f>Q1053-Q1052</f>
        <v>460</v>
      </c>
      <c r="H1793" s="115">
        <f>T1053-T1052</f>
        <v>0</v>
      </c>
      <c r="I1793" s="115">
        <f>W1053-W1052</f>
        <v>0</v>
      </c>
      <c r="J1793" s="115">
        <f>Z1053-Z1052</f>
        <v>0</v>
      </c>
      <c r="L1793" s="115"/>
      <c r="M1793" s="115"/>
      <c r="P1793" s="115"/>
      <c r="R1793" s="115"/>
      <c r="S1793" s="115"/>
    </row>
    <row r="1794" spans="1:19">
      <c r="A1794" s="113" t="s">
        <v>423</v>
      </c>
      <c r="B1794" s="115">
        <f>B1054-B1050</f>
        <v>1554.8647652256695</v>
      </c>
      <c r="C1794" s="115">
        <f>E1054-E1050</f>
        <v>1594</v>
      </c>
      <c r="D1794" s="115">
        <f>H1054-H1050</f>
        <v>1588</v>
      </c>
      <c r="E1794" s="115">
        <f>K1054-K1050</f>
        <v>1179.2168695704004</v>
      </c>
      <c r="F1794" s="115">
        <f>N1054-N1050</f>
        <v>1345</v>
      </c>
      <c r="G1794" s="115">
        <f>Q1054-Q1050</f>
        <v>1553</v>
      </c>
      <c r="H1794" s="115">
        <f>T1054-T1050</f>
        <v>0</v>
      </c>
      <c r="I1794" s="115">
        <f>W1054-W1050</f>
        <v>0</v>
      </c>
      <c r="J1794" s="115">
        <f>Z1054-Z1050</f>
        <v>0</v>
      </c>
      <c r="L1794" s="115"/>
      <c r="M1794" s="115"/>
      <c r="P1794" s="115"/>
      <c r="R1794" s="115"/>
      <c r="S1794" s="115"/>
    </row>
    <row r="1795" spans="1:19">
      <c r="A1795" s="113" t="s">
        <v>424</v>
      </c>
      <c r="B1795" s="115">
        <f>B1053-B1054</f>
        <v>165.79918833467309</v>
      </c>
      <c r="C1795" s="115">
        <f>E1053-E1054</f>
        <v>54</v>
      </c>
      <c r="D1795" s="115">
        <f>H1053-H1054</f>
        <v>217</v>
      </c>
      <c r="E1795" s="115">
        <f>K1053-K1054</f>
        <v>181.30908830020053</v>
      </c>
      <c r="F1795" s="115">
        <f>N1053-N1054</f>
        <v>190</v>
      </c>
      <c r="G1795" s="115">
        <f>Q1053-Q1054</f>
        <v>234</v>
      </c>
      <c r="H1795" s="115">
        <f>T1053-T1054</f>
        <v>0</v>
      </c>
      <c r="I1795" s="115">
        <f>W1053-W1054</f>
        <v>0</v>
      </c>
      <c r="J1795" s="115">
        <f>Z1053-Z1054</f>
        <v>0</v>
      </c>
      <c r="L1795" s="115"/>
      <c r="M1795" s="115"/>
      <c r="P1795" s="115"/>
      <c r="R1795" s="115"/>
      <c r="S1795" s="115"/>
    </row>
    <row r="1796" spans="1:19">
      <c r="A1796" s="2" t="s">
        <v>298</v>
      </c>
      <c r="B1796" s="115">
        <f>B1055-B1050</f>
        <v>0.85194168084126431</v>
      </c>
      <c r="C1796" s="115">
        <f>E1055-E1050</f>
        <v>90</v>
      </c>
      <c r="D1796" s="115">
        <f>H1055-H1050</f>
        <v>0</v>
      </c>
      <c r="E1796" s="115">
        <f>K1055-K1050</f>
        <v>-7.2418474992446136E-3</v>
      </c>
      <c r="F1796" s="115">
        <f>N1055-N1050</f>
        <v>0</v>
      </c>
      <c r="G1796" s="115">
        <f>Q1055-Q1050</f>
        <v>-2</v>
      </c>
      <c r="H1796" s="115">
        <f>T1055-T1050</f>
        <v>0</v>
      </c>
      <c r="I1796" s="115">
        <f>W1055-W1050</f>
        <v>0</v>
      </c>
      <c r="J1796" s="115">
        <f>Z1055-Z1050</f>
        <v>0</v>
      </c>
      <c r="L1796" s="115"/>
      <c r="M1796" s="115"/>
      <c r="O1796" s="115"/>
      <c r="P1796" s="115"/>
      <c r="R1796" s="115"/>
      <c r="S1796" s="115"/>
    </row>
    <row r="1797" spans="1:19">
      <c r="A1797" s="2" t="s">
        <v>299</v>
      </c>
      <c r="B1797" s="115">
        <f>B1056-B1050</f>
        <v>1143.4651129168324</v>
      </c>
      <c r="C1797" s="115">
        <f>E1056-E1050</f>
        <v>1172</v>
      </c>
      <c r="D1797" s="115">
        <f>H1056-H1050</f>
        <v>1124</v>
      </c>
      <c r="E1797" s="115">
        <f>K1056-K1050</f>
        <v>780.71954574939991</v>
      </c>
      <c r="F1797" s="115">
        <f>N1056-N1050</f>
        <v>931</v>
      </c>
      <c r="G1797" s="115">
        <f>Q1056-Q1050</f>
        <v>1214</v>
      </c>
      <c r="H1797" s="115">
        <f>T1056-T1050</f>
        <v>0</v>
      </c>
      <c r="I1797" s="115">
        <f>W1056-W1050</f>
        <v>0</v>
      </c>
      <c r="J1797" s="115">
        <f>Z1056-Z1050</f>
        <v>0</v>
      </c>
      <c r="L1797" s="115"/>
      <c r="M1797" s="115"/>
      <c r="O1797" s="115"/>
      <c r="P1797" s="115"/>
      <c r="R1797" s="115"/>
      <c r="S1797" s="115"/>
    </row>
    <row r="1798" spans="1:19">
      <c r="A1798" s="2" t="s">
        <v>300</v>
      </c>
      <c r="B1798" s="115">
        <f>B1057-B1050</f>
        <v>1.8306604180033901</v>
      </c>
      <c r="C1798" s="115">
        <f>E1057-E1050</f>
        <v>0</v>
      </c>
      <c r="D1798" s="115">
        <f>H1057-H1050</f>
        <v>75</v>
      </c>
      <c r="E1798" s="115">
        <f>K1057-K1050</f>
        <v>-1.1540031598997302E-2</v>
      </c>
      <c r="F1798" s="115">
        <f>N1057-N1050</f>
        <v>-11932</v>
      </c>
      <c r="G1798" s="115">
        <f>Q1057-Q1050</f>
        <v>-29</v>
      </c>
      <c r="H1798" s="115">
        <f>T1057-T1050</f>
        <v>0</v>
      </c>
      <c r="I1798" s="115">
        <f>W1057-W1050</f>
        <v>0</v>
      </c>
      <c r="J1798" s="115">
        <f>Z1057-Z1050</f>
        <v>0</v>
      </c>
      <c r="L1798" s="115"/>
      <c r="M1798" s="115"/>
      <c r="O1798" s="115"/>
      <c r="P1798" s="115"/>
      <c r="R1798" s="115"/>
      <c r="S1798" s="115"/>
    </row>
    <row r="1799" spans="1:19">
      <c r="A1799" s="2" t="s">
        <v>306</v>
      </c>
      <c r="B1799" s="115">
        <f>B1058-B1050</f>
        <v>1.8306604180033901</v>
      </c>
      <c r="C1799" s="115">
        <f>E1058-E1050</f>
        <v>0</v>
      </c>
      <c r="D1799" s="115">
        <f>H1058-H1050</f>
        <v>0</v>
      </c>
      <c r="E1799" s="115">
        <f>K1058-K1050</f>
        <v>0</v>
      </c>
      <c r="F1799" s="115">
        <f>N1058-N1050</f>
        <v>-11932</v>
      </c>
      <c r="G1799" s="115">
        <f>Q1058-Q1050</f>
        <v>1</v>
      </c>
      <c r="H1799" s="115">
        <f>T1058-T1050</f>
        <v>0</v>
      </c>
      <c r="I1799" s="115">
        <f>W1058-W1050</f>
        <v>0</v>
      </c>
      <c r="J1799" s="115">
        <f>Z1058-Z1050</f>
        <v>0</v>
      </c>
      <c r="L1799" s="115"/>
      <c r="M1799" s="115"/>
      <c r="O1799" s="115"/>
      <c r="P1799" s="115"/>
      <c r="R1799" s="115"/>
      <c r="S1799" s="115"/>
    </row>
    <row r="1800" spans="1:19">
      <c r="A1800" s="2" t="s">
        <v>307</v>
      </c>
      <c r="B1800" s="115">
        <f>B1059-B1050</f>
        <v>0</v>
      </c>
      <c r="C1800" s="115">
        <f>E1059-E1050</f>
        <v>0</v>
      </c>
      <c r="D1800" s="115">
        <f>H1059-H1050</f>
        <v>0</v>
      </c>
      <c r="E1800" s="115">
        <f>K1059-K1050</f>
        <v>0</v>
      </c>
      <c r="F1800" s="115">
        <f>N1059-N1050</f>
        <v>-11932</v>
      </c>
      <c r="G1800" s="115">
        <f>Q1059-Q1050</f>
        <v>0</v>
      </c>
      <c r="H1800" s="115">
        <f>T1059-T1050</f>
        <v>0</v>
      </c>
      <c r="I1800" s="115">
        <f>W1059-W1050</f>
        <v>0</v>
      </c>
      <c r="J1800" s="115">
        <f>Z1059-Z1050</f>
        <v>0</v>
      </c>
      <c r="L1800" s="115"/>
      <c r="M1800" s="115"/>
      <c r="O1800" s="115"/>
      <c r="P1800" s="115"/>
      <c r="R1800" s="115"/>
      <c r="S1800" s="115"/>
    </row>
    <row r="1801" spans="1:19">
      <c r="A1801" s="2" t="s">
        <v>308</v>
      </c>
      <c r="B1801" s="115">
        <f>B1060-B1050</f>
        <v>0</v>
      </c>
      <c r="C1801" s="115">
        <f>E1060-E1050</f>
        <v>0</v>
      </c>
      <c r="D1801" s="115">
        <f>H1060-H1050</f>
        <v>0</v>
      </c>
      <c r="E1801" s="115">
        <f>K1060-K1050</f>
        <v>1.0004441719502211E-10</v>
      </c>
      <c r="F1801" s="115">
        <f>N1060-N1050</f>
        <v>-11932</v>
      </c>
      <c r="G1801" s="115">
        <f>Q1060-Q1050</f>
        <v>0</v>
      </c>
      <c r="H1801" s="115">
        <f>T1060-T1050</f>
        <v>0</v>
      </c>
      <c r="I1801" s="115">
        <f>W1060-W1050</f>
        <v>0</v>
      </c>
      <c r="J1801" s="115">
        <f>Z1060-Z1050</f>
        <v>0</v>
      </c>
      <c r="L1801" s="115"/>
      <c r="M1801" s="115"/>
      <c r="O1801" s="115"/>
      <c r="P1801" s="115"/>
      <c r="R1801" s="115"/>
      <c r="S1801" s="115"/>
    </row>
    <row r="1802" spans="1:19">
      <c r="A1802" s="2" t="s">
        <v>309</v>
      </c>
      <c r="B1802" s="115">
        <f>B1061-B1050</f>
        <v>0</v>
      </c>
      <c r="C1802" s="115">
        <f>E1061-E1050</f>
        <v>0</v>
      </c>
      <c r="D1802" s="115">
        <f>H1061-H1050</f>
        <v>0</v>
      </c>
      <c r="E1802" s="115">
        <f>K1061-K1050</f>
        <v>1.0004441719502211E-10</v>
      </c>
      <c r="F1802" s="115">
        <f>N1061-N1050</f>
        <v>-11932</v>
      </c>
      <c r="G1802" s="115">
        <f>Q1061-Q1050</f>
        <v>-87</v>
      </c>
      <c r="H1802" s="115">
        <f>T1061-T1050</f>
        <v>0</v>
      </c>
      <c r="I1802" s="115">
        <f>W1061-W1050</f>
        <v>0</v>
      </c>
      <c r="J1802" s="115">
        <f>Z1061-Z1050</f>
        <v>0</v>
      </c>
      <c r="L1802" s="115"/>
      <c r="M1802" s="115"/>
      <c r="O1802" s="115"/>
      <c r="P1802" s="115"/>
      <c r="R1802" s="115"/>
      <c r="S1802" s="115"/>
    </row>
    <row r="1803" spans="1:19">
      <c r="A1803" s="2" t="s">
        <v>301</v>
      </c>
      <c r="B1803" s="115">
        <f>B1062-B1050</f>
        <v>-1459.5539439853874</v>
      </c>
      <c r="C1803" s="115">
        <f>E1062-E1050</f>
        <v>-1133</v>
      </c>
      <c r="D1803" s="115">
        <f>H1062-H1050</f>
        <v>-1177</v>
      </c>
      <c r="E1803" s="115">
        <f>K1062-K1050</f>
        <v>-1557.1914618373303</v>
      </c>
      <c r="F1803" s="115">
        <f>N1062-N1050</f>
        <v>-1755</v>
      </c>
      <c r="G1803" s="115">
        <f>Q1062-Q1050</f>
        <v>-1274</v>
      </c>
      <c r="H1803" s="115">
        <f>T1062-T1050</f>
        <v>0</v>
      </c>
      <c r="I1803" s="115">
        <f>W1062-W1050</f>
        <v>0</v>
      </c>
      <c r="J1803" s="115">
        <f>Z1062-Z1050</f>
        <v>0</v>
      </c>
      <c r="L1803" s="115"/>
      <c r="M1803" s="115"/>
      <c r="O1803" s="115"/>
      <c r="P1803" s="115"/>
      <c r="R1803" s="115"/>
      <c r="S1803" s="115"/>
    </row>
    <row r="1804" spans="1:19">
      <c r="A1804" s="2" t="s">
        <v>302</v>
      </c>
      <c r="B1804" s="115">
        <f>B1063-B1062</f>
        <v>1038.4136281133397</v>
      </c>
      <c r="C1804" s="115">
        <f>E1063-E1062</f>
        <v>1159</v>
      </c>
      <c r="D1804" s="115">
        <f>H1063-H1062</f>
        <v>1162</v>
      </c>
      <c r="E1804" s="115">
        <f>K1063-K1062</f>
        <v>1012.2339726927694</v>
      </c>
      <c r="F1804" s="115">
        <f>N1063-N1062</f>
        <v>1009</v>
      </c>
      <c r="G1804" s="115">
        <f>Q1063-Q1062</f>
        <v>1070</v>
      </c>
      <c r="H1804" s="115">
        <f>T1063-T1062</f>
        <v>0</v>
      </c>
      <c r="I1804" s="115">
        <f>W1063-W1062</f>
        <v>0</v>
      </c>
      <c r="J1804" s="115">
        <f>Z1063-Z1062</f>
        <v>0</v>
      </c>
      <c r="L1804" s="115"/>
      <c r="M1804" s="115"/>
      <c r="O1804" s="115"/>
      <c r="P1804" s="115"/>
      <c r="R1804" s="115"/>
      <c r="S1804" s="115"/>
    </row>
    <row r="1805" spans="1:19">
      <c r="A1805" s="2" t="s">
        <v>303</v>
      </c>
      <c r="B1805" s="115">
        <f>B1066-B1064</f>
        <v>-1668.6417470918586</v>
      </c>
      <c r="C1805" s="115">
        <f>E1066-E1064</f>
        <v>-1451</v>
      </c>
      <c r="D1805" s="115">
        <f>H1066-H1064</f>
        <v>-1483</v>
      </c>
      <c r="E1805" s="115">
        <f>K1066-K1064</f>
        <v>-1673.5790227854923</v>
      </c>
      <c r="F1805" s="115">
        <f>N1066-N1064</f>
        <v>-1625</v>
      </c>
      <c r="G1805" s="115">
        <f>Q1066-Q1064</f>
        <v>-1099</v>
      </c>
      <c r="H1805" s="115">
        <f>T1066-T1064</f>
        <v>0</v>
      </c>
      <c r="I1805" s="115">
        <f>W1066-W1064</f>
        <v>0</v>
      </c>
      <c r="J1805" s="115">
        <f>Z1066-Z1064</f>
        <v>0</v>
      </c>
      <c r="L1805" s="115"/>
      <c r="M1805" s="115"/>
      <c r="O1805" s="115"/>
      <c r="P1805" s="115"/>
      <c r="R1805" s="115"/>
      <c r="S1805" s="115"/>
    </row>
    <row r="1806" spans="1:19">
      <c r="A1806" s="2" t="s">
        <v>304</v>
      </c>
      <c r="B1806" s="115">
        <f>B1067-B1062</f>
        <v>-2138.1545786625256</v>
      </c>
      <c r="C1806" s="115">
        <f>E1067-E1062</f>
        <v>-2372</v>
      </c>
      <c r="D1806" s="115">
        <f>H1067-H1062</f>
        <v>-2370</v>
      </c>
      <c r="E1806" s="115">
        <f>K1067-K1062</f>
        <v>-2145.4765133609162</v>
      </c>
      <c r="F1806" s="115">
        <f>N1067-N1062</f>
        <v>-2185</v>
      </c>
      <c r="G1806" s="115">
        <f>Q1067-Q1062</f>
        <v>-2185</v>
      </c>
      <c r="H1806" s="115">
        <f>T1067-T1062</f>
        <v>0</v>
      </c>
      <c r="I1806" s="115">
        <f>W1067-W1062</f>
        <v>0</v>
      </c>
      <c r="J1806" s="115">
        <f>Z1067-Z1062</f>
        <v>0</v>
      </c>
      <c r="L1806" s="115"/>
      <c r="M1806" s="115"/>
      <c r="O1806" s="115"/>
      <c r="P1806" s="115"/>
      <c r="R1806" s="115"/>
      <c r="S1806" s="115"/>
    </row>
    <row r="1807" spans="1:19">
      <c r="A1807" s="2" t="s">
        <v>305</v>
      </c>
      <c r="B1807" s="115">
        <f>B1069-B1068</f>
        <v>-1494.1291365557972</v>
      </c>
      <c r="C1807" s="115">
        <f>E1069-E1068</f>
        <v>-1593</v>
      </c>
      <c r="D1807" s="115">
        <f>H1069-H1068</f>
        <v>-1593</v>
      </c>
      <c r="E1807" s="115">
        <f>K1069-K1068</f>
        <v>-1308.453809558202</v>
      </c>
      <c r="F1807" s="115">
        <f>N1069-N1068</f>
        <v>-1495</v>
      </c>
      <c r="G1807" s="115">
        <f>Q1069-Q1068</f>
        <v>-1514</v>
      </c>
      <c r="H1807" s="115">
        <f>T1069-T1068</f>
        <v>0</v>
      </c>
      <c r="I1807" s="115">
        <f>W1069-W1068</f>
        <v>0</v>
      </c>
      <c r="J1807" s="115">
        <f>Z1069-Z1068</f>
        <v>0</v>
      </c>
      <c r="L1807" s="115"/>
      <c r="M1807" s="115"/>
      <c r="O1807" s="115"/>
      <c r="P1807" s="115"/>
      <c r="R1807" s="115"/>
      <c r="S1807" s="115"/>
    </row>
    <row r="1817" spans="1:16">
      <c r="A1817" t="s">
        <v>430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245</v>
      </c>
      <c r="C1819" s="10" t="s">
        <v>257</v>
      </c>
      <c r="D1819" s="10" t="s">
        <v>258</v>
      </c>
      <c r="E1819" s="10" t="s">
        <v>515</v>
      </c>
      <c r="F1819" s="10" t="s">
        <v>373</v>
      </c>
      <c r="G1819" s="10" t="s">
        <v>482</v>
      </c>
      <c r="H1819" s="10" t="s">
        <v>516</v>
      </c>
      <c r="I1819" s="10" t="s">
        <v>517</v>
      </c>
      <c r="J1819" s="10" t="s">
        <v>517</v>
      </c>
    </row>
    <row r="1820" spans="1:16">
      <c r="A1820" s="2" t="s">
        <v>295</v>
      </c>
      <c r="B1820" s="115">
        <f>B1081-B1080</f>
        <v>-183.10000000000218</v>
      </c>
      <c r="C1820" s="115">
        <f>E1081-E1080</f>
        <v>-123</v>
      </c>
      <c r="D1820" s="115">
        <f>H1081-H1080</f>
        <v>-86</v>
      </c>
      <c r="E1820" s="115">
        <f>K1081-K1080</f>
        <v>-318.11036637811048</v>
      </c>
      <c r="F1820" s="115">
        <f>N1081-N1080</f>
        <v>-379</v>
      </c>
      <c r="G1820" s="115">
        <f>Q1081-Q1080</f>
        <v>-259</v>
      </c>
      <c r="H1820" s="115">
        <f>T1081-T1080</f>
        <v>0</v>
      </c>
      <c r="I1820" s="115">
        <f>W1081-W1080</f>
        <v>0</v>
      </c>
      <c r="J1820" s="115">
        <f>Z1081-Z1080</f>
        <v>0</v>
      </c>
      <c r="L1820" s="115"/>
      <c r="M1820" s="115"/>
      <c r="O1820" s="115"/>
      <c r="P1820" s="115"/>
    </row>
    <row r="1821" spans="1:16">
      <c r="A1821" s="2" t="s">
        <v>296</v>
      </c>
      <c r="B1821" s="115">
        <f>B1082-B1080</f>
        <v>8038.1999999999971</v>
      </c>
      <c r="C1821" s="115">
        <f>E1082-E1080</f>
        <v>7916</v>
      </c>
      <c r="D1821" s="115">
        <f>H1082-H1080</f>
        <v>7867</v>
      </c>
      <c r="E1821" s="115">
        <f>K1082-K1080</f>
        <v>8065.549900512724</v>
      </c>
      <c r="F1821" s="115">
        <f>N1082-N1080</f>
        <v>7677</v>
      </c>
      <c r="G1821" s="115">
        <f>Q1082-Q1080</f>
        <v>8059</v>
      </c>
      <c r="H1821" s="115">
        <f>T1082-T1080</f>
        <v>0</v>
      </c>
      <c r="I1821" s="115">
        <f>W1082-W1080</f>
        <v>0</v>
      </c>
      <c r="J1821" s="115">
        <f>Z1082-Z1080</f>
        <v>0</v>
      </c>
      <c r="L1821" s="115"/>
      <c r="M1821" s="115"/>
      <c r="O1821" s="115"/>
      <c r="P1821" s="115"/>
    </row>
    <row r="1822" spans="1:16">
      <c r="A1822" s="2" t="s">
        <v>297</v>
      </c>
      <c r="B1822" s="115">
        <f>B1083-B1080</f>
        <v>9948.6999999999971</v>
      </c>
      <c r="C1822" s="115">
        <f>E1083-E1080</f>
        <v>10207</v>
      </c>
      <c r="D1822" s="115">
        <f>H1083-H1080</f>
        <v>11285</v>
      </c>
      <c r="E1822" s="115">
        <f>K1083-K1080</f>
        <v>11229.01763063022</v>
      </c>
      <c r="F1822" s="115">
        <f>N1083-N1080</f>
        <v>10540</v>
      </c>
      <c r="G1822" s="115">
        <f>Q1083-Q1080</f>
        <v>10513</v>
      </c>
      <c r="H1822" s="115">
        <f>T1083-T1080</f>
        <v>0</v>
      </c>
      <c r="I1822" s="115">
        <f>W1083-W1080</f>
        <v>0</v>
      </c>
      <c r="J1822" s="115">
        <f>Z1083-Z1080</f>
        <v>0</v>
      </c>
      <c r="L1822" s="115"/>
      <c r="M1822" s="115"/>
      <c r="O1822" s="115"/>
      <c r="P1822" s="115"/>
    </row>
    <row r="1823" spans="1:16">
      <c r="A1823" s="113" t="s">
        <v>422</v>
      </c>
      <c r="B1823" s="115">
        <f>B1083-B1082</f>
        <v>1910.5</v>
      </c>
      <c r="C1823" s="115">
        <f>E1083-E1082</f>
        <v>2291</v>
      </c>
      <c r="D1823" s="115">
        <f>H1083-H1082</f>
        <v>3418</v>
      </c>
      <c r="E1823" s="115">
        <f>K1083-K1082</f>
        <v>3163.4677301174961</v>
      </c>
      <c r="F1823" s="115">
        <f>N1083-N1082</f>
        <v>2863</v>
      </c>
      <c r="G1823" s="115">
        <f>Q1083-Q1082</f>
        <v>2454</v>
      </c>
      <c r="H1823" s="115">
        <f>T1083-T1082</f>
        <v>0</v>
      </c>
      <c r="I1823" s="115">
        <f>W1083-W1082</f>
        <v>0</v>
      </c>
      <c r="J1823" s="115">
        <f>Z1083-Z1082</f>
        <v>0</v>
      </c>
      <c r="L1823" s="115"/>
      <c r="M1823" s="115"/>
    </row>
    <row r="1824" spans="1:16">
      <c r="A1824" s="113" t="s">
        <v>423</v>
      </c>
      <c r="B1824" s="115">
        <f>B1084-B1080</f>
        <v>9551.5</v>
      </c>
      <c r="C1824" s="115">
        <f>E1084-E1080</f>
        <v>8883</v>
      </c>
      <c r="D1824" s="115">
        <f>H1084-H1080</f>
        <v>8881</v>
      </c>
      <c r="E1824" s="115">
        <f>K1084-K1080</f>
        <v>9273.9255864577244</v>
      </c>
      <c r="F1824" s="115">
        <f>N1084-N1080</f>
        <v>9483</v>
      </c>
      <c r="G1824" s="115">
        <f>Q1084-Q1080</f>
        <v>9272</v>
      </c>
      <c r="H1824" s="115">
        <f>T1084-T1080</f>
        <v>0</v>
      </c>
      <c r="I1824" s="115">
        <f>W1084-W1080</f>
        <v>0</v>
      </c>
      <c r="J1824" s="115">
        <f>Z1084-Z1080</f>
        <v>0</v>
      </c>
      <c r="L1824" s="115"/>
      <c r="M1824" s="115"/>
    </row>
    <row r="1825" spans="1:16">
      <c r="A1825" s="113" t="s">
        <v>424</v>
      </c>
      <c r="B1825" s="115">
        <f>B1083-B1084</f>
        <v>397.19999999999709</v>
      </c>
      <c r="C1825" s="115">
        <f>E1083-E1084</f>
        <v>1324</v>
      </c>
      <c r="D1825" s="115">
        <f>H1083-H1084</f>
        <v>2404</v>
      </c>
      <c r="E1825" s="115">
        <f>K1083-K1084</f>
        <v>1955.0920441724957</v>
      </c>
      <c r="F1825" s="115">
        <f>N1083-N1084</f>
        <v>1057</v>
      </c>
      <c r="G1825" s="115">
        <f>Q1083-Q1084</f>
        <v>1241</v>
      </c>
      <c r="H1825" s="115">
        <f>T1083-T1084</f>
        <v>0</v>
      </c>
      <c r="I1825" s="115">
        <f>W1083-W1084</f>
        <v>0</v>
      </c>
      <c r="J1825" s="115">
        <f>Z1083-Z1084</f>
        <v>0</v>
      </c>
      <c r="L1825" s="115"/>
      <c r="M1825" s="115"/>
    </row>
    <row r="1826" spans="1:16">
      <c r="A1826" s="2" t="s">
        <v>298</v>
      </c>
      <c r="B1826" s="115">
        <f>B1085-B1080</f>
        <v>9.9999999998544808E-2</v>
      </c>
      <c r="C1826" s="115">
        <f>E1085-E1080</f>
        <v>0</v>
      </c>
      <c r="D1826" s="115">
        <f>H1085-H1080</f>
        <v>0</v>
      </c>
      <c r="E1826" s="115">
        <f>K1085-K1080</f>
        <v>-3.9521538055851124E-2</v>
      </c>
      <c r="F1826" s="115">
        <f>N1085-N1080</f>
        <v>0</v>
      </c>
      <c r="G1826" s="115">
        <f>Q1085-Q1080</f>
        <v>-32</v>
      </c>
      <c r="H1826" s="115">
        <f>T1085-T1080</f>
        <v>0</v>
      </c>
      <c r="I1826" s="115">
        <f>W1085-W1080</f>
        <v>0</v>
      </c>
      <c r="J1826" s="115">
        <f>Z1085-Z1080</f>
        <v>0</v>
      </c>
      <c r="L1826" s="115"/>
      <c r="M1826" s="115"/>
      <c r="O1826" s="115"/>
      <c r="P1826" s="115"/>
    </row>
    <row r="1827" spans="1:16">
      <c r="A1827" s="2" t="s">
        <v>299</v>
      </c>
      <c r="B1827" s="115">
        <f>B1086-B1080</f>
        <v>8783.2999999999993</v>
      </c>
      <c r="C1827" s="115">
        <f>E1086-E1080</f>
        <v>8908</v>
      </c>
      <c r="D1827" s="115">
        <f>H1086-H1080</f>
        <v>8860</v>
      </c>
      <c r="E1827" s="115">
        <f>K1086-K1080</f>
        <v>8946.1220933002223</v>
      </c>
      <c r="F1827" s="115">
        <f>N1086-N1080</f>
        <v>8524</v>
      </c>
      <c r="G1827" s="115">
        <f>Q1086-Q1080</f>
        <v>9271</v>
      </c>
      <c r="H1827" s="115">
        <f>T1086-T1080</f>
        <v>0</v>
      </c>
      <c r="I1827" s="115">
        <f>W1086-W1080</f>
        <v>0</v>
      </c>
      <c r="J1827" s="115">
        <f>Z1086-Z1080</f>
        <v>0</v>
      </c>
      <c r="L1827" s="115"/>
      <c r="M1827" s="115"/>
      <c r="O1827" s="115"/>
      <c r="P1827" s="115"/>
    </row>
    <row r="1828" spans="1:16">
      <c r="A1828" s="2" t="s">
        <v>300</v>
      </c>
      <c r="B1828" s="115">
        <f>B1087-B1080</f>
        <v>9.9999999998544808E-2</v>
      </c>
      <c r="C1828" s="115">
        <f>E1087-E1080</f>
        <v>0</v>
      </c>
      <c r="D1828" s="115">
        <f>H1087-H1080</f>
        <v>0</v>
      </c>
      <c r="E1828" s="115">
        <f>K1087-K1080</f>
        <v>-5.3330178750911728E-2</v>
      </c>
      <c r="F1828" s="115">
        <f>N1087-N1080</f>
        <v>-23457</v>
      </c>
      <c r="G1828" s="115">
        <f>Q1087-Q1080</f>
        <v>-31</v>
      </c>
      <c r="H1828" s="115">
        <f>T1087-T1080</f>
        <v>0</v>
      </c>
      <c r="I1828" s="115">
        <f>W1087-W1080</f>
        <v>0</v>
      </c>
      <c r="J1828" s="115">
        <f>Z1087-Z1080</f>
        <v>0</v>
      </c>
      <c r="L1828" s="115"/>
      <c r="M1828" s="115"/>
      <c r="O1828" s="115"/>
      <c r="P1828" s="115"/>
    </row>
    <row r="1829" spans="1:16">
      <c r="A1829" s="2" t="s">
        <v>306</v>
      </c>
      <c r="B1829" s="115">
        <f>B1088-B1080</f>
        <v>-11.700000000000728</v>
      </c>
      <c r="C1829" s="115">
        <f>E1088-E1080</f>
        <v>0</v>
      </c>
      <c r="D1829" s="115">
        <f>H1088-H1080</f>
        <v>0</v>
      </c>
      <c r="E1829" s="115">
        <f>K1088-K1080</f>
        <v>-3.3105607144534588E-10</v>
      </c>
      <c r="F1829" s="115">
        <f>N1088-N1080</f>
        <v>-23457</v>
      </c>
      <c r="G1829" s="115">
        <f>Q1088-Q1080</f>
        <v>-15</v>
      </c>
      <c r="H1829" s="115">
        <f>T1088-T1080</f>
        <v>0</v>
      </c>
      <c r="I1829" s="115">
        <f>W1088-W1080</f>
        <v>0</v>
      </c>
      <c r="J1829" s="115">
        <f>Z1088-Z1080</f>
        <v>0</v>
      </c>
      <c r="L1829" s="115"/>
      <c r="M1829" s="115"/>
      <c r="O1829" s="115"/>
      <c r="P1829" s="115"/>
    </row>
    <row r="1830" spans="1:16">
      <c r="A1830" s="2" t="s">
        <v>307</v>
      </c>
      <c r="B1830" s="115">
        <f>B1089-B1080</f>
        <v>0</v>
      </c>
      <c r="C1830" s="115">
        <f>E1089-E1080</f>
        <v>0</v>
      </c>
      <c r="D1830" s="115">
        <f>H1089-H1080</f>
        <v>0</v>
      </c>
      <c r="E1830" s="115">
        <f>K1089-K1080</f>
        <v>2.9103830456733704E-11</v>
      </c>
      <c r="F1830" s="115">
        <f>N1089-N1080</f>
        <v>-23457</v>
      </c>
      <c r="G1830" s="115">
        <f>Q1089-Q1080</f>
        <v>-15</v>
      </c>
      <c r="H1830" s="115">
        <f>T1089-T1080</f>
        <v>0</v>
      </c>
      <c r="I1830" s="115">
        <f>W1089-W1080</f>
        <v>0</v>
      </c>
      <c r="J1830" s="115">
        <f>Z1089-Z1080</f>
        <v>0</v>
      </c>
      <c r="L1830" s="115"/>
      <c r="M1830" s="115"/>
      <c r="O1830" s="115"/>
      <c r="P1830" s="115"/>
    </row>
    <row r="1831" spans="1:16">
      <c r="A1831" s="2" t="s">
        <v>308</v>
      </c>
      <c r="B1831" s="115">
        <f>B1090-B1080</f>
        <v>0</v>
      </c>
      <c r="C1831" s="115">
        <f>E1090-E1080</f>
        <v>0</v>
      </c>
      <c r="D1831" s="115">
        <f>H1090-H1080</f>
        <v>0</v>
      </c>
      <c r="E1831" s="115">
        <f>K1090-K1080</f>
        <v>5.0204107537865639E-10</v>
      </c>
      <c r="F1831" s="115">
        <f>N1090-N1080</f>
        <v>-23457</v>
      </c>
      <c r="G1831" s="115">
        <f>Q1090-Q1080</f>
        <v>-15</v>
      </c>
      <c r="H1831" s="115">
        <f>T1090-T1080</f>
        <v>0</v>
      </c>
      <c r="I1831" s="115">
        <f>W1090-W1080</f>
        <v>0</v>
      </c>
      <c r="J1831" s="115">
        <f>Z1090-Z1080</f>
        <v>0</v>
      </c>
      <c r="L1831" s="115"/>
      <c r="M1831" s="115"/>
      <c r="O1831" s="115"/>
      <c r="P1831" s="115"/>
    </row>
    <row r="1832" spans="1:16">
      <c r="A1832" s="2" t="s">
        <v>309</v>
      </c>
      <c r="B1832" s="115">
        <f>B1091-B1080</f>
        <v>0</v>
      </c>
      <c r="C1832" s="115">
        <f>E1091-E1080</f>
        <v>0</v>
      </c>
      <c r="D1832" s="115">
        <f>H1091-H1080</f>
        <v>0</v>
      </c>
      <c r="E1832" s="115">
        <f>K1091-K1080</f>
        <v>3.0559021979570389E-10</v>
      </c>
      <c r="F1832" s="115">
        <f>N1091-N1080</f>
        <v>-23457</v>
      </c>
      <c r="G1832" s="115">
        <f>Q1091-Q1080</f>
        <v>-33</v>
      </c>
      <c r="H1832" s="115">
        <f>T1091-T1080</f>
        <v>0</v>
      </c>
      <c r="I1832" s="115">
        <f>W1091-W1080</f>
        <v>0</v>
      </c>
      <c r="J1832" s="115">
        <f>Z1091-Z1080</f>
        <v>0</v>
      </c>
      <c r="L1832" s="115"/>
      <c r="M1832" s="115"/>
      <c r="O1832" s="115"/>
      <c r="P1832" s="115"/>
    </row>
    <row r="1833" spans="1:16">
      <c r="A1833" s="2" t="s">
        <v>301</v>
      </c>
      <c r="B1833" s="115">
        <f>B1092-B1080</f>
        <v>-3728.2000000000007</v>
      </c>
      <c r="C1833" s="115">
        <f>E1092-E1080</f>
        <v>-3194</v>
      </c>
      <c r="D1833" s="115">
        <f>H1092-H1080</f>
        <v>-3197</v>
      </c>
      <c r="E1833" s="115">
        <f>K1092-K1080</f>
        <v>-3667.2650504874728</v>
      </c>
      <c r="F1833" s="115">
        <f>N1092-N1080</f>
        <v>-4681</v>
      </c>
      <c r="G1833" s="115">
        <f>Q1092-Q1080</f>
        <v>-3090</v>
      </c>
      <c r="H1833" s="115">
        <f>T1092-T1080</f>
        <v>0</v>
      </c>
      <c r="I1833" s="115">
        <f>W1092-W1080</f>
        <v>0</v>
      </c>
      <c r="J1833" s="115">
        <f>Z1092-Z1080</f>
        <v>0</v>
      </c>
      <c r="L1833" s="115"/>
      <c r="M1833" s="115"/>
      <c r="O1833" s="115"/>
      <c r="P1833" s="115"/>
    </row>
    <row r="1834" spans="1:16">
      <c r="A1834" s="2" t="s">
        <v>302</v>
      </c>
      <c r="B1834" s="115">
        <f>B1093-B1092</f>
        <v>2180</v>
      </c>
      <c r="C1834" s="115">
        <f>E1093-E1092</f>
        <v>2504</v>
      </c>
      <c r="D1834" s="115">
        <f>H1093-H1092</f>
        <v>2505</v>
      </c>
      <c r="E1834" s="115">
        <f>K1093-K1092</f>
        <v>2432.0565721222229</v>
      </c>
      <c r="F1834" s="115">
        <f>N1093-N1092</f>
        <v>2345</v>
      </c>
      <c r="G1834" s="115">
        <f>Q1093-Q1092</f>
        <v>2451</v>
      </c>
      <c r="H1834" s="115">
        <f>T1093-T1092</f>
        <v>0</v>
      </c>
      <c r="I1834" s="115">
        <f>W1093-W1092</f>
        <v>0</v>
      </c>
      <c r="J1834" s="115">
        <f>Z1093-Z1092</f>
        <v>0</v>
      </c>
      <c r="L1834" s="115"/>
      <c r="M1834" s="115"/>
      <c r="O1834" s="115"/>
      <c r="P1834" s="115"/>
    </row>
    <row r="1835" spans="1:16">
      <c r="A1835" s="2" t="s">
        <v>303</v>
      </c>
      <c r="B1835" s="115">
        <f>B1096-B1094</f>
        <v>286.79999999999927</v>
      </c>
      <c r="C1835" s="115">
        <f>E1096-E1094</f>
        <v>-309</v>
      </c>
      <c r="D1835" s="115">
        <f>H1096-H1094</f>
        <v>-304</v>
      </c>
      <c r="E1835" s="115">
        <f>K1096-K1094</f>
        <v>-413.52130712541839</v>
      </c>
      <c r="F1835" s="115">
        <f>N1096-N1094</f>
        <v>-210</v>
      </c>
      <c r="G1835" s="115">
        <f>Q1096-Q1094</f>
        <v>-717</v>
      </c>
      <c r="H1835" s="115">
        <f>T1096-T1094</f>
        <v>0</v>
      </c>
      <c r="I1835" s="115">
        <f>W1096-W1094</f>
        <v>0</v>
      </c>
      <c r="J1835" s="115">
        <f>Z1096-Z1094</f>
        <v>0</v>
      </c>
      <c r="L1835" s="115"/>
      <c r="M1835" s="115"/>
    </row>
    <row r="1836" spans="1:16">
      <c r="A1836" s="2" t="s">
        <v>304</v>
      </c>
      <c r="B1836" s="115">
        <f>B1097-B1092</f>
        <v>284.89999999999782</v>
      </c>
      <c r="C1836" s="115">
        <f>E1097-E1092</f>
        <v>-433</v>
      </c>
      <c r="D1836" s="115">
        <f>H1097-H1092</f>
        <v>-433</v>
      </c>
      <c r="E1836" s="115">
        <f>K1097-K1092</f>
        <v>-139.77028901427548</v>
      </c>
      <c r="F1836" s="115">
        <f>N1097-N1092</f>
        <v>0</v>
      </c>
      <c r="G1836" s="115">
        <f>Q1097-Q1092</f>
        <v>-192</v>
      </c>
      <c r="H1836" s="115">
        <f>T1097-T1092</f>
        <v>0</v>
      </c>
      <c r="I1836" s="115">
        <f>W1097-W1092</f>
        <v>0</v>
      </c>
      <c r="J1836" s="115">
        <f>Z1097-Z1092</f>
        <v>0</v>
      </c>
      <c r="L1836" s="115"/>
      <c r="M1836" s="115"/>
    </row>
    <row r="1837" spans="1:16">
      <c r="A1837" s="2" t="s">
        <v>305</v>
      </c>
      <c r="B1837" s="115">
        <f>B1099-B1098</f>
        <v>500.20000000000073</v>
      </c>
      <c r="C1837" s="115">
        <f>E1099-E1098</f>
        <v>-291</v>
      </c>
      <c r="D1837" s="115">
        <f>H1099-H1098</f>
        <v>-292</v>
      </c>
      <c r="E1837" s="115">
        <f>K1099-K1098</f>
        <v>-273.70410940313741</v>
      </c>
      <c r="F1837" s="115">
        <f>N1099-N1098</f>
        <v>-35</v>
      </c>
      <c r="G1837" s="115">
        <f>Q1099-Q1098</f>
        <v>-302</v>
      </c>
      <c r="H1837" s="115">
        <f>T1099-T1098</f>
        <v>0</v>
      </c>
      <c r="I1837" s="115">
        <f>W1099-W1098</f>
        <v>0</v>
      </c>
      <c r="J1837" s="115">
        <f>Z1099-Z1098</f>
        <v>0</v>
      </c>
      <c r="L1837" s="115"/>
      <c r="M1837" s="115"/>
    </row>
    <row r="1847" spans="1:13">
      <c r="A1847" t="s">
        <v>431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417</v>
      </c>
      <c r="C1849" s="10" t="s">
        <v>376</v>
      </c>
      <c r="D1849" s="10" t="s">
        <v>227</v>
      </c>
      <c r="E1849" s="10" t="s">
        <v>375</v>
      </c>
      <c r="F1849" s="10" t="s">
        <v>374</v>
      </c>
      <c r="G1849" s="10" t="s">
        <v>374</v>
      </c>
      <c r="H1849" s="10" t="s">
        <v>374</v>
      </c>
    </row>
    <row r="1850" spans="1:13">
      <c r="A1850" s="2" t="s">
        <v>295</v>
      </c>
      <c r="B1850" s="115">
        <f>B1111-B1110</f>
        <v>6271.2999999999993</v>
      </c>
      <c r="C1850" s="115">
        <f>E1111-E1110</f>
        <v>5835</v>
      </c>
      <c r="D1850" s="115">
        <f>H1111-H1110</f>
        <v>5876</v>
      </c>
      <c r="E1850" s="115">
        <f>K1111-K1110</f>
        <v>6049.2222306026397</v>
      </c>
      <c r="F1850" s="115">
        <f>N1111-N1110</f>
        <v>5737</v>
      </c>
      <c r="G1850" s="115">
        <f>Q1111-Q1110</f>
        <v>5685</v>
      </c>
      <c r="H1850" s="115">
        <f>T1111-T1110</f>
        <v>0</v>
      </c>
      <c r="I1850" s="115">
        <f>W1111-W1110</f>
        <v>0</v>
      </c>
      <c r="J1850" s="115">
        <f>Z1111-Z1110</f>
        <v>0</v>
      </c>
      <c r="L1850" s="115"/>
      <c r="M1850" s="115"/>
    </row>
    <row r="1851" spans="1:13">
      <c r="A1851" s="2" t="s">
        <v>296</v>
      </c>
      <c r="B1851" s="115">
        <f>B1112-B1110</f>
        <v>13511.599999999999</v>
      </c>
      <c r="C1851" s="115">
        <f>E1112-E1110</f>
        <v>22193</v>
      </c>
      <c r="D1851" s="115">
        <f>H1112-H1110</f>
        <v>22109</v>
      </c>
      <c r="E1851" s="115">
        <f>K1112-K1110</f>
        <v>12161.089970704275</v>
      </c>
      <c r="F1851" s="115">
        <f>N1112-N1110</f>
        <v>11322</v>
      </c>
      <c r="G1851" s="115">
        <f>Q1112-Q1110</f>
        <v>11537</v>
      </c>
      <c r="H1851" s="115">
        <f>T1112-T1110</f>
        <v>0</v>
      </c>
      <c r="I1851" s="115">
        <f>W1112-W1110</f>
        <v>0</v>
      </c>
      <c r="J1851" s="115">
        <f>Z1112-Z1110</f>
        <v>0</v>
      </c>
      <c r="L1851" s="115"/>
      <c r="M1851" s="115"/>
    </row>
    <row r="1852" spans="1:13">
      <c r="A1852" s="2" t="s">
        <v>297</v>
      </c>
      <c r="B1852" s="115">
        <f>B1113-B1110</f>
        <v>18189.5</v>
      </c>
      <c r="C1852" s="115">
        <f>E1113-E1110</f>
        <v>17637</v>
      </c>
      <c r="D1852" s="115">
        <f>H1113-H1110</f>
        <v>31415</v>
      </c>
      <c r="E1852" s="115">
        <f>K1113-K1110</f>
        <v>17001.615463166723</v>
      </c>
      <c r="F1852" s="115">
        <f>N1113-N1110</f>
        <v>17809</v>
      </c>
      <c r="G1852" s="115">
        <f>Q1113-Q1110</f>
        <v>17096</v>
      </c>
      <c r="H1852" s="115">
        <f>T1113-T1110</f>
        <v>0</v>
      </c>
      <c r="I1852" s="115">
        <f>W1113-W1110</f>
        <v>0</v>
      </c>
      <c r="J1852" s="115">
        <f>Z1113-Z1110</f>
        <v>0</v>
      </c>
      <c r="L1852" s="115"/>
      <c r="M1852" s="115"/>
    </row>
    <row r="1853" spans="1:13">
      <c r="A1853" s="113" t="s">
        <v>422</v>
      </c>
      <c r="B1853" s="115">
        <f>B1113-B1112</f>
        <v>4677.9000000000015</v>
      </c>
      <c r="C1853" s="115">
        <f>E1113-E1112</f>
        <v>-4556</v>
      </c>
      <c r="D1853" s="115">
        <f>H1113-H1112</f>
        <v>9306</v>
      </c>
      <c r="E1853" s="115">
        <f>K1113-K1112</f>
        <v>4840.525492462446</v>
      </c>
      <c r="F1853" s="115">
        <f>N1113-N1112</f>
        <v>6487</v>
      </c>
      <c r="G1853" s="115">
        <f>Q1113-Q1112</f>
        <v>5559</v>
      </c>
      <c r="H1853" s="115">
        <f>T1113-T1112</f>
        <v>0</v>
      </c>
      <c r="I1853" s="115">
        <f>W1113-W1112</f>
        <v>0</v>
      </c>
      <c r="J1853" s="115">
        <f>Z1113-Z1112</f>
        <v>0</v>
      </c>
      <c r="L1853" s="115"/>
      <c r="M1853" s="115"/>
    </row>
    <row r="1854" spans="1:13">
      <c r="A1854" s="113" t="s">
        <v>423</v>
      </c>
      <c r="B1854" s="115">
        <f>B1114-B1110</f>
        <v>15212.599999999999</v>
      </c>
      <c r="C1854" s="115">
        <f>E1114-E1110</f>
        <v>21147</v>
      </c>
      <c r="D1854" s="115">
        <f>H1114-H1110</f>
        <v>26617</v>
      </c>
      <c r="E1854" s="115">
        <f>K1114-K1110</f>
        <v>13840.680225111611</v>
      </c>
      <c r="F1854" s="115">
        <f>N1114-N1110</f>
        <v>13850</v>
      </c>
      <c r="G1854" s="115">
        <f>Q1114-Q1110</f>
        <v>13402</v>
      </c>
      <c r="H1854" s="115">
        <f>T1114-T1110</f>
        <v>0</v>
      </c>
      <c r="I1854" s="115">
        <f>W1114-W1110</f>
        <v>0</v>
      </c>
      <c r="J1854" s="115">
        <f>Z1114-Z1110</f>
        <v>0</v>
      </c>
      <c r="L1854" s="115"/>
      <c r="M1854" s="115"/>
    </row>
    <row r="1855" spans="1:13">
      <c r="A1855" s="113" t="s">
        <v>424</v>
      </c>
      <c r="B1855" s="115">
        <f>B1113-B1114</f>
        <v>2976.9000000000015</v>
      </c>
      <c r="C1855" s="115">
        <f>E1113-E1114</f>
        <v>-3510</v>
      </c>
      <c r="D1855" s="115">
        <f>H1113-H1114</f>
        <v>4798</v>
      </c>
      <c r="E1855" s="115">
        <f>K1113-K1114</f>
        <v>3160.9352380551099</v>
      </c>
      <c r="F1855" s="115">
        <f>N1113-N1114</f>
        <v>3959</v>
      </c>
      <c r="G1855" s="115">
        <f>Q1113-Q1114</f>
        <v>3694</v>
      </c>
      <c r="H1855" s="115">
        <f>T1113-T1114</f>
        <v>0</v>
      </c>
      <c r="I1855" s="115">
        <f>W1113-W1114</f>
        <v>0</v>
      </c>
      <c r="J1855" s="115">
        <f>Z1113-Z1114</f>
        <v>0</v>
      </c>
      <c r="L1855" s="115"/>
      <c r="M1855" s="115"/>
    </row>
    <row r="1856" spans="1:13">
      <c r="A1856" s="2" t="s">
        <v>298</v>
      </c>
      <c r="B1856" s="115">
        <f>B1115-B1110</f>
        <v>115.55999999999949</v>
      </c>
      <c r="C1856" s="115">
        <f>E1115-E1110</f>
        <v>-1</v>
      </c>
      <c r="D1856" s="115">
        <f>H1115-H1110</f>
        <v>-1</v>
      </c>
      <c r="E1856" s="115">
        <f>K1115-K1110</f>
        <v>0.55758901077751943</v>
      </c>
      <c r="F1856" s="115">
        <f>N1115-N1110</f>
        <v>380</v>
      </c>
      <c r="G1856" s="115">
        <f>Q1115-Q1110</f>
        <v>1211</v>
      </c>
      <c r="H1856" s="115">
        <f>T1115-T1110</f>
        <v>0</v>
      </c>
      <c r="I1856" s="115">
        <f>W1115-W1110</f>
        <v>0</v>
      </c>
      <c r="J1856" s="115">
        <f>Z1115-Z1110</f>
        <v>0</v>
      </c>
      <c r="L1856" s="115"/>
      <c r="M1856" s="115"/>
    </row>
    <row r="1857" spans="1:13">
      <c r="A1857" s="2" t="s">
        <v>299</v>
      </c>
      <c r="B1857" s="115">
        <f>B1116-B1110</f>
        <v>-360.54000000000087</v>
      </c>
      <c r="C1857" s="115">
        <f>E1116-E1110</f>
        <v>722</v>
      </c>
      <c r="D1857" s="115">
        <f>H1116-H1110</f>
        <v>942</v>
      </c>
      <c r="E1857" s="115">
        <f>K1116-K1110</f>
        <v>-1687.8651001075559</v>
      </c>
      <c r="F1857" s="115">
        <f>N1116-N1110</f>
        <v>-1516</v>
      </c>
      <c r="G1857" s="115">
        <f>Q1116-Q1110</f>
        <v>-1458</v>
      </c>
      <c r="H1857" s="115">
        <f>T1116-T1110</f>
        <v>0</v>
      </c>
      <c r="I1857" s="115">
        <f>W1116-W1110</f>
        <v>0</v>
      </c>
      <c r="J1857" s="115">
        <f>Z1116-Z1110</f>
        <v>0</v>
      </c>
      <c r="L1857" s="115"/>
      <c r="M1857" s="115"/>
    </row>
    <row r="1858" spans="1:13">
      <c r="A1858" s="2" t="s">
        <v>300</v>
      </c>
      <c r="B1858" s="115">
        <f>B1117-B1110</f>
        <v>17439.599999999999</v>
      </c>
      <c r="C1858" s="115">
        <f>E1117-E1110</f>
        <v>16274</v>
      </c>
      <c r="D1858" s="115">
        <f>H1117-H1110</f>
        <v>23002</v>
      </c>
      <c r="E1858" s="115">
        <f>K1117-K1110</f>
        <v>16172.591647627169</v>
      </c>
      <c r="F1858" s="115">
        <f>N1117-N1110</f>
        <v>-10375</v>
      </c>
      <c r="G1858" s="115">
        <f>Q1117-Q1110</f>
        <v>16253</v>
      </c>
      <c r="H1858" s="115">
        <f>T1117-T1110</f>
        <v>0</v>
      </c>
      <c r="I1858" s="115">
        <f>W1117-W1110</f>
        <v>0</v>
      </c>
      <c r="J1858" s="115">
        <f>Z1117-Z1110</f>
        <v>0</v>
      </c>
      <c r="L1858" s="115"/>
      <c r="M1858" s="115"/>
    </row>
    <row r="1859" spans="1:13">
      <c r="A1859" s="2" t="s">
        <v>306</v>
      </c>
      <c r="B1859" s="115">
        <f>B1118-B1110</f>
        <v>1503.1999999999989</v>
      </c>
      <c r="C1859" s="115">
        <f>E1118-E1110</f>
        <v>0</v>
      </c>
      <c r="D1859" s="115">
        <f>H1118-H1110</f>
        <v>-3</v>
      </c>
      <c r="E1859" s="115">
        <f>K1118-K1110</f>
        <v>5.4569682106375694E-11</v>
      </c>
      <c r="F1859" s="115">
        <f>N1118-N1110</f>
        <v>-10375</v>
      </c>
      <c r="G1859" s="115">
        <f>Q1118-Q1110</f>
        <v>-15</v>
      </c>
      <c r="H1859" s="115">
        <f>T1118-T1110</f>
        <v>0</v>
      </c>
      <c r="I1859" s="115">
        <f>W1118-W1110</f>
        <v>0</v>
      </c>
      <c r="J1859" s="115">
        <f>Z1118-Z1110</f>
        <v>0</v>
      </c>
      <c r="L1859" s="115"/>
      <c r="M1859" s="115"/>
    </row>
    <row r="1860" spans="1:13">
      <c r="A1860" s="2" t="s">
        <v>307</v>
      </c>
      <c r="B1860" s="115">
        <f>B1119-B1110</f>
        <v>115.34000000000015</v>
      </c>
      <c r="C1860" s="115">
        <f>E1119-E1110</f>
        <v>0</v>
      </c>
      <c r="D1860" s="115">
        <f>H1119-H1110</f>
        <v>0</v>
      </c>
      <c r="E1860" s="115">
        <f>K1119-K1110</f>
        <v>-1.3824319466948509E-10</v>
      </c>
      <c r="F1860" s="115">
        <f>N1119-N1110</f>
        <v>-10375</v>
      </c>
      <c r="G1860" s="115">
        <f>Q1119-Q1110</f>
        <v>2</v>
      </c>
      <c r="H1860" s="115">
        <f>T1119-T1110</f>
        <v>0</v>
      </c>
      <c r="I1860" s="115">
        <f>W1119-W1110</f>
        <v>0</v>
      </c>
      <c r="J1860" s="115">
        <f>Z1119-Z1110</f>
        <v>0</v>
      </c>
      <c r="L1860" s="115"/>
      <c r="M1860" s="115"/>
    </row>
    <row r="1861" spans="1:13">
      <c r="A1861" s="2" t="s">
        <v>308</v>
      </c>
      <c r="B1861" s="115">
        <f>B1120-B1110</f>
        <v>0</v>
      </c>
      <c r="C1861" s="115">
        <f>E1120-E1110</f>
        <v>1801</v>
      </c>
      <c r="D1861" s="115">
        <f>H1120-H1110</f>
        <v>1707</v>
      </c>
      <c r="E1861" s="115">
        <f>K1120-K1110</f>
        <v>780.23981644727792</v>
      </c>
      <c r="F1861" s="115">
        <f>N1120-N1110</f>
        <v>-10375</v>
      </c>
      <c r="G1861" s="115">
        <f>Q1120-Q1110</f>
        <v>2</v>
      </c>
      <c r="H1861" s="115">
        <f>T1120-T1110</f>
        <v>0</v>
      </c>
      <c r="I1861" s="115">
        <f>W1120-W1110</f>
        <v>0</v>
      </c>
      <c r="J1861" s="115">
        <f>Z1120-Z1110</f>
        <v>0</v>
      </c>
      <c r="L1861" s="115"/>
      <c r="M1861" s="115"/>
    </row>
    <row r="1862" spans="1:13">
      <c r="A1862" s="2" t="s">
        <v>309</v>
      </c>
      <c r="B1862" s="115">
        <f>B1121-B1110</f>
        <v>0</v>
      </c>
      <c r="C1862" s="115">
        <f>E1121-E1110</f>
        <v>0</v>
      </c>
      <c r="D1862" s="115">
        <f>H1121-H1110</f>
        <v>-3</v>
      </c>
      <c r="E1862" s="115">
        <f>K1121-K1110</f>
        <v>-8.3673512563109398E-11</v>
      </c>
      <c r="F1862" s="115">
        <f>N1121-N1110</f>
        <v>-10375</v>
      </c>
      <c r="G1862" s="115">
        <f>Q1121-Q1110</f>
        <v>-253</v>
      </c>
      <c r="H1862" s="115">
        <f>T1121-T1110</f>
        <v>0</v>
      </c>
      <c r="I1862" s="115">
        <f>W1121-W1110</f>
        <v>0</v>
      </c>
      <c r="J1862" s="115">
        <f>Z1121-Z1110</f>
        <v>0</v>
      </c>
      <c r="L1862" s="115"/>
      <c r="M1862" s="115"/>
    </row>
    <row r="1863" spans="1:13">
      <c r="A1863" s="2" t="s">
        <v>301</v>
      </c>
      <c r="B1863" s="115">
        <f>B1122-B1110</f>
        <v>-1670.2400000000007</v>
      </c>
      <c r="C1863" s="115">
        <f>E1122-E1110</f>
        <v>-1571</v>
      </c>
      <c r="D1863" s="115">
        <f>H1122-H1110</f>
        <v>-1661</v>
      </c>
      <c r="E1863" s="115">
        <f>K1122-K1110</f>
        <v>-2686.1278053429451</v>
      </c>
      <c r="F1863" s="115">
        <f>N1122-N1110</f>
        <v>-2570</v>
      </c>
      <c r="G1863" s="115">
        <f>Q1122-Q1110</f>
        <v>-2630</v>
      </c>
      <c r="H1863" s="115">
        <f>T1122-T1110</f>
        <v>0</v>
      </c>
      <c r="I1863" s="115">
        <f>W1122-W1110</f>
        <v>0</v>
      </c>
      <c r="J1863" s="115">
        <f>Z1122-Z1110</f>
        <v>0</v>
      </c>
      <c r="L1863" s="115"/>
      <c r="M1863" s="115"/>
    </row>
    <row r="1864" spans="1:13">
      <c r="A1864" s="2" t="s">
        <v>302</v>
      </c>
      <c r="B1864" s="115">
        <f>B1123-B1122</f>
        <v>927.09999999999945</v>
      </c>
      <c r="C1864" s="115">
        <f>E1123-E1122</f>
        <v>990</v>
      </c>
      <c r="D1864" s="115">
        <f>H1123-H1122</f>
        <v>990</v>
      </c>
      <c r="E1864" s="115">
        <f>K1123-K1122</f>
        <v>1132.0803152907229</v>
      </c>
      <c r="F1864" s="115">
        <f>N1123-N1122</f>
        <v>1045</v>
      </c>
      <c r="G1864" s="115">
        <f>Q1123-Q1122</f>
        <v>1112</v>
      </c>
      <c r="H1864" s="115">
        <f>T1123-T1122</f>
        <v>0</v>
      </c>
      <c r="I1864" s="115">
        <f>W1123-W1122</f>
        <v>0</v>
      </c>
      <c r="J1864" s="115">
        <f>Z1123-Z1122</f>
        <v>0</v>
      </c>
      <c r="L1864" s="115"/>
      <c r="M1864" s="115"/>
    </row>
    <row r="1865" spans="1:13">
      <c r="A1865" s="2" t="s">
        <v>303</v>
      </c>
      <c r="B1865" s="115">
        <f>B1126-B1124</f>
        <v>123.36999999999989</v>
      </c>
      <c r="C1865" s="115">
        <f>E1126-E1124</f>
        <v>-122</v>
      </c>
      <c r="D1865" s="115">
        <f>H1126-H1124</f>
        <v>-122</v>
      </c>
      <c r="E1865" s="115">
        <f>K1126-K1124</f>
        <v>221.16939294900021</v>
      </c>
      <c r="F1865" s="115">
        <f>N1126-N1124</f>
        <v>212</v>
      </c>
      <c r="G1865" s="115">
        <f>Q1126-Q1124</f>
        <v>-144</v>
      </c>
      <c r="H1865" s="115">
        <f>T1126-T1124</f>
        <v>0</v>
      </c>
      <c r="I1865" s="115">
        <f>W1126-W1124</f>
        <v>0</v>
      </c>
      <c r="J1865" s="115">
        <f>Z1126-Z1124</f>
        <v>0</v>
      </c>
      <c r="L1865" s="115"/>
      <c r="M1865" s="115"/>
    </row>
    <row r="1866" spans="1:13">
      <c r="A1866" s="2" t="s">
        <v>304</v>
      </c>
      <c r="B1866" s="115">
        <f>B1127-B1122</f>
        <v>-7965.4599999999837</v>
      </c>
      <c r="C1866" s="115">
        <f>E1127-E1122</f>
        <v>-7733</v>
      </c>
      <c r="D1866" s="115">
        <f>H1127-H1122</f>
        <v>-7733</v>
      </c>
      <c r="E1866" s="115">
        <f>K1127-K1122</f>
        <v>-7798.7788782143725</v>
      </c>
      <c r="F1866" s="115">
        <f>N1127-N1122</f>
        <v>-7626</v>
      </c>
      <c r="G1866" s="115">
        <f>Q1127-Q1122</f>
        <v>-7726.1</v>
      </c>
      <c r="H1866" s="115">
        <f>T1127-T1122</f>
        <v>0</v>
      </c>
      <c r="I1866" s="115">
        <f>W1127-W1122</f>
        <v>0</v>
      </c>
      <c r="J1866" s="115">
        <f>Z1127-Z1122</f>
        <v>0</v>
      </c>
      <c r="L1866" s="115"/>
      <c r="M1866" s="115"/>
    </row>
    <row r="1867" spans="1:13">
      <c r="A1867" s="2" t="s">
        <v>305</v>
      </c>
      <c r="B1867" s="115">
        <f>B1129-B1128</f>
        <v>-627.18599999998196</v>
      </c>
      <c r="C1867" s="115">
        <f>E1129-E1128</f>
        <v>0</v>
      </c>
      <c r="D1867" s="115">
        <f>H1129-H1128</f>
        <v>0</v>
      </c>
      <c r="E1867" s="115">
        <f>K1129-K1128</f>
        <v>-1636.3589513277084</v>
      </c>
      <c r="F1867" s="115">
        <f>N1129-N1128</f>
        <v>-841</v>
      </c>
      <c r="G1867" s="115">
        <f>Q1129-Q1128</f>
        <v>-1181</v>
      </c>
      <c r="H1867" s="115">
        <f>T1129-T1128</f>
        <v>0</v>
      </c>
      <c r="I1867" s="115">
        <f>W1129-W1128</f>
        <v>0</v>
      </c>
      <c r="J1867" s="115">
        <f>Z1129-Z1128</f>
        <v>0</v>
      </c>
      <c r="L1867" s="115"/>
      <c r="M1867" s="115"/>
    </row>
    <row r="1877" spans="1:13">
      <c r="A1877" t="s">
        <v>432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245</v>
      </c>
      <c r="C1879" s="10" t="s">
        <v>257</v>
      </c>
      <c r="D1879" s="10" t="s">
        <v>258</v>
      </c>
      <c r="E1879" s="10" t="s">
        <v>515</v>
      </c>
      <c r="F1879" s="10" t="s">
        <v>373</v>
      </c>
      <c r="G1879" s="10" t="s">
        <v>482</v>
      </c>
      <c r="H1879" s="10" t="s">
        <v>516</v>
      </c>
      <c r="I1879" s="10" t="s">
        <v>517</v>
      </c>
      <c r="J1879" s="10" t="s">
        <v>517</v>
      </c>
    </row>
    <row r="1880" spans="1:13">
      <c r="A1880" s="2" t="s">
        <v>295</v>
      </c>
      <c r="B1880" s="115">
        <f>B1141-B1140</f>
        <v>5153.9500000000007</v>
      </c>
      <c r="C1880" s="115">
        <f>E1141-E1140</f>
        <v>5349</v>
      </c>
      <c r="D1880" s="115">
        <f>H1141-H1140</f>
        <v>5578</v>
      </c>
      <c r="E1880" s="115">
        <f>K1141-K1140</f>
        <v>4315.0470648236151</v>
      </c>
      <c r="F1880" s="115">
        <f>N1141-N1140</f>
        <v>4759</v>
      </c>
      <c r="G1880" s="115">
        <f>Q1141-Q1140</f>
        <v>4919</v>
      </c>
      <c r="H1880" s="115">
        <f>T1141-T1140</f>
        <v>0</v>
      </c>
      <c r="I1880" s="115">
        <f>W1141-W1140</f>
        <v>0</v>
      </c>
      <c r="J1880" s="115">
        <f>Z1141-Z1140</f>
        <v>0</v>
      </c>
      <c r="L1880" s="115"/>
      <c r="M1880" s="115"/>
    </row>
    <row r="1881" spans="1:13">
      <c r="A1881" s="2" t="s">
        <v>296</v>
      </c>
      <c r="B1881" s="115">
        <f>B1142-B1140</f>
        <v>8143.5499999999993</v>
      </c>
      <c r="C1881" s="115">
        <f>E1142-E1140</f>
        <v>22412</v>
      </c>
      <c r="D1881" s="115">
        <f>H1142-H1140</f>
        <v>22368</v>
      </c>
      <c r="E1881" s="115">
        <f>K1142-K1140</f>
        <v>7039.5416400005561</v>
      </c>
      <c r="F1881" s="115">
        <f>N1142-N1140</f>
        <v>7402</v>
      </c>
      <c r="G1881" s="115">
        <f>Q1142-Q1140</f>
        <v>7848</v>
      </c>
      <c r="H1881" s="115">
        <f>T1142-T1140</f>
        <v>0</v>
      </c>
      <c r="I1881" s="115">
        <f>W1142-W1140</f>
        <v>0</v>
      </c>
      <c r="J1881" s="115">
        <f>Z1142-Z1140</f>
        <v>0</v>
      </c>
      <c r="L1881" s="115"/>
      <c r="M1881" s="115"/>
    </row>
    <row r="1882" spans="1:13">
      <c r="A1882" s="2" t="s">
        <v>297</v>
      </c>
      <c r="B1882" s="115">
        <f>B1143-B1140</f>
        <v>11317.95</v>
      </c>
      <c r="C1882" s="115">
        <f>E1143-E1140</f>
        <v>12227</v>
      </c>
      <c r="D1882" s="115">
        <f>H1143-H1140</f>
        <v>33117</v>
      </c>
      <c r="E1882" s="115">
        <f>K1143-K1140</f>
        <v>10540.471101330557</v>
      </c>
      <c r="F1882" s="115">
        <f>N1143-N1140</f>
        <v>11476</v>
      </c>
      <c r="G1882" s="115">
        <f>Q1143-Q1140</f>
        <v>10343</v>
      </c>
      <c r="H1882" s="115">
        <f>T1143-T1140</f>
        <v>0</v>
      </c>
      <c r="I1882" s="115">
        <f>W1143-W1140</f>
        <v>0</v>
      </c>
      <c r="J1882" s="115">
        <f>Z1143-Z1140</f>
        <v>0</v>
      </c>
      <c r="L1882" s="115"/>
      <c r="M1882" s="115"/>
    </row>
    <row r="1883" spans="1:13">
      <c r="A1883" s="113" t="s">
        <v>422</v>
      </c>
      <c r="B1883" s="115">
        <f>B1143-B1142</f>
        <v>3174.4000000000015</v>
      </c>
      <c r="C1883" s="115">
        <f>E1143-E1142</f>
        <v>-10185</v>
      </c>
      <c r="D1883" s="115">
        <f>H1143-H1142</f>
        <v>10749</v>
      </c>
      <c r="E1883" s="115">
        <f>K1143-K1142</f>
        <v>3500.9294613300008</v>
      </c>
      <c r="F1883" s="115">
        <f>N1143-N1142</f>
        <v>4074</v>
      </c>
      <c r="G1883" s="115">
        <f>Q1143-Q1142</f>
        <v>2495</v>
      </c>
      <c r="H1883" s="115">
        <f>T1143-T1142</f>
        <v>0</v>
      </c>
      <c r="I1883" s="115">
        <f>W1143-W1142</f>
        <v>0</v>
      </c>
      <c r="J1883" s="115">
        <f>Z1143-Z1142</f>
        <v>0</v>
      </c>
      <c r="L1883" s="115"/>
      <c r="M1883" s="115"/>
    </row>
    <row r="1884" spans="1:13">
      <c r="A1884" s="113" t="s">
        <v>423</v>
      </c>
      <c r="B1884" s="115">
        <f>B1144-B1140</f>
        <v>9477.6499999999978</v>
      </c>
      <c r="C1884" s="115">
        <f>E1144-E1140</f>
        <v>19418</v>
      </c>
      <c r="D1884" s="115">
        <f>H1144-H1140</f>
        <v>28094</v>
      </c>
      <c r="E1884" s="115">
        <f>K1144-K1140</f>
        <v>8550.9999096952815</v>
      </c>
      <c r="F1884" s="115">
        <f>N1144-N1140</f>
        <v>8864</v>
      </c>
      <c r="G1884" s="115">
        <f>Q1144-Q1140</f>
        <v>9060</v>
      </c>
      <c r="H1884" s="115">
        <f>T1144-T1140</f>
        <v>0</v>
      </c>
      <c r="I1884" s="115">
        <f>W1144-W1140</f>
        <v>0</v>
      </c>
      <c r="J1884" s="115">
        <f>Z1144-Z1140</f>
        <v>0</v>
      </c>
      <c r="L1884" s="115"/>
      <c r="M1884" s="115"/>
    </row>
    <row r="1885" spans="1:13">
      <c r="A1885" s="113" t="s">
        <v>424</v>
      </c>
      <c r="B1885" s="115">
        <f>B1143-B1144</f>
        <v>1840.3000000000029</v>
      </c>
      <c r="C1885" s="115">
        <f>E1143-E1144</f>
        <v>-7191</v>
      </c>
      <c r="D1885" s="115">
        <f>H1143-H1144</f>
        <v>5023</v>
      </c>
      <c r="E1885" s="115">
        <f>K1143-K1144</f>
        <v>1989.4711916352753</v>
      </c>
      <c r="F1885" s="115">
        <f>N1143-N1144</f>
        <v>2612</v>
      </c>
      <c r="G1885" s="115">
        <f>Q1143-Q1144</f>
        <v>1283</v>
      </c>
      <c r="H1885" s="115">
        <f>T1143-T1144</f>
        <v>0</v>
      </c>
      <c r="I1885" s="115">
        <f>W1143-W1144</f>
        <v>0</v>
      </c>
      <c r="J1885" s="115">
        <f>Z1143-Z1144</f>
        <v>0</v>
      </c>
      <c r="L1885" s="115"/>
      <c r="M1885" s="115"/>
    </row>
    <row r="1886" spans="1:13">
      <c r="A1886" s="2" t="s">
        <v>298</v>
      </c>
      <c r="B1886" s="115">
        <f>B1145-B1140</f>
        <v>-82.319999999999709</v>
      </c>
      <c r="C1886" s="115">
        <f>E1145-E1140</f>
        <v>0</v>
      </c>
      <c r="D1886" s="115">
        <f>H1145-H1140</f>
        <v>-1</v>
      </c>
      <c r="E1886" s="115">
        <f>K1145-K1140</f>
        <v>-2.5077169717405923E-2</v>
      </c>
      <c r="F1886" s="115">
        <f>N1145-N1140</f>
        <v>0</v>
      </c>
      <c r="G1886" s="115">
        <f>Q1145-Q1140</f>
        <v>5</v>
      </c>
      <c r="H1886" s="115">
        <f>T1145-T1140</f>
        <v>0</v>
      </c>
      <c r="I1886" s="115">
        <f>W1145-W1140</f>
        <v>0</v>
      </c>
      <c r="J1886" s="115">
        <f>Z1145-Z1140</f>
        <v>0</v>
      </c>
      <c r="L1886" s="115"/>
      <c r="M1886" s="115"/>
    </row>
    <row r="1887" spans="1:13">
      <c r="A1887" s="2" t="s">
        <v>299</v>
      </c>
      <c r="B1887" s="115">
        <f>B1146-B1140</f>
        <v>6683.1100000000042</v>
      </c>
      <c r="C1887" s="115">
        <f>E1146-E1140</f>
        <v>9212</v>
      </c>
      <c r="D1887" s="115">
        <f>H1146-H1140</f>
        <v>9564</v>
      </c>
      <c r="E1887" s="115">
        <f>K1146-K1140</f>
        <v>5634.0124646983386</v>
      </c>
      <c r="F1887" s="115">
        <f>N1146-N1140</f>
        <v>5820</v>
      </c>
      <c r="G1887" s="115">
        <f>Q1146-Q1140</f>
        <v>6379</v>
      </c>
      <c r="H1887" s="115">
        <f>T1146-T1140</f>
        <v>0</v>
      </c>
      <c r="I1887" s="115">
        <f>W1146-W1140</f>
        <v>0</v>
      </c>
      <c r="J1887" s="115">
        <f>Z1146-Z1140</f>
        <v>0</v>
      </c>
      <c r="L1887" s="115"/>
      <c r="M1887" s="115"/>
    </row>
    <row r="1888" spans="1:13">
      <c r="A1888" s="2" t="s">
        <v>300</v>
      </c>
      <c r="B1888" s="115">
        <f>B1147-B1140</f>
        <v>9004.5499999999993</v>
      </c>
      <c r="C1888" s="115">
        <f>E1147-E1140</f>
        <v>9142</v>
      </c>
      <c r="D1888" s="115">
        <f>H1147-H1140</f>
        <v>18383</v>
      </c>
      <c r="E1888" s="115">
        <f>K1147-K1140</f>
        <v>8054.7321813286107</v>
      </c>
      <c r="F1888" s="115">
        <f>N1147-N1140</f>
        <v>-32502</v>
      </c>
      <c r="G1888" s="115">
        <f>Q1147-Q1140</f>
        <v>8702</v>
      </c>
      <c r="H1888" s="115">
        <f>T1147-T1140</f>
        <v>0</v>
      </c>
      <c r="I1888" s="115">
        <f>W1147-W1140</f>
        <v>0</v>
      </c>
      <c r="J1888" s="115">
        <f>Z1147-Z1140</f>
        <v>0</v>
      </c>
      <c r="L1888" s="115"/>
      <c r="M1888" s="115"/>
    </row>
    <row r="1889" spans="1:13">
      <c r="A1889" s="2" t="s">
        <v>306</v>
      </c>
      <c r="B1889" s="115">
        <f>B1148-B1140</f>
        <v>-82.319999999999709</v>
      </c>
      <c r="C1889" s="115">
        <f>E1148-E1140</f>
        <v>0</v>
      </c>
      <c r="D1889" s="115">
        <f>H1148-H1140</f>
        <v>0</v>
      </c>
      <c r="E1889" s="115">
        <f>K1148-K1140</f>
        <v>0</v>
      </c>
      <c r="F1889" s="115">
        <f>N1148-N1140</f>
        <v>-32502</v>
      </c>
      <c r="G1889" s="115">
        <f>Q1148-Q1140</f>
        <v>1</v>
      </c>
      <c r="H1889" s="115">
        <f>T1148-T1140</f>
        <v>0</v>
      </c>
      <c r="I1889" s="115">
        <f>W1148-W1140</f>
        <v>0</v>
      </c>
      <c r="J1889" s="115">
        <f>Z1148-Z1140</f>
        <v>0</v>
      </c>
      <c r="L1889" s="115"/>
      <c r="M1889" s="115"/>
    </row>
    <row r="1890" spans="1:13">
      <c r="A1890" s="2" t="s">
        <v>307</v>
      </c>
      <c r="B1890" s="115">
        <f>B1149-B1140</f>
        <v>0</v>
      </c>
      <c r="C1890" s="115">
        <f>E1149-E1140</f>
        <v>0</v>
      </c>
      <c r="D1890" s="115">
        <f>H1149-H1140</f>
        <v>0</v>
      </c>
      <c r="E1890" s="115">
        <f>K1149-K1140</f>
        <v>0</v>
      </c>
      <c r="F1890" s="115">
        <f>N1149-N1140</f>
        <v>-32502</v>
      </c>
      <c r="G1890" s="115">
        <f>Q1149-Q1140</f>
        <v>0</v>
      </c>
      <c r="H1890" s="115">
        <f>T1149-T1140</f>
        <v>0</v>
      </c>
      <c r="I1890" s="115">
        <f>W1149-W1140</f>
        <v>0</v>
      </c>
      <c r="J1890" s="115">
        <f>Z1149-Z1140</f>
        <v>0</v>
      </c>
      <c r="L1890" s="115"/>
      <c r="M1890" s="115"/>
    </row>
    <row r="1891" spans="1:13">
      <c r="A1891" s="2" t="s">
        <v>308</v>
      </c>
      <c r="B1891" s="115">
        <f>B1150-B1140</f>
        <v>0</v>
      </c>
      <c r="C1891" s="115">
        <f>E1150-E1140</f>
        <v>0</v>
      </c>
      <c r="D1891" s="115">
        <f>H1150-H1140</f>
        <v>0</v>
      </c>
      <c r="E1891" s="115">
        <f>K1150-K1140</f>
        <v>2.7648638933897018E-10</v>
      </c>
      <c r="F1891" s="115">
        <f>N1150-N1140</f>
        <v>-32502</v>
      </c>
      <c r="G1891" s="115">
        <f>Q1150-Q1140</f>
        <v>0</v>
      </c>
      <c r="H1891" s="115">
        <f>T1150-T1140</f>
        <v>0</v>
      </c>
      <c r="I1891" s="115">
        <f>W1150-W1140</f>
        <v>0</v>
      </c>
      <c r="J1891" s="115">
        <f>Z1150-Z1140</f>
        <v>0</v>
      </c>
      <c r="L1891" s="115"/>
      <c r="M1891" s="115"/>
    </row>
    <row r="1892" spans="1:13">
      <c r="A1892" s="2" t="s">
        <v>309</v>
      </c>
      <c r="B1892" s="115">
        <f>B1151-B1140</f>
        <v>0</v>
      </c>
      <c r="C1892" s="115">
        <f>E1151-E1140</f>
        <v>0</v>
      </c>
      <c r="D1892" s="115">
        <f>H1151-H1140</f>
        <v>0</v>
      </c>
      <c r="E1892" s="115">
        <f>K1151-K1140</f>
        <v>2.7648638933897018E-10</v>
      </c>
      <c r="F1892" s="115">
        <f>N1151-N1140</f>
        <v>-32502</v>
      </c>
      <c r="G1892" s="115">
        <f>Q1151-Q1140</f>
        <v>-295</v>
      </c>
      <c r="H1892" s="115">
        <f>T1151-T1140</f>
        <v>0</v>
      </c>
      <c r="I1892" s="115">
        <f>W1151-W1140</f>
        <v>0</v>
      </c>
      <c r="J1892" s="115">
        <f>Z1151-Z1140</f>
        <v>0</v>
      </c>
      <c r="L1892" s="115"/>
      <c r="M1892" s="115"/>
    </row>
    <row r="1893" spans="1:13">
      <c r="A1893" s="2" t="s">
        <v>301</v>
      </c>
      <c r="B1893" s="115">
        <f>B1152-B1140</f>
        <v>-4688.5400000000009</v>
      </c>
      <c r="C1893" s="115">
        <f>E1152-E1140</f>
        <v>-3694</v>
      </c>
      <c r="D1893" s="115">
        <f>H1152-H1140</f>
        <v>-3749</v>
      </c>
      <c r="E1893" s="115">
        <f>K1152-K1140</f>
        <v>-5401.0537022594981</v>
      </c>
      <c r="F1893" s="115">
        <f>N1152-N1140</f>
        <v>-5935</v>
      </c>
      <c r="G1893" s="115">
        <f>Q1152-Q1140</f>
        <v>-4517</v>
      </c>
      <c r="H1893" s="115">
        <f>T1152-T1140</f>
        <v>0</v>
      </c>
      <c r="I1893" s="115">
        <f>W1152-W1140</f>
        <v>0</v>
      </c>
      <c r="J1893" s="115">
        <f>Z1152-Z1140</f>
        <v>0</v>
      </c>
      <c r="L1893" s="115"/>
      <c r="M1893" s="115"/>
    </row>
    <row r="1894" spans="1:13">
      <c r="A1894" s="2" t="s">
        <v>302</v>
      </c>
      <c r="B1894" s="115">
        <f>B1153-B1152</f>
        <v>3107.5400000000009</v>
      </c>
      <c r="C1894" s="115">
        <f>E1153-E1152</f>
        <v>3481</v>
      </c>
      <c r="D1894" s="115">
        <f>H1153-H1152</f>
        <v>3482</v>
      </c>
      <c r="E1894" s="115">
        <f>K1153-K1152</f>
        <v>3538.1292354497782</v>
      </c>
      <c r="F1894" s="115">
        <f>N1153-N1152</f>
        <v>3381</v>
      </c>
      <c r="G1894" s="115">
        <f>Q1153-Q1152</f>
        <v>3542</v>
      </c>
      <c r="H1894" s="115">
        <f>T1153-T1152</f>
        <v>0</v>
      </c>
      <c r="I1894" s="115">
        <f>W1153-W1152</f>
        <v>0</v>
      </c>
      <c r="J1894" s="115">
        <f>Z1153-Z1152</f>
        <v>0</v>
      </c>
      <c r="L1894" s="115"/>
      <c r="M1894" s="115"/>
    </row>
    <row r="1895" spans="1:13">
      <c r="A1895" s="2" t="s">
        <v>303</v>
      </c>
      <c r="B1895" s="115">
        <f>B1156-B1154</f>
        <v>410.17000000000189</v>
      </c>
      <c r="C1895" s="115">
        <f>E1156-E1154</f>
        <v>-412</v>
      </c>
      <c r="D1895" s="115">
        <f>H1156-H1154</f>
        <v>-412</v>
      </c>
      <c r="E1895" s="115">
        <f>K1156-K1154</f>
        <v>-166.72959005152734</v>
      </c>
      <c r="F1895" s="115">
        <f>N1156-N1154</f>
        <v>8</v>
      </c>
      <c r="G1895" s="115">
        <f>Q1156-Q1154</f>
        <v>-881</v>
      </c>
      <c r="H1895" s="115">
        <f>T1156-T1154</f>
        <v>0</v>
      </c>
      <c r="I1895" s="115">
        <f>W1156-W1154</f>
        <v>0</v>
      </c>
      <c r="J1895" s="115">
        <f>Z1156-Z1154</f>
        <v>0</v>
      </c>
      <c r="L1895" s="115"/>
      <c r="M1895" s="115"/>
    </row>
    <row r="1896" spans="1:13">
      <c r="A1896" s="2" t="s">
        <v>304</v>
      </c>
      <c r="B1896" s="115">
        <f>B1157-B1152</f>
        <v>-7651.41</v>
      </c>
      <c r="C1896" s="115">
        <f>E1157-E1152</f>
        <v>-8131</v>
      </c>
      <c r="D1896" s="115">
        <f>H1157-H1152</f>
        <v>-8131</v>
      </c>
      <c r="E1896" s="115">
        <f>K1157-K1152</f>
        <v>-8000.279931511639</v>
      </c>
      <c r="F1896" s="115">
        <f>N1157-N1152</f>
        <v>-7791</v>
      </c>
      <c r="G1896" s="115">
        <f>Q1157-Q1152</f>
        <v>-7929</v>
      </c>
      <c r="H1896" s="115">
        <f>T1157-T1152</f>
        <v>0</v>
      </c>
      <c r="I1896" s="115">
        <f>W1157-W1152</f>
        <v>0</v>
      </c>
      <c r="J1896" s="115">
        <f>Z1157-Z1152</f>
        <v>0</v>
      </c>
      <c r="L1896" s="115"/>
      <c r="M1896" s="115"/>
    </row>
    <row r="1897" spans="1:13">
      <c r="A1897" s="2" t="s">
        <v>305</v>
      </c>
      <c r="B1897" s="115">
        <f>B1159-B1158</f>
        <v>500.20000000000073</v>
      </c>
      <c r="C1897" s="115">
        <f>E1159-E1158</f>
        <v>-291</v>
      </c>
      <c r="D1897" s="115">
        <f>H1159-H1158</f>
        <v>-292</v>
      </c>
      <c r="E1897" s="115">
        <f>K1159-K1158</f>
        <v>-273.70410940313741</v>
      </c>
      <c r="F1897" s="115">
        <f>N1159-N1158</f>
        <v>-30</v>
      </c>
      <c r="G1897" s="115">
        <f>Q1159-Q1158</f>
        <v>-302</v>
      </c>
      <c r="H1897" s="115">
        <f>T1159-T1158</f>
        <v>0</v>
      </c>
      <c r="I1897" s="115">
        <f>W1159-W1158</f>
        <v>0</v>
      </c>
      <c r="J1897" s="115">
        <f>Z1159-Z1158</f>
        <v>0</v>
      </c>
      <c r="L1897" s="115"/>
      <c r="M1897" s="115"/>
    </row>
    <row r="1907" spans="1:13">
      <c r="A1907" t="s">
        <v>317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245</v>
      </c>
      <c r="C1909" s="10" t="s">
        <v>257</v>
      </c>
      <c r="D1909" s="10" t="s">
        <v>258</v>
      </c>
      <c r="E1909" s="10" t="s">
        <v>515</v>
      </c>
      <c r="F1909" s="10" t="s">
        <v>373</v>
      </c>
      <c r="G1909" s="10" t="s">
        <v>482</v>
      </c>
      <c r="H1909" s="10" t="s">
        <v>516</v>
      </c>
      <c r="I1909" s="10" t="s">
        <v>517</v>
      </c>
      <c r="J1909" s="10" t="s">
        <v>517</v>
      </c>
    </row>
    <row r="1910" spans="1:13">
      <c r="A1910" s="2" t="s">
        <v>295</v>
      </c>
      <c r="B1910" s="112">
        <f>B1191-B1190</f>
        <v>-2.503710504220269E-2</v>
      </c>
      <c r="C1910" s="112">
        <f>E1191-E1190</f>
        <v>0.2719999999999998</v>
      </c>
      <c r="D1910" s="112">
        <f>H1191-H1190</f>
        <v>0.27099999999999991</v>
      </c>
      <c r="E1910" s="112">
        <f>K1191-K1190</f>
        <v>0.27226166768202509</v>
      </c>
      <c r="F1910" s="112">
        <f>N1191-N1190</f>
        <v>0.25702934970804447</v>
      </c>
      <c r="G1910" s="112">
        <f>Q1191-Q1190</f>
        <v>0.24000000000000021</v>
      </c>
      <c r="H1910" s="112">
        <f>T1191-T1190</f>
        <v>0</v>
      </c>
      <c r="I1910" s="112">
        <f>W1191-W1190</f>
        <v>0</v>
      </c>
      <c r="J1910" s="112">
        <f>Z1191-Z1190</f>
        <v>0</v>
      </c>
      <c r="L1910" s="112"/>
      <c r="M1910" s="112"/>
    </row>
    <row r="1911" spans="1:13">
      <c r="A1911" s="2" t="s">
        <v>296</v>
      </c>
      <c r="B1911" s="112">
        <f>B1192-B1190</f>
        <v>0</v>
      </c>
      <c r="C1911" s="112">
        <f>E1192-E1190</f>
        <v>1.2739999999999996</v>
      </c>
      <c r="D1911" s="112">
        <f>H1192-H1190</f>
        <v>1.1099999999999994</v>
      </c>
      <c r="E1911" s="112">
        <f>K1192-K1190</f>
        <v>4.1596239215089259E-2</v>
      </c>
      <c r="F1911" s="112">
        <f>N1192-N1190</f>
        <v>7.2694012320202006E-2</v>
      </c>
      <c r="G1911" s="112">
        <f>Q1192-Q1190</f>
        <v>0.5</v>
      </c>
      <c r="H1911" s="112">
        <f>T1192-T1190</f>
        <v>0</v>
      </c>
      <c r="I1911" s="112">
        <f>W1192-W1190</f>
        <v>0</v>
      </c>
      <c r="J1911" s="112">
        <f>Z1192-Z1190</f>
        <v>0</v>
      </c>
      <c r="L1911" s="112"/>
      <c r="M1911" s="112"/>
    </row>
    <row r="1912" spans="1:13">
      <c r="A1912" s="2" t="s">
        <v>297</v>
      </c>
      <c r="B1912" s="112">
        <f>B1193-B1190</f>
        <v>0</v>
      </c>
      <c r="C1912" s="112">
        <f>E1193-E1190</f>
        <v>0.23999999999999977</v>
      </c>
      <c r="D1912" s="112">
        <f>H1193-H1190</f>
        <v>1.7379999999999995</v>
      </c>
      <c r="E1912" s="112">
        <f>K1193-K1190</f>
        <v>0.17298837863495686</v>
      </c>
      <c r="F1912" s="112">
        <f>N1193-N1190</f>
        <v>0.25133541762216671</v>
      </c>
      <c r="G1912" s="112">
        <f>Q1193-Q1190</f>
        <v>0.16999999999999993</v>
      </c>
      <c r="H1912" s="112">
        <f>T1193-T1190</f>
        <v>0</v>
      </c>
      <c r="I1912" s="112">
        <f>W1193-W1190</f>
        <v>0</v>
      </c>
      <c r="J1912" s="112">
        <f>Z1193-Z1190</f>
        <v>0</v>
      </c>
      <c r="L1912" s="112"/>
      <c r="M1912" s="112"/>
    </row>
    <row r="1913" spans="1:13">
      <c r="A1913" s="113" t="s">
        <v>422</v>
      </c>
      <c r="B1913" s="112">
        <f>B1193-B1192</f>
        <v>0</v>
      </c>
      <c r="C1913" s="112">
        <f>E1193-E1192</f>
        <v>-1.0339999999999998</v>
      </c>
      <c r="D1913" s="112">
        <f>H1193-H1192</f>
        <v>0.62800000000000011</v>
      </c>
      <c r="E1913" s="112">
        <f>K1193-K1192</f>
        <v>0.1313921394198676</v>
      </c>
      <c r="F1913" s="112">
        <f>N1193-N1192</f>
        <v>0.17864140530196471</v>
      </c>
      <c r="G1913" s="112">
        <f>Q1193-Q1192</f>
        <v>-0.33000000000000007</v>
      </c>
      <c r="H1913" s="112">
        <f>T1193-T1192</f>
        <v>0</v>
      </c>
      <c r="I1913" s="112">
        <f>W1193-W1192</f>
        <v>0</v>
      </c>
      <c r="J1913" s="112">
        <f>Z1193-Z1192</f>
        <v>0</v>
      </c>
      <c r="L1913" s="112"/>
      <c r="M1913" s="112"/>
    </row>
    <row r="1914" spans="1:13">
      <c r="A1914" s="113" t="s">
        <v>423</v>
      </c>
      <c r="B1914" s="112">
        <f>B1194-B1190</f>
        <v>0</v>
      </c>
      <c r="C1914" s="112">
        <f>E1194-E1190</f>
        <v>0.75200000000000022</v>
      </c>
      <c r="D1914" s="112">
        <f>H1194-H1190</f>
        <v>1.4820000000000002</v>
      </c>
      <c r="E1914" s="112">
        <f>K1194-K1190</f>
        <v>9.152234678082527E-2</v>
      </c>
      <c r="F1914" s="112">
        <f>N1194-N1190</f>
        <v>0.14655015781869229</v>
      </c>
      <c r="G1914" s="112">
        <f>Q1194-Q1190</f>
        <v>7.0000000000000284E-2</v>
      </c>
      <c r="H1914" s="112">
        <f>T1194-T1190</f>
        <v>0</v>
      </c>
      <c r="I1914" s="112">
        <f>W1194-W1190</f>
        <v>0</v>
      </c>
      <c r="J1914" s="112">
        <f>Z1194-Z1190</f>
        <v>0</v>
      </c>
      <c r="L1914" s="112"/>
      <c r="M1914" s="112"/>
    </row>
    <row r="1915" spans="1:13">
      <c r="A1915" s="113" t="s">
        <v>424</v>
      </c>
      <c r="B1915" s="112">
        <f>B1193-B1194</f>
        <v>0</v>
      </c>
      <c r="C1915" s="112">
        <f>E1193-E1194</f>
        <v>-0.51200000000000045</v>
      </c>
      <c r="D1915" s="112">
        <f>H1193-H1194</f>
        <v>0.25599999999999934</v>
      </c>
      <c r="E1915" s="112">
        <f>K1193-K1194</f>
        <v>8.1466031854131593E-2</v>
      </c>
      <c r="F1915" s="112">
        <f>N1193-N1194</f>
        <v>0.10478525980347442</v>
      </c>
      <c r="G1915" s="112">
        <f>Q1193-Q1194</f>
        <v>9.9999999999999645E-2</v>
      </c>
      <c r="H1915" s="112">
        <f>T1193-T1194</f>
        <v>0</v>
      </c>
      <c r="I1915" s="112">
        <f>W1193-W1194</f>
        <v>0</v>
      </c>
      <c r="J1915" s="112">
        <f>Z1193-Z1194</f>
        <v>0</v>
      </c>
      <c r="L1915" s="112"/>
      <c r="M1915" s="112"/>
    </row>
    <row r="1916" spans="1:13">
      <c r="A1916" s="2" t="s">
        <v>298</v>
      </c>
      <c r="B1916" s="112">
        <f>B1195-B1190</f>
        <v>0</v>
      </c>
      <c r="C1916" s="112">
        <f>E1195-E1190</f>
        <v>1.9999999999999574E-2</v>
      </c>
      <c r="D1916" s="112">
        <f>H1195-H1190</f>
        <v>5.9999999999997833E-3</v>
      </c>
      <c r="E1916" s="112">
        <f>K1195-K1190</f>
        <v>0.42215893494423673</v>
      </c>
      <c r="F1916" s="112">
        <f>N1195-N1190</f>
        <v>6.1488078409198899E-2</v>
      </c>
      <c r="G1916" s="112">
        <f>Q1195-Q1190</f>
        <v>0</v>
      </c>
      <c r="H1916" s="112">
        <f>T1195-T1190</f>
        <v>0</v>
      </c>
      <c r="I1916" s="112">
        <f>W1195-W1190</f>
        <v>0</v>
      </c>
      <c r="J1916" s="112">
        <f>Z1195-Z1190</f>
        <v>0</v>
      </c>
      <c r="L1916" s="112"/>
      <c r="M1916" s="112"/>
    </row>
    <row r="1917" spans="1:13">
      <c r="A1917" s="2" t="s">
        <v>299</v>
      </c>
      <c r="B1917" s="112">
        <f>B1196-B1190</f>
        <v>0.23262741822968813</v>
      </c>
      <c r="C1917" s="112">
        <f>E1196-E1190</f>
        <v>0.55899999999999972</v>
      </c>
      <c r="D1917" s="112">
        <f>H1196-H1190</f>
        <v>0.5699999999999994</v>
      </c>
      <c r="E1917" s="112">
        <f>K1196-K1190</f>
        <v>0.50758073013964866</v>
      </c>
      <c r="F1917" s="112">
        <f>N1196-N1190</f>
        <v>0.56139931610307636</v>
      </c>
      <c r="G1917" s="112">
        <f>Q1196-Q1190</f>
        <v>0.5600000000000005</v>
      </c>
      <c r="H1917" s="112">
        <f>T1196-T1190</f>
        <v>0</v>
      </c>
      <c r="I1917" s="112">
        <f>W1196-W1190</f>
        <v>0</v>
      </c>
      <c r="J1917" s="112">
        <f>Z1196-Z1190</f>
        <v>0</v>
      </c>
      <c r="L1917" s="112"/>
      <c r="M1917" s="112"/>
    </row>
    <row r="1918" spans="1:13">
      <c r="A1918" s="2" t="s">
        <v>300</v>
      </c>
      <c r="B1918" s="112">
        <f>B1197-B1190</f>
        <v>-9.1397944443967205E-2</v>
      </c>
      <c r="C1918" s="112">
        <f>E1197-E1190</f>
        <v>0.21899999999999986</v>
      </c>
      <c r="D1918" s="112">
        <f>H1197-H1190</f>
        <v>0.91899999999999959</v>
      </c>
      <c r="E1918" s="112">
        <f>K1197-K1190</f>
        <v>0.17296994164320045</v>
      </c>
      <c r="F1918" s="112">
        <f>N1197-N1190</f>
        <v>-3.8706106870229005</v>
      </c>
      <c r="G1918" s="112">
        <f>Q1197-Q1190</f>
        <v>0.16999999999999993</v>
      </c>
      <c r="H1918" s="112">
        <f>T1197-T1190</f>
        <v>0</v>
      </c>
      <c r="I1918" s="112">
        <f>W1197-W1190</f>
        <v>0</v>
      </c>
      <c r="J1918" s="112">
        <f>Z1197-Z1190</f>
        <v>0</v>
      </c>
      <c r="L1918" s="112"/>
      <c r="M1918" s="112"/>
    </row>
    <row r="1919" spans="1:13">
      <c r="A1919" s="2" t="s">
        <v>306</v>
      </c>
      <c r="B1919" s="112">
        <f>B1198-B1190</f>
        <v>-0.28042792095087998</v>
      </c>
      <c r="C1919" s="112">
        <f>E1198-E1190</f>
        <v>3.3999999999999808E-2</v>
      </c>
      <c r="D1919" s="112">
        <f>H1198-H1190</f>
        <v>-2.0000000000002238E-3</v>
      </c>
      <c r="E1919" s="112">
        <f>K1198-K1190</f>
        <v>0.11717197207692598</v>
      </c>
      <c r="F1919" s="112">
        <f>N1198-N1190</f>
        <v>-3.8706106870229005</v>
      </c>
      <c r="G1919" s="112">
        <f>Q1198-Q1190</f>
        <v>-4.0000000000000036E-2</v>
      </c>
      <c r="H1919" s="112">
        <f>T1198-T1190</f>
        <v>0</v>
      </c>
      <c r="I1919" s="112">
        <f>W1198-W1190</f>
        <v>0</v>
      </c>
      <c r="J1919" s="112">
        <f>Z1198-Z1190</f>
        <v>0</v>
      </c>
      <c r="L1919" s="112"/>
      <c r="M1919" s="112"/>
    </row>
    <row r="1920" spans="1:13">
      <c r="A1920" s="2" t="s">
        <v>307</v>
      </c>
      <c r="B1920" s="112">
        <f>B1199-B1190</f>
        <v>-0.38704909834862278</v>
      </c>
      <c r="C1920" s="112">
        <f>E1199-E1190</f>
        <v>-6.2000000000000277E-2</v>
      </c>
      <c r="D1920" s="112">
        <f>H1199-H1190</f>
        <v>-9.8000000000000309E-2</v>
      </c>
      <c r="E1920" s="112">
        <f>K1199-K1190</f>
        <v>-7.8559344622752825E-2</v>
      </c>
      <c r="F1920" s="112">
        <f>N1199-N1190</f>
        <v>-3.8706106870229005</v>
      </c>
      <c r="G1920" s="112">
        <f>Q1199-Q1190</f>
        <v>6.0000000000000053E-2</v>
      </c>
      <c r="H1920" s="112">
        <f>T1199-T1190</f>
        <v>0</v>
      </c>
      <c r="I1920" s="112">
        <f>W1199-W1190</f>
        <v>0</v>
      </c>
      <c r="J1920" s="112">
        <f>Z1199-Z1190</f>
        <v>0</v>
      </c>
      <c r="L1920" s="112"/>
      <c r="M1920" s="112"/>
    </row>
    <row r="1921" spans="1:13">
      <c r="A1921" s="2" t="s">
        <v>308</v>
      </c>
      <c r="B1921" s="112">
        <f>B1200-B1190</f>
        <v>-0.38704909834862278</v>
      </c>
      <c r="C1921" s="112">
        <f>E1200-E1190</f>
        <v>-6.4000000000000057E-2</v>
      </c>
      <c r="D1921" s="112">
        <f>H1200-H1190</f>
        <v>-9.8000000000000309E-2</v>
      </c>
      <c r="E1921" s="112">
        <f>K1200-K1190</f>
        <v>-0.11876839272381767</v>
      </c>
      <c r="F1921" s="112">
        <f>N1200-N1190</f>
        <v>-3.8706106870229005</v>
      </c>
      <c r="G1921" s="112">
        <f>Q1200-Q1190</f>
        <v>5.0000000000000266E-2</v>
      </c>
      <c r="H1921" s="112">
        <f>T1200-T1190</f>
        <v>0</v>
      </c>
      <c r="I1921" s="112">
        <f>W1200-W1190</f>
        <v>0</v>
      </c>
      <c r="J1921" s="112">
        <f>Z1200-Z1190</f>
        <v>0</v>
      </c>
      <c r="L1921" s="112"/>
      <c r="M1921" s="112"/>
    </row>
    <row r="1922" spans="1:13">
      <c r="A1922" s="2" t="s">
        <v>309</v>
      </c>
      <c r="B1922" s="112">
        <f>B1201-B1190</f>
        <v>-0.28486266604066124</v>
      </c>
      <c r="C1922" s="112">
        <f>E1201-E1190</f>
        <v>-9.5000000000000195E-2</v>
      </c>
      <c r="D1922" s="112">
        <f>H1201-H1190</f>
        <v>-9.8000000000000309E-2</v>
      </c>
      <c r="E1922" s="112">
        <f>K1201-K1190</f>
        <v>-0.11876839272382078</v>
      </c>
      <c r="F1922" s="112">
        <f>N1201-N1190</f>
        <v>-3.8706106870229005</v>
      </c>
      <c r="G1922" s="112">
        <f>Q1201-Q1190</f>
        <v>-6.999999999999984E-2</v>
      </c>
      <c r="H1922" s="112">
        <f>T1201-T1190</f>
        <v>0</v>
      </c>
      <c r="I1922" s="112">
        <f>W1201-W1190</f>
        <v>0</v>
      </c>
      <c r="J1922" s="112">
        <f>Z1201-Z1190</f>
        <v>0</v>
      </c>
      <c r="L1922" s="112"/>
      <c r="M1922" s="112"/>
    </row>
    <row r="1923" spans="1:13">
      <c r="A1923" s="2" t="s">
        <v>301</v>
      </c>
      <c r="B1923" s="112">
        <f>B1202-B1190</f>
        <v>0.10680263386901867</v>
      </c>
      <c r="C1923" s="112">
        <f>E1202-E1190</f>
        <v>3.4979999999999998</v>
      </c>
      <c r="D1923" s="112">
        <f>H1202-H1190</f>
        <v>1.444</v>
      </c>
      <c r="E1923" s="112">
        <f>K1202-K1190</f>
        <v>0.31113093132894454</v>
      </c>
      <c r="F1923" s="112">
        <f>N1202-N1190</f>
        <v>0.31401119721875537</v>
      </c>
      <c r="G1923" s="112">
        <f>Q1202-Q1190</f>
        <v>0.25999999999999979</v>
      </c>
      <c r="H1923" s="112">
        <f>T1202-T1190</f>
        <v>0</v>
      </c>
      <c r="I1923" s="112">
        <f>W1202-W1190</f>
        <v>0</v>
      </c>
      <c r="J1923" s="112">
        <f>Z1202-Z1190</f>
        <v>0</v>
      </c>
      <c r="L1923" s="112"/>
      <c r="M1923" s="112"/>
    </row>
    <row r="1924" spans="1:13">
      <c r="A1924" s="2" t="s">
        <v>302</v>
      </c>
      <c r="B1924" s="112">
        <f>B1203-B1202</f>
        <v>0.41740162823860505</v>
      </c>
      <c r="C1924" s="112">
        <f>E1203-E1202</f>
        <v>0</v>
      </c>
      <c r="D1924" s="112">
        <f>H1203-H1202</f>
        <v>0</v>
      </c>
      <c r="E1924" s="112">
        <f>K1203-K1202</f>
        <v>0.47259136106608768</v>
      </c>
      <c r="F1924" s="112">
        <f>N1203-N1202</f>
        <v>0.50496243692161258</v>
      </c>
      <c r="G1924" s="112">
        <f>Q1203-Q1202</f>
        <v>0.39000000000000057</v>
      </c>
      <c r="H1924" s="112">
        <f>T1203-T1202</f>
        <v>0</v>
      </c>
      <c r="I1924" s="112">
        <f>W1203-W1202</f>
        <v>0</v>
      </c>
      <c r="J1924" s="112">
        <f>Z1203-Z1202</f>
        <v>0</v>
      </c>
      <c r="L1924" s="112"/>
      <c r="M1924" s="112"/>
    </row>
    <row r="1925" spans="1:13">
      <c r="A1925" s="2" t="s">
        <v>303</v>
      </c>
      <c r="B1925" s="112">
        <f>B1206-B1204</f>
        <v>0.90401996268755447</v>
      </c>
      <c r="C1925" s="112">
        <f>E1206-E1204</f>
        <v>1.4290000000000003</v>
      </c>
      <c r="D1925" s="112">
        <f>H1206-H1204</f>
        <v>1.3789999999999996</v>
      </c>
      <c r="E1925" s="112">
        <f>K1206-K1204</f>
        <v>0.83955293398003983</v>
      </c>
      <c r="F1925" s="112">
        <f>N1206-N1204</f>
        <v>0.8363252567480095</v>
      </c>
      <c r="G1925" s="112">
        <f>Q1206-Q1204</f>
        <v>0.5600000000000005</v>
      </c>
      <c r="H1925" s="112">
        <f>T1206-T1204</f>
        <v>0</v>
      </c>
      <c r="I1925" s="112">
        <f>W1206-W1204</f>
        <v>0</v>
      </c>
      <c r="J1925" s="112">
        <f>Z1206-Z1204</f>
        <v>0</v>
      </c>
      <c r="L1925" s="112"/>
      <c r="M1925" s="112"/>
    </row>
    <row r="1926" spans="1:13">
      <c r="A1926" s="2" t="s">
        <v>304</v>
      </c>
      <c r="B1926" s="112">
        <f>B1207-B1202</f>
        <v>-0.26906792864342766</v>
      </c>
      <c r="C1926" s="112">
        <f>E1207-E1202</f>
        <v>-3.3860000000000001</v>
      </c>
      <c r="D1926" s="112">
        <f>H1207-H1202</f>
        <v>-1.4510000000000001</v>
      </c>
      <c r="E1926" s="112">
        <f>K1207-K1202</f>
        <v>-0.31412736189766077</v>
      </c>
      <c r="F1926" s="112">
        <f>N1207-N1202</f>
        <v>-0.34457714151234953</v>
      </c>
      <c r="G1926" s="112">
        <f>Q1207-Q1202</f>
        <v>-0.25999999999999979</v>
      </c>
      <c r="H1926" s="112">
        <f>T1207-T1202</f>
        <v>0</v>
      </c>
      <c r="I1926" s="112">
        <f>W1207-W1202</f>
        <v>0</v>
      </c>
      <c r="J1926" s="112">
        <f>Z1207-Z1202</f>
        <v>0</v>
      </c>
      <c r="L1926" s="112"/>
      <c r="M1926" s="112"/>
    </row>
    <row r="1927" spans="1:13">
      <c r="A1927" s="2" t="s">
        <v>305</v>
      </c>
      <c r="B1927" s="112">
        <f>B1209-B1208</f>
        <v>0.79447541603758243</v>
      </c>
      <c r="C1927" s="112">
        <f>E1209-E1208</f>
        <v>0.81900000000000039</v>
      </c>
      <c r="D1927" s="112">
        <f>H1209-H1208</f>
        <v>0.97299999999999986</v>
      </c>
      <c r="E1927" s="112">
        <f>K1209-K1208</f>
        <v>0.69872584650537961</v>
      </c>
      <c r="F1927" s="112">
        <f>N1209-N1208</f>
        <v>0.48982188295165363</v>
      </c>
      <c r="G1927" s="112">
        <f>Q1209-Q1208</f>
        <v>0.48</v>
      </c>
      <c r="H1927" s="112">
        <f>T1209-T1208</f>
        <v>0</v>
      </c>
      <c r="I1927" s="112">
        <f>W1209-W1208</f>
        <v>0</v>
      </c>
      <c r="J1927" s="112">
        <f>Z1209-Z1208</f>
        <v>0</v>
      </c>
      <c r="L1927" s="112"/>
      <c r="M1927" s="112"/>
    </row>
    <row r="1937" spans="1:13">
      <c r="A1937" t="s">
        <v>318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245</v>
      </c>
      <c r="C1939" s="10" t="s">
        <v>257</v>
      </c>
      <c r="D1939" s="10" t="s">
        <v>258</v>
      </c>
      <c r="E1939" s="10" t="s">
        <v>515</v>
      </c>
      <c r="F1939" s="10" t="s">
        <v>373</v>
      </c>
      <c r="G1939" s="10" t="s">
        <v>482</v>
      </c>
      <c r="H1939" s="10" t="s">
        <v>516</v>
      </c>
      <c r="I1939" s="10" t="s">
        <v>517</v>
      </c>
      <c r="J1939" s="10" t="s">
        <v>517</v>
      </c>
    </row>
    <row r="1940" spans="1:13">
      <c r="A1940" s="2" t="s">
        <v>295</v>
      </c>
      <c r="B1940" s="112">
        <f>B1221-B1220</f>
        <v>7.2168953545786341E-2</v>
      </c>
      <c r="C1940" s="112">
        <f>E1221-E1220</f>
        <v>5.2000000000000046E-2</v>
      </c>
      <c r="D1940" s="112">
        <f>H1221-H1220</f>
        <v>4.9999999999999822E-2</v>
      </c>
      <c r="E1940" s="112">
        <f>K1221-K1220</f>
        <v>9.273313228388691E-2</v>
      </c>
      <c r="F1940" s="112">
        <f>N1221-N1220</f>
        <v>8.7015424049905921E-2</v>
      </c>
      <c r="G1940" s="112">
        <f>Q1221-Q1220</f>
        <v>6.0000000000000053E-2</v>
      </c>
      <c r="H1940" s="112">
        <f>T1221-T1220</f>
        <v>0</v>
      </c>
      <c r="I1940" s="112">
        <f>W1221-W1220</f>
        <v>0</v>
      </c>
      <c r="J1940" s="112">
        <f>Z1221-Z1220</f>
        <v>0</v>
      </c>
      <c r="L1940" s="112"/>
      <c r="M1940" s="112"/>
    </row>
    <row r="1941" spans="1:13">
      <c r="A1941" s="2" t="s">
        <v>296</v>
      </c>
      <c r="B1941" s="112">
        <f>B1222-B1220</f>
        <v>3.2137147461959614E-2</v>
      </c>
      <c r="C1941" s="112">
        <f>E1222-E1220</f>
        <v>3.0000000000001137E-3</v>
      </c>
      <c r="D1941" s="112">
        <f>H1222-H1220</f>
        <v>4.0000000000000036E-3</v>
      </c>
      <c r="E1941" s="112">
        <f>K1222-K1220</f>
        <v>4.868888079806899E-2</v>
      </c>
      <c r="F1941" s="112">
        <f>N1222-N1220</f>
        <v>2.8893343731450472E-2</v>
      </c>
      <c r="G1941" s="112">
        <f>Q1222-Q1220</f>
        <v>2.0000000000000018E-2</v>
      </c>
      <c r="H1941" s="112">
        <f>T1222-T1220</f>
        <v>0</v>
      </c>
      <c r="I1941" s="112">
        <f>W1222-W1220</f>
        <v>0</v>
      </c>
      <c r="J1941" s="112">
        <f>Z1222-Z1220</f>
        <v>0</v>
      </c>
      <c r="L1941" s="112"/>
      <c r="M1941" s="112"/>
    </row>
    <row r="1942" spans="1:13">
      <c r="A1942" s="2" t="s">
        <v>297</v>
      </c>
      <c r="B1942" s="112">
        <f>B1223-B1220</f>
        <v>3.2137147461959614E-2</v>
      </c>
      <c r="C1942" s="112">
        <f>E1223-E1220</f>
        <v>0</v>
      </c>
      <c r="D1942" s="112">
        <f>H1223-H1220</f>
        <v>0</v>
      </c>
      <c r="E1942" s="112">
        <f>K1223-K1220</f>
        <v>5.4160676258335094E-2</v>
      </c>
      <c r="F1942" s="112">
        <f>N1223-N1220</f>
        <v>3.7696176579154805E-2</v>
      </c>
      <c r="G1942" s="112">
        <f>Q1223-Q1220</f>
        <v>2.9999999999999805E-2</v>
      </c>
      <c r="H1942" s="112">
        <f>T1223-T1220</f>
        <v>0</v>
      </c>
      <c r="I1942" s="112">
        <f>W1223-W1220</f>
        <v>0</v>
      </c>
      <c r="J1942" s="112">
        <f>Z1223-Z1220</f>
        <v>0</v>
      </c>
      <c r="L1942" s="112"/>
      <c r="M1942" s="112"/>
    </row>
    <row r="1943" spans="1:13">
      <c r="A1943" s="113" t="s">
        <v>422</v>
      </c>
      <c r="B1943" s="112">
        <f>B1223-B1222</f>
        <v>0</v>
      </c>
      <c r="C1943" s="112">
        <f>E1223-E1222</f>
        <v>-3.0000000000001137E-3</v>
      </c>
      <c r="D1943" s="112">
        <f>H1223-H1222</f>
        <v>-4.0000000000000036E-3</v>
      </c>
      <c r="E1943" s="112">
        <f>K1223-K1222</f>
        <v>5.4717954602661045E-3</v>
      </c>
      <c r="F1943" s="112">
        <f>N1223-N1222</f>
        <v>8.8028328477043338E-3</v>
      </c>
      <c r="G1943" s="112">
        <f>Q1223-Q1222</f>
        <v>9.9999999999997868E-3</v>
      </c>
      <c r="H1943" s="112">
        <f>T1223-T1222</f>
        <v>0</v>
      </c>
      <c r="I1943" s="112">
        <f>W1223-W1222</f>
        <v>0</v>
      </c>
      <c r="J1943" s="112">
        <f>Z1223-Z1222</f>
        <v>0</v>
      </c>
      <c r="L1943" s="112"/>
      <c r="M1943" s="112"/>
    </row>
    <row r="1944" spans="1:13">
      <c r="A1944" s="113" t="s">
        <v>423</v>
      </c>
      <c r="B1944" s="112">
        <f>B1224-B1220</f>
        <v>3.2137147461959614E-2</v>
      </c>
      <c r="C1944" s="112">
        <f>E1224-E1220</f>
        <v>0</v>
      </c>
      <c r="D1944" s="112">
        <f>H1224-H1220</f>
        <v>0</v>
      </c>
      <c r="E1944" s="112">
        <f>K1224-K1220</f>
        <v>5.4160676258335094E-2</v>
      </c>
      <c r="F1944" s="112">
        <f>N1224-N1220</f>
        <v>3.7696176579154805E-2</v>
      </c>
      <c r="G1944" s="112">
        <f>Q1224-Q1220</f>
        <v>2.9999999999999805E-2</v>
      </c>
      <c r="H1944" s="112">
        <f>T1224-T1220</f>
        <v>0</v>
      </c>
      <c r="I1944" s="112">
        <f>W1224-W1220</f>
        <v>0</v>
      </c>
      <c r="J1944" s="112">
        <f>Z1224-Z1220</f>
        <v>0</v>
      </c>
      <c r="L1944" s="112"/>
      <c r="M1944" s="112"/>
    </row>
    <row r="1945" spans="1:13">
      <c r="A1945" s="113" t="s">
        <v>424</v>
      </c>
      <c r="B1945" s="112">
        <f>B1223-B1224</f>
        <v>0</v>
      </c>
      <c r="C1945" s="112">
        <f>E1223-E1224</f>
        <v>0</v>
      </c>
      <c r="D1945" s="112">
        <f>H1223-H1224</f>
        <v>0</v>
      </c>
      <c r="E1945" s="112">
        <f>K1223-K1224</f>
        <v>0</v>
      </c>
      <c r="F1945" s="112">
        <f>N1223-N1224</f>
        <v>0</v>
      </c>
      <c r="G1945" s="112">
        <f>Q1223-Q1224</f>
        <v>0</v>
      </c>
      <c r="H1945" s="112">
        <f>T1223-T1224</f>
        <v>0</v>
      </c>
      <c r="I1945" s="112">
        <f>W1223-W1224</f>
        <v>0</v>
      </c>
      <c r="J1945" s="112">
        <f>Z1223-Z1224</f>
        <v>0</v>
      </c>
      <c r="L1945" s="112"/>
      <c r="M1945" s="112"/>
    </row>
    <row r="1946" spans="1:13">
      <c r="A1946" s="2" t="s">
        <v>298</v>
      </c>
      <c r="B1946" s="112">
        <f>B1225-B1220</f>
        <v>-2.6371945346084225E-3</v>
      </c>
      <c r="C1946" s="112">
        <f>E1225-E1220</f>
        <v>0</v>
      </c>
      <c r="D1946" s="112">
        <f>H1225-H1220</f>
        <v>0</v>
      </c>
      <c r="E1946" s="112">
        <f>K1225-K1220</f>
        <v>-8.3390732097399223E-8</v>
      </c>
      <c r="F1946" s="112">
        <f>N1225-N1220</f>
        <v>2.7963113494866576E-4</v>
      </c>
      <c r="G1946" s="112">
        <f>Q1225-Q1220</f>
        <v>0</v>
      </c>
      <c r="H1946" s="112">
        <f>T1225-T1220</f>
        <v>0</v>
      </c>
      <c r="I1946" s="112">
        <f>W1225-W1220</f>
        <v>0</v>
      </c>
      <c r="J1946" s="112">
        <f>Z1225-Z1220</f>
        <v>0</v>
      </c>
      <c r="L1946" s="112"/>
      <c r="M1946" s="112"/>
    </row>
    <row r="1947" spans="1:13">
      <c r="A1947" s="2" t="s">
        <v>299</v>
      </c>
      <c r="B1947" s="112">
        <f>B1226-B1220</f>
        <v>3.2137147461959614E-2</v>
      </c>
      <c r="C1947" s="112">
        <f>E1226-E1220</f>
        <v>9.9999999999988987E-4</v>
      </c>
      <c r="D1947" s="112">
        <f>H1226-H1220</f>
        <v>0</v>
      </c>
      <c r="E1947" s="112">
        <f>K1226-K1220</f>
        <v>5.4162993142750526E-2</v>
      </c>
      <c r="F1947" s="112">
        <f>N1226-N1220</f>
        <v>3.7696176579154805E-2</v>
      </c>
      <c r="G1947" s="112">
        <f>Q1226-Q1220</f>
        <v>2.9999999999999805E-2</v>
      </c>
      <c r="H1947" s="112">
        <f>T1226-T1220</f>
        <v>0</v>
      </c>
      <c r="I1947" s="112">
        <f>W1226-W1220</f>
        <v>0</v>
      </c>
      <c r="J1947" s="112">
        <f>Z1226-Z1220</f>
        <v>0</v>
      </c>
      <c r="L1947" s="112"/>
      <c r="M1947" s="112"/>
    </row>
    <row r="1948" spans="1:13">
      <c r="A1948" s="2" t="s">
        <v>300</v>
      </c>
      <c r="B1948" s="112">
        <f>B1227-B1220</f>
        <v>-1.1154911313208782E-2</v>
      </c>
      <c r="C1948" s="112">
        <f>E1227-E1220</f>
        <v>-6.4000000000000057E-2</v>
      </c>
      <c r="D1948" s="112">
        <f>H1227-H1220</f>
        <v>-6.6000000000000281E-2</v>
      </c>
      <c r="E1948" s="112">
        <f>K1227-K1220</f>
        <v>-4.2364992269838808E-7</v>
      </c>
      <c r="F1948" s="112">
        <f>N1227-N1220</f>
        <v>-2.7856291503490547</v>
      </c>
      <c r="G1948" s="112">
        <f>Q1227-Q1220</f>
        <v>0</v>
      </c>
      <c r="H1948" s="112">
        <f>T1227-T1220</f>
        <v>0</v>
      </c>
      <c r="I1948" s="112">
        <f>W1227-W1220</f>
        <v>0</v>
      </c>
      <c r="J1948" s="112">
        <f>Z1227-Z1220</f>
        <v>0</v>
      </c>
      <c r="L1948" s="112"/>
      <c r="M1948" s="112"/>
    </row>
    <row r="1949" spans="1:13">
      <c r="A1949" s="2" t="s">
        <v>306</v>
      </c>
      <c r="B1949" s="112">
        <f>B1228-B1220</f>
        <v>-7.2339227856548227E-3</v>
      </c>
      <c r="C1949" s="112">
        <f>E1228-E1220</f>
        <v>0</v>
      </c>
      <c r="D1949" s="112">
        <f>H1228-H1220</f>
        <v>0</v>
      </c>
      <c r="E1949" s="112">
        <f>K1228-K1220</f>
        <v>-2.556660465558025E-7</v>
      </c>
      <c r="F1949" s="112">
        <f>N1228-N1220</f>
        <v>-2.7856291503490547</v>
      </c>
      <c r="G1949" s="112">
        <f>Q1228-Q1220</f>
        <v>0</v>
      </c>
      <c r="H1949" s="112">
        <f>T1228-T1220</f>
        <v>0</v>
      </c>
      <c r="I1949" s="112">
        <f>W1228-W1220</f>
        <v>0</v>
      </c>
      <c r="J1949" s="112">
        <f>Z1228-Z1220</f>
        <v>0</v>
      </c>
      <c r="L1949" s="112"/>
      <c r="M1949" s="112"/>
    </row>
    <row r="1950" spans="1:13">
      <c r="A1950" s="2" t="s">
        <v>307</v>
      </c>
      <c r="B1950" s="112">
        <f>B1229-B1220</f>
        <v>0</v>
      </c>
      <c r="C1950" s="112">
        <f>E1229-E1220</f>
        <v>0</v>
      </c>
      <c r="D1950" s="112">
        <f>H1229-H1220</f>
        <v>0</v>
      </c>
      <c r="E1950" s="112">
        <f>K1229-K1220</f>
        <v>0</v>
      </c>
      <c r="F1950" s="112">
        <f>N1229-N1220</f>
        <v>-2.7856291503490547</v>
      </c>
      <c r="G1950" s="112">
        <f>Q1229-Q1220</f>
        <v>0</v>
      </c>
      <c r="H1950" s="112">
        <f>T1229-T1220</f>
        <v>0</v>
      </c>
      <c r="I1950" s="112">
        <f>W1229-W1220</f>
        <v>0</v>
      </c>
      <c r="J1950" s="112">
        <f>Z1229-Z1220</f>
        <v>0</v>
      </c>
      <c r="L1950" s="112"/>
      <c r="M1950" s="112"/>
    </row>
    <row r="1951" spans="1:13">
      <c r="A1951" s="2" t="s">
        <v>308</v>
      </c>
      <c r="B1951" s="112">
        <f>B1230-B1220</f>
        <v>-2.1928500576346988E-2</v>
      </c>
      <c r="C1951" s="112">
        <f>E1230-E1220</f>
        <v>-6.4000000000000057E-2</v>
      </c>
      <c r="D1951" s="112">
        <f>H1230-H1220</f>
        <v>-6.6000000000000281E-2</v>
      </c>
      <c r="E1951" s="112">
        <f>K1230-K1220</f>
        <v>4.8849813083506888E-15</v>
      </c>
      <c r="F1951" s="112">
        <f>N1230-N1220</f>
        <v>-2.7856291503490547</v>
      </c>
      <c r="G1951" s="112">
        <f>Q1230-Q1220</f>
        <v>0</v>
      </c>
      <c r="H1951" s="112">
        <f>T1230-T1220</f>
        <v>0</v>
      </c>
      <c r="I1951" s="112">
        <f>W1230-W1220</f>
        <v>0</v>
      </c>
      <c r="J1951" s="112">
        <f>Z1230-Z1220</f>
        <v>0</v>
      </c>
      <c r="L1951" s="112"/>
      <c r="M1951" s="112"/>
    </row>
    <row r="1952" spans="1:13">
      <c r="A1952" s="2" t="s">
        <v>309</v>
      </c>
      <c r="B1952" s="112">
        <f>B1231-B1220</f>
        <v>-1.0584563811382619E-2</v>
      </c>
      <c r="C1952" s="112">
        <f>E1231-E1220</f>
        <v>-6.4000000000000057E-2</v>
      </c>
      <c r="D1952" s="112">
        <f>H1231-H1220</f>
        <v>-6.6000000000000281E-2</v>
      </c>
      <c r="E1952" s="112">
        <f>K1231-K1220</f>
        <v>0</v>
      </c>
      <c r="F1952" s="112">
        <f>N1231-N1220</f>
        <v>-2.7856291503490547</v>
      </c>
      <c r="G1952" s="112">
        <f>Q1231-Q1220</f>
        <v>0</v>
      </c>
      <c r="H1952" s="112">
        <f>T1231-T1220</f>
        <v>0</v>
      </c>
      <c r="I1952" s="112">
        <f>W1231-W1220</f>
        <v>0</v>
      </c>
      <c r="J1952" s="112">
        <f>Z1231-Z1220</f>
        <v>0</v>
      </c>
      <c r="L1952" s="112"/>
      <c r="M1952" s="112"/>
    </row>
    <row r="1953" spans="1:13">
      <c r="A1953" s="2" t="s">
        <v>301</v>
      </c>
      <c r="B1953" s="112">
        <f>B1232-B1220</f>
        <v>-0.1078688539372723</v>
      </c>
      <c r="C1953" s="112">
        <f>E1232-E1220</f>
        <v>-0.10499999999999998</v>
      </c>
      <c r="D1953" s="112">
        <f>H1232-H1220</f>
        <v>-0.14900000000000002</v>
      </c>
      <c r="E1953" s="112">
        <f>K1232-K1220</f>
        <v>-7.9651908256616721E-2</v>
      </c>
      <c r="F1953" s="112">
        <f>N1232-N1220</f>
        <v>-0.11916499482050069</v>
      </c>
      <c r="G1953" s="112">
        <f>Q1232-Q1220</f>
        <v>-0.10000000000000009</v>
      </c>
      <c r="H1953" s="112">
        <f>T1232-T1220</f>
        <v>0</v>
      </c>
      <c r="I1953" s="112">
        <f>W1232-W1220</f>
        <v>0</v>
      </c>
      <c r="J1953" s="112">
        <f>Z1232-Z1220</f>
        <v>0</v>
      </c>
      <c r="L1953" s="112"/>
      <c r="M1953" s="112"/>
    </row>
    <row r="1954" spans="1:13">
      <c r="A1954" s="2" t="s">
        <v>302</v>
      </c>
      <c r="B1954" s="112">
        <f>B1233-B1232</f>
        <v>0.20276147008734036</v>
      </c>
      <c r="C1954" s="112">
        <f>E1233-E1232</f>
        <v>0.12400000000000011</v>
      </c>
      <c r="D1954" s="112">
        <f>H1233-H1232</f>
        <v>0</v>
      </c>
      <c r="E1954" s="112">
        <f>K1233-K1232</f>
        <v>0.20450675292110843</v>
      </c>
      <c r="F1954" s="112">
        <f>N1233-N1232</f>
        <v>0.21527193535405598</v>
      </c>
      <c r="G1954" s="112">
        <f>Q1233-Q1232</f>
        <v>0.18999999999999995</v>
      </c>
      <c r="H1954" s="112">
        <f>T1233-T1232</f>
        <v>0</v>
      </c>
      <c r="I1954" s="112">
        <f>W1233-W1232</f>
        <v>0</v>
      </c>
      <c r="J1954" s="112">
        <f>Z1233-Z1232</f>
        <v>0</v>
      </c>
      <c r="L1954" s="112"/>
      <c r="M1954" s="112"/>
    </row>
    <row r="1955" spans="1:13">
      <c r="A1955" s="2" t="s">
        <v>303</v>
      </c>
      <c r="B1955" s="112">
        <f>B1236-B1234</f>
        <v>0.46938675252422701</v>
      </c>
      <c r="C1955" s="112">
        <f>E1236-E1234</f>
        <v>0.47599999999999998</v>
      </c>
      <c r="D1955" s="112">
        <f>H1236-H1234</f>
        <v>0.41999999999999993</v>
      </c>
      <c r="E1955" s="112">
        <f>K1236-K1234</f>
        <v>0.47145034592826551</v>
      </c>
      <c r="F1955" s="112">
        <f>N1236-N1234</f>
        <v>0.56074008550788701</v>
      </c>
      <c r="G1955" s="112">
        <f>Q1236-Q1234</f>
        <v>0.42999999999999972</v>
      </c>
      <c r="H1955" s="112">
        <f>T1236-T1234</f>
        <v>0</v>
      </c>
      <c r="I1955" s="112">
        <f>W1236-W1234</f>
        <v>0</v>
      </c>
      <c r="J1955" s="112">
        <f>Z1236-Z1234</f>
        <v>0</v>
      </c>
      <c r="L1955" s="112"/>
      <c r="M1955" s="112"/>
    </row>
    <row r="1956" spans="1:13">
      <c r="A1956" s="2" t="s">
        <v>304</v>
      </c>
      <c r="B1956" s="112">
        <f>B1237-B1232</f>
        <v>-0.18393149263882336</v>
      </c>
      <c r="C1956" s="112">
        <f>E1237-E1232</f>
        <v>-0.19799999999999995</v>
      </c>
      <c r="D1956" s="112">
        <f>H1237-H1232</f>
        <v>-0.15399999999999991</v>
      </c>
      <c r="E1956" s="112">
        <f>K1237-K1232</f>
        <v>-0.20025311402758561</v>
      </c>
      <c r="F1956" s="112">
        <f>N1237-N1232</f>
        <v>-0.19318171278046226</v>
      </c>
      <c r="G1956" s="112">
        <f>Q1237-Q1232</f>
        <v>-0.18999999999999995</v>
      </c>
      <c r="H1956" s="112">
        <f>T1237-T1232</f>
        <v>0</v>
      </c>
      <c r="I1956" s="112">
        <f>W1237-W1232</f>
        <v>0</v>
      </c>
      <c r="J1956" s="112">
        <f>Z1237-Z1232</f>
        <v>0</v>
      </c>
      <c r="L1956" s="112"/>
      <c r="M1956" s="112"/>
    </row>
    <row r="1957" spans="1:13">
      <c r="A1957" s="2" t="s">
        <v>305</v>
      </c>
      <c r="B1957" s="112">
        <f>B1239-B1238</f>
        <v>0.4794993906284315</v>
      </c>
      <c r="C1957" s="112">
        <f>E1239-E1238</f>
        <v>0.45900000000000007</v>
      </c>
      <c r="D1957" s="112">
        <f>H1239-H1238</f>
        <v>0.45999999999999996</v>
      </c>
      <c r="E1957" s="112">
        <f>K1239-K1238</f>
        <v>0.37916582296593271</v>
      </c>
      <c r="F1957" s="112">
        <f>N1239-N1238</f>
        <v>0.54916352304412008</v>
      </c>
      <c r="G1957" s="112">
        <f>Q1239-Q1238</f>
        <v>0.44000000000000039</v>
      </c>
      <c r="H1957" s="112">
        <f>T1239-T1238</f>
        <v>0</v>
      </c>
      <c r="I1957" s="112">
        <f>W1239-W1238</f>
        <v>0</v>
      </c>
      <c r="J1957" s="112">
        <f>Z1239-Z1238</f>
        <v>0</v>
      </c>
      <c r="L1957" s="112"/>
      <c r="M1957" s="112"/>
    </row>
    <row r="1967" spans="1:13">
      <c r="A1967" t="s">
        <v>319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245</v>
      </c>
      <c r="C1969" s="10" t="s">
        <v>257</v>
      </c>
      <c r="D1969" s="10" t="s">
        <v>258</v>
      </c>
      <c r="E1969" s="10" t="s">
        <v>515</v>
      </c>
      <c r="F1969" s="10" t="s">
        <v>373</v>
      </c>
      <c r="G1969" s="10" t="s">
        <v>482</v>
      </c>
      <c r="H1969" s="10" t="s">
        <v>516</v>
      </c>
      <c r="I1969" s="10" t="s">
        <v>517</v>
      </c>
      <c r="J1969" s="10" t="s">
        <v>517</v>
      </c>
    </row>
    <row r="1970" spans="1:13">
      <c r="A1970" s="2" t="s">
        <v>295</v>
      </c>
      <c r="B1970" s="112">
        <f>B1251-B1250</f>
        <v>0.87790000000000035</v>
      </c>
      <c r="C1970" s="112">
        <f>E1251-E1250</f>
        <v>1.7800000000000011</v>
      </c>
      <c r="D1970" s="112">
        <f>H1251-H1250</f>
        <v>1.6099999999999994</v>
      </c>
      <c r="E1970" s="112">
        <f>K1251-K1250</f>
        <v>1.5534270710994988</v>
      </c>
      <c r="F1970" s="112">
        <f>N1251-N1250</f>
        <v>1.5700000000000003</v>
      </c>
      <c r="G1970" s="112">
        <f>Q1251-Q1250</f>
        <v>1</v>
      </c>
      <c r="H1970" s="112">
        <f>T1251-T1250</f>
        <v>0</v>
      </c>
      <c r="I1970" s="112">
        <f>W1251-W1250</f>
        <v>0</v>
      </c>
      <c r="J1970" s="112">
        <f>Z1251-Z1250</f>
        <v>0</v>
      </c>
      <c r="L1970" s="112"/>
      <c r="M1970" s="112"/>
    </row>
    <row r="1971" spans="1:13">
      <c r="A1971" s="2" t="s">
        <v>296</v>
      </c>
      <c r="B1971" s="112">
        <f>B1252-B1250</f>
        <v>6.160499999999999</v>
      </c>
      <c r="C1971" s="112">
        <f>E1252-E1250</f>
        <v>6.5</v>
      </c>
      <c r="D1971" s="112">
        <f>H1252-H1250</f>
        <v>6.3900000000000006</v>
      </c>
      <c r="E1971" s="112">
        <f>K1252-K1250</f>
        <v>6.8406885385305003</v>
      </c>
      <c r="F1971" s="112">
        <f>N1252-N1250</f>
        <v>7.27</v>
      </c>
      <c r="G1971" s="112">
        <f>Q1252-Q1250</f>
        <v>5.4599999999999973</v>
      </c>
      <c r="H1971" s="112">
        <f>T1252-T1250</f>
        <v>0</v>
      </c>
      <c r="I1971" s="112">
        <f>W1252-W1250</f>
        <v>0</v>
      </c>
      <c r="J1971" s="112">
        <f>Z1252-Z1250</f>
        <v>0</v>
      </c>
      <c r="L1971" s="112"/>
      <c r="M1971" s="112"/>
    </row>
    <row r="1972" spans="1:13">
      <c r="A1972" s="2" t="s">
        <v>297</v>
      </c>
      <c r="B1972" s="112">
        <f>B1253-B1250</f>
        <v>6.0322000000000031</v>
      </c>
      <c r="C1972" s="112">
        <f>E1253-E1250</f>
        <v>6.6099999999999994</v>
      </c>
      <c r="D1972" s="112">
        <f>H1253-H1250</f>
        <v>6.8900000000000006</v>
      </c>
      <c r="E1972" s="112">
        <f>K1253-K1250</f>
        <v>6.4929797817577004</v>
      </c>
      <c r="F1972" s="112">
        <f>N1253-N1250</f>
        <v>6.8499999999999979</v>
      </c>
      <c r="G1972" s="112">
        <f>Q1253-Q1250</f>
        <v>5.1099999999999994</v>
      </c>
      <c r="H1972" s="112">
        <f>T1253-T1250</f>
        <v>0</v>
      </c>
      <c r="I1972" s="112">
        <f>W1253-W1250</f>
        <v>0</v>
      </c>
      <c r="J1972" s="112">
        <f>Z1253-Z1250</f>
        <v>0</v>
      </c>
      <c r="L1972" s="112"/>
      <c r="M1972" s="112"/>
    </row>
    <row r="1973" spans="1:13">
      <c r="A1973" s="113" t="s">
        <v>422</v>
      </c>
      <c r="B1973" s="112">
        <f>B1253-B1252</f>
        <v>-0.12829999999999586</v>
      </c>
      <c r="C1973" s="112">
        <f>E1253-E1252</f>
        <v>0.10999999999999943</v>
      </c>
      <c r="D1973" s="112">
        <f>H1253-H1252</f>
        <v>0.5</v>
      </c>
      <c r="E1973" s="112">
        <f>K1253-K1252</f>
        <v>-0.34770875677279989</v>
      </c>
      <c r="F1973" s="112">
        <f>N1253-N1252</f>
        <v>-0.42000000000000171</v>
      </c>
      <c r="G1973" s="112">
        <f>Q1253-Q1252</f>
        <v>-0.34999999999999787</v>
      </c>
      <c r="H1973" s="112">
        <f>T1253-T1252</f>
        <v>0</v>
      </c>
      <c r="I1973" s="112">
        <f>W1253-W1252</f>
        <v>0</v>
      </c>
      <c r="J1973" s="112">
        <f>Z1253-Z1252</f>
        <v>0</v>
      </c>
      <c r="L1973" s="112"/>
      <c r="M1973" s="112"/>
    </row>
    <row r="1974" spans="1:13">
      <c r="A1974" s="113" t="s">
        <v>423</v>
      </c>
      <c r="B1974" s="112">
        <f>B1254-B1250</f>
        <v>6.1067000000000036</v>
      </c>
      <c r="C1974" s="112">
        <f>E1254-E1250</f>
        <v>6.5</v>
      </c>
      <c r="D1974" s="112">
        <f>H1254-H1250</f>
        <v>6.4499999999999993</v>
      </c>
      <c r="E1974" s="112">
        <f>K1254-K1250</f>
        <v>6.7418690787871007</v>
      </c>
      <c r="F1974" s="112">
        <f>N1254-N1250</f>
        <v>7.0999999999999979</v>
      </c>
      <c r="G1974" s="112">
        <f>Q1254-Q1250</f>
        <v>5.389999999999997</v>
      </c>
      <c r="H1974" s="112">
        <f>T1254-T1250</f>
        <v>0</v>
      </c>
      <c r="I1974" s="112">
        <f>W1254-W1250</f>
        <v>0</v>
      </c>
      <c r="J1974" s="112">
        <f>Z1254-Z1250</f>
        <v>0</v>
      </c>
      <c r="L1974" s="112"/>
      <c r="M1974" s="112"/>
    </row>
    <row r="1975" spans="1:13">
      <c r="A1975" s="113" t="s">
        <v>424</v>
      </c>
      <c r="B1975" s="112">
        <f>B1253-B1254</f>
        <v>-7.4500000000000455E-2</v>
      </c>
      <c r="C1975" s="112">
        <f>E1253-E1254</f>
        <v>0.10999999999999943</v>
      </c>
      <c r="D1975" s="112">
        <f>H1253-H1254</f>
        <v>0.44000000000000128</v>
      </c>
      <c r="E1975" s="112">
        <f>K1253-K1254</f>
        <v>-0.24888929702940032</v>
      </c>
      <c r="F1975" s="112">
        <f>N1253-N1254</f>
        <v>-0.25</v>
      </c>
      <c r="G1975" s="112">
        <f>Q1253-Q1254</f>
        <v>-0.27999999999999758</v>
      </c>
      <c r="H1975" s="112">
        <f>T1253-T1254</f>
        <v>0</v>
      </c>
      <c r="I1975" s="112">
        <f>W1253-W1254</f>
        <v>0</v>
      </c>
      <c r="J1975" s="112">
        <f>Z1253-Z1254</f>
        <v>0</v>
      </c>
      <c r="L1975" s="112"/>
      <c r="M1975" s="112"/>
    </row>
    <row r="1976" spans="1:13">
      <c r="A1976" s="2" t="s">
        <v>298</v>
      </c>
      <c r="B1976" s="112">
        <f>B1255-B1250</f>
        <v>8.3841999999999999</v>
      </c>
      <c r="C1976" s="112">
        <f>E1255-E1250</f>
        <v>9.8299999999999983</v>
      </c>
      <c r="D1976" s="112">
        <f>H1255-H1250</f>
        <v>9.8299999999999983</v>
      </c>
      <c r="E1976" s="112">
        <f>K1255-K1250</f>
        <v>9.9988170901252964</v>
      </c>
      <c r="F1976" s="112">
        <f>N1255-N1250</f>
        <v>9.9499999999999993</v>
      </c>
      <c r="G1976" s="112">
        <f>Q1255-Q1250</f>
        <v>8.8099999999999987</v>
      </c>
      <c r="H1976" s="112">
        <f>T1255-T1250</f>
        <v>0</v>
      </c>
      <c r="I1976" s="112">
        <f>W1255-W1250</f>
        <v>0</v>
      </c>
      <c r="J1976" s="112">
        <f>Z1255-Z1250</f>
        <v>0</v>
      </c>
      <c r="L1976" s="112"/>
      <c r="M1976" s="112"/>
    </row>
    <row r="1977" spans="1:13">
      <c r="A1977" s="2" t="s">
        <v>299</v>
      </c>
      <c r="B1977" s="112">
        <f>B1256-B1250</f>
        <v>7.5585999999999984</v>
      </c>
      <c r="C1977" s="112">
        <f>E1256-E1250</f>
        <v>7.6700000000000017</v>
      </c>
      <c r="D1977" s="112">
        <f>H1256-H1250</f>
        <v>7.4500000000000028</v>
      </c>
      <c r="E1977" s="112">
        <f>K1256-K1250</f>
        <v>7.8164966405025957</v>
      </c>
      <c r="F1977" s="112">
        <f>N1256-N1250</f>
        <v>7.9499999999999993</v>
      </c>
      <c r="G1977" s="112">
        <f>Q1256-Q1250</f>
        <v>6.9400000000000013</v>
      </c>
      <c r="H1977" s="112">
        <f>T1256-T1250</f>
        <v>0</v>
      </c>
      <c r="I1977" s="112">
        <f>W1256-W1250</f>
        <v>0</v>
      </c>
      <c r="J1977" s="112">
        <f>Z1256-Z1250</f>
        <v>0</v>
      </c>
      <c r="L1977" s="112"/>
      <c r="M1977" s="112"/>
    </row>
    <row r="1978" spans="1:13">
      <c r="A1978" s="2" t="s">
        <v>300</v>
      </c>
      <c r="B1978" s="112">
        <f>B1257-B1250</f>
        <v>0.91489999999999938</v>
      </c>
      <c r="C1978" s="112">
        <f>E1257-E1250</f>
        <v>2.4499999999999993</v>
      </c>
      <c r="D1978" s="112">
        <f>H1257-H1250</f>
        <v>3.7199999999999989</v>
      </c>
      <c r="E1978" s="112">
        <f>K1257-K1250</f>
        <v>1.8999443202266981</v>
      </c>
      <c r="F1978" s="112">
        <f>N1257-N1250</f>
        <v>-25.05</v>
      </c>
      <c r="G1978" s="112">
        <f>Q1257-Q1250</f>
        <v>-0.15000000000000213</v>
      </c>
      <c r="H1978" s="112">
        <f>T1257-T1250</f>
        <v>0</v>
      </c>
      <c r="I1978" s="112">
        <f>W1257-W1250</f>
        <v>0</v>
      </c>
      <c r="J1978" s="112">
        <f>Z1257-Z1250</f>
        <v>0</v>
      </c>
      <c r="L1978" s="112"/>
      <c r="M1978" s="112"/>
    </row>
    <row r="1979" spans="1:13">
      <c r="A1979" s="2" t="s">
        <v>306</v>
      </c>
      <c r="B1979" s="112">
        <f>B1258-B1250</f>
        <v>0.62570000000000192</v>
      </c>
      <c r="C1979" s="112">
        <f>E1258-E1250</f>
        <v>0</v>
      </c>
      <c r="D1979" s="112">
        <f>H1258-H1250</f>
        <v>0</v>
      </c>
      <c r="E1979" s="112">
        <f>K1258-K1250</f>
        <v>-2.6940227826344199E-10</v>
      </c>
      <c r="F1979" s="112">
        <f>N1258-N1250</f>
        <v>-25.05</v>
      </c>
      <c r="G1979" s="112">
        <f>Q1258-Q1250</f>
        <v>0</v>
      </c>
      <c r="H1979" s="112">
        <f>T1258-T1250</f>
        <v>0</v>
      </c>
      <c r="I1979" s="112">
        <f>W1258-W1250</f>
        <v>0</v>
      </c>
      <c r="J1979" s="112">
        <f>Z1258-Z1250</f>
        <v>0</v>
      </c>
      <c r="L1979" s="112"/>
      <c r="M1979" s="112"/>
    </row>
    <row r="1980" spans="1:13">
      <c r="A1980" s="2" t="s">
        <v>307</v>
      </c>
      <c r="B1980" s="112">
        <f>B1259-B1250</f>
        <v>0</v>
      </c>
      <c r="C1980" s="112">
        <f>E1259-E1250</f>
        <v>0</v>
      </c>
      <c r="D1980" s="112">
        <f>H1259-H1250</f>
        <v>0</v>
      </c>
      <c r="E1980" s="112">
        <f>K1259-K1250</f>
        <v>-1.5599965763613E-11</v>
      </c>
      <c r="F1980" s="112">
        <f>N1259-N1250</f>
        <v>-25.05</v>
      </c>
      <c r="G1980" s="112">
        <f>Q1259-Q1250</f>
        <v>3.9999999999999147E-2</v>
      </c>
      <c r="H1980" s="112">
        <f>T1259-T1250</f>
        <v>0</v>
      </c>
      <c r="I1980" s="112">
        <f>W1259-W1250</f>
        <v>0</v>
      </c>
      <c r="J1980" s="112">
        <f>Z1259-Z1250</f>
        <v>0</v>
      </c>
      <c r="L1980" s="112"/>
      <c r="M1980" s="112"/>
    </row>
    <row r="1981" spans="1:13">
      <c r="A1981" s="2" t="s">
        <v>308</v>
      </c>
      <c r="B1981" s="112">
        <f>B1260-B1250</f>
        <v>0.99930000000000163</v>
      </c>
      <c r="C1981" s="112">
        <f>E1260-E1250</f>
        <v>0</v>
      </c>
      <c r="D1981" s="112">
        <f>H1260-H1250</f>
        <v>0</v>
      </c>
      <c r="E1981" s="112">
        <f>K1260-K1250</f>
        <v>4.8996071370055461E-4</v>
      </c>
      <c r="F1981" s="112">
        <f>N1260-N1250</f>
        <v>-25.05</v>
      </c>
      <c r="G1981" s="112">
        <f>Q1260-Q1250</f>
        <v>0.25999999999999801</v>
      </c>
      <c r="H1981" s="112">
        <f>T1260-T1250</f>
        <v>0</v>
      </c>
      <c r="I1981" s="112">
        <f>W1260-W1250</f>
        <v>0</v>
      </c>
      <c r="J1981" s="112">
        <f>Z1260-Z1250</f>
        <v>0</v>
      </c>
      <c r="L1981" s="112"/>
      <c r="M1981" s="112"/>
    </row>
    <row r="1982" spans="1:13">
      <c r="A1982" s="2" t="s">
        <v>309</v>
      </c>
      <c r="B1982" s="112">
        <f>B1261-B1250</f>
        <v>0.84530000000000172</v>
      </c>
      <c r="C1982" s="112">
        <f>E1261-E1250</f>
        <v>0</v>
      </c>
      <c r="D1982" s="112">
        <f>H1261-H1250</f>
        <v>0</v>
      </c>
      <c r="E1982" s="112">
        <f>K1261-K1250</f>
        <v>4.8996071389950657E-4</v>
      </c>
      <c r="F1982" s="112">
        <f>N1261-N1250</f>
        <v>-25.05</v>
      </c>
      <c r="G1982" s="112">
        <f>Q1261-Q1250</f>
        <v>7.0000000000000284E-2</v>
      </c>
      <c r="H1982" s="112">
        <f>T1261-T1250</f>
        <v>0</v>
      </c>
      <c r="I1982" s="112">
        <f>W1261-W1250</f>
        <v>0</v>
      </c>
      <c r="J1982" s="112">
        <f>Z1261-Z1250</f>
        <v>0</v>
      </c>
      <c r="L1982" s="112"/>
      <c r="M1982" s="112"/>
    </row>
    <row r="1983" spans="1:13">
      <c r="A1983" s="2" t="s">
        <v>301</v>
      </c>
      <c r="B1983" s="112">
        <f>B1262-B1250</f>
        <v>-0.39450000000000074</v>
      </c>
      <c r="C1983" s="112">
        <f>E1262-E1250</f>
        <v>0</v>
      </c>
      <c r="D1983" s="112">
        <f>H1262-H1250</f>
        <v>0</v>
      </c>
      <c r="E1983" s="112">
        <f>K1262-K1250</f>
        <v>-1.5840422381998565E-3</v>
      </c>
      <c r="F1983" s="112">
        <f>N1262-N1250</f>
        <v>-3.0000000000001137E-2</v>
      </c>
      <c r="G1983" s="112">
        <f>Q1262-Q1250</f>
        <v>-1.1900000000000013</v>
      </c>
      <c r="H1983" s="112">
        <f>T1262-T1250</f>
        <v>0</v>
      </c>
      <c r="I1983" s="112">
        <f>W1262-W1250</f>
        <v>0</v>
      </c>
      <c r="J1983" s="112">
        <f>Z1262-Z1250</f>
        <v>0</v>
      </c>
      <c r="L1983" s="112"/>
      <c r="M1983" s="112"/>
    </row>
    <row r="1984" spans="1:13">
      <c r="A1984" s="2" t="s">
        <v>302</v>
      </c>
      <c r="B1984" s="112">
        <f>B1263-B1262</f>
        <v>0.29490000000000194</v>
      </c>
      <c r="C1984" s="112">
        <f>E1263-E1262</f>
        <v>0</v>
      </c>
      <c r="D1984" s="112">
        <f>H1263-H1262</f>
        <v>0</v>
      </c>
      <c r="E1984" s="112">
        <f>K1263-K1262</f>
        <v>8.4880429795930468E-7</v>
      </c>
      <c r="F1984" s="112">
        <f>N1263-N1262</f>
        <v>0</v>
      </c>
      <c r="G1984" s="112">
        <f>Q1263-Q1262</f>
        <v>0</v>
      </c>
      <c r="H1984" s="112">
        <f>T1263-T1262</f>
        <v>0</v>
      </c>
      <c r="I1984" s="112">
        <f>W1263-W1262</f>
        <v>0</v>
      </c>
      <c r="J1984" s="112">
        <f>Z1263-Z1262</f>
        <v>0</v>
      </c>
      <c r="L1984" s="112"/>
      <c r="M1984" s="112"/>
    </row>
    <row r="1985" spans="1:13">
      <c r="A1985" s="2" t="s">
        <v>303</v>
      </c>
      <c r="B1985" s="112">
        <f>B1266-B1264</f>
        <v>19.956799999999998</v>
      </c>
      <c r="C1985" s="112">
        <f>E1266-E1264</f>
        <v>18.950000000000003</v>
      </c>
      <c r="D1985" s="112">
        <f>H1266-H1264</f>
        <v>19.120000000000005</v>
      </c>
      <c r="E1985" s="112">
        <f>K1266-K1264</f>
        <v>19.729574874695402</v>
      </c>
      <c r="F1985" s="112">
        <f>N1266-N1264</f>
        <v>19.02</v>
      </c>
      <c r="G1985" s="112">
        <f>Q1266-Q1264</f>
        <v>16.38</v>
      </c>
      <c r="H1985" s="112">
        <f>T1266-T1264</f>
        <v>0</v>
      </c>
      <c r="I1985" s="112">
        <f>W1266-W1264</f>
        <v>0</v>
      </c>
      <c r="J1985" s="112">
        <f>Z1266-Z1264</f>
        <v>0</v>
      </c>
      <c r="L1985" s="112"/>
      <c r="M1985" s="112"/>
    </row>
    <row r="1986" spans="1:13">
      <c r="A1986" s="2" t="s">
        <v>304</v>
      </c>
      <c r="B1986" s="112">
        <f>B1267-B1262</f>
        <v>0.31060000000000088</v>
      </c>
      <c r="C1986" s="112">
        <f>E1267-E1262</f>
        <v>-5.0000000000000711E-2</v>
      </c>
      <c r="D1986" s="112">
        <f>H1267-H1262</f>
        <v>-5.0000000000000711E-2</v>
      </c>
      <c r="E1986" s="112">
        <f>K1267-K1262</f>
        <v>1.0307799898008341E-3</v>
      </c>
      <c r="F1986" s="112">
        <f>N1267-N1262</f>
        <v>0</v>
      </c>
      <c r="G1986" s="112">
        <f>Q1267-Q1262</f>
        <v>0</v>
      </c>
      <c r="H1986" s="112">
        <f>T1267-T1262</f>
        <v>0</v>
      </c>
      <c r="I1986" s="112">
        <f>W1267-W1262</f>
        <v>0</v>
      </c>
      <c r="J1986" s="112">
        <f>Z1267-Z1262</f>
        <v>0</v>
      </c>
      <c r="L1986" s="112"/>
      <c r="M1986" s="112"/>
    </row>
    <row r="1987" spans="1:13">
      <c r="A1987" s="2" t="s">
        <v>305</v>
      </c>
      <c r="B1987" s="112">
        <f>B1269-B1268</f>
        <v>19.525000000000002</v>
      </c>
      <c r="C1987" s="112">
        <f>E1269-E1268</f>
        <v>19.89</v>
      </c>
      <c r="D1987" s="112">
        <f>H1269-H1268</f>
        <v>19.89</v>
      </c>
      <c r="E1987" s="112">
        <f>K1269-K1268</f>
        <v>19.9975227160919</v>
      </c>
      <c r="F1987" s="112">
        <f>N1269-N1268</f>
        <v>19.95</v>
      </c>
      <c r="G1987" s="112">
        <f>Q1269-Q1268</f>
        <v>20</v>
      </c>
      <c r="H1987" s="112">
        <f>T1269-T1268</f>
        <v>0</v>
      </c>
      <c r="I1987" s="112">
        <f>W1269-W1268</f>
        <v>0</v>
      </c>
      <c r="J1987" s="112">
        <f>Z1269-Z1268</f>
        <v>0</v>
      </c>
      <c r="L1987" s="112"/>
      <c r="M1987" s="112"/>
    </row>
    <row r="1997" spans="1:13">
      <c r="A1997" t="s">
        <v>320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245</v>
      </c>
      <c r="C1999" s="10" t="s">
        <v>257</v>
      </c>
      <c r="D1999" s="10" t="s">
        <v>258</v>
      </c>
      <c r="E1999" s="10" t="s">
        <v>515</v>
      </c>
      <c r="F1999" s="10" t="s">
        <v>373</v>
      </c>
      <c r="G1999" s="10" t="s">
        <v>482</v>
      </c>
      <c r="H1999" s="10" t="s">
        <v>516</v>
      </c>
      <c r="I1999" s="10" t="s">
        <v>517</v>
      </c>
      <c r="J1999" s="10" t="s">
        <v>517</v>
      </c>
    </row>
    <row r="2000" spans="1:13">
      <c r="A2000" s="2" t="s">
        <v>295</v>
      </c>
      <c r="B2000" s="112">
        <f>B1281-B1280</f>
        <v>0</v>
      </c>
      <c r="C2000" s="112">
        <f>E1281-E1280</f>
        <v>0</v>
      </c>
      <c r="D2000" s="112">
        <f>H1281-H1280</f>
        <v>0</v>
      </c>
      <c r="E2000" s="112">
        <f>K1281-K1280</f>
        <v>-7.6877046780055025E-5</v>
      </c>
      <c r="F2000" s="112">
        <f>N1281-N1280</f>
        <v>0</v>
      </c>
      <c r="G2000" s="112">
        <f>Q1281-Q1280</f>
        <v>0</v>
      </c>
      <c r="H2000" s="112">
        <f>T1281-T1280</f>
        <v>0</v>
      </c>
      <c r="I2000" s="112">
        <f>W1281-W1280</f>
        <v>0</v>
      </c>
      <c r="J2000" s="112">
        <f>Z1281-Z1280</f>
        <v>0</v>
      </c>
      <c r="L2000" s="112"/>
      <c r="M2000" s="112"/>
    </row>
    <row r="2001" spans="1:13">
      <c r="A2001" s="2" t="s">
        <v>296</v>
      </c>
      <c r="B2001" s="112">
        <f>B1282-B1280</f>
        <v>0</v>
      </c>
      <c r="C2001" s="112">
        <f>E1282-E1280</f>
        <v>1.9399999999999995</v>
      </c>
      <c r="D2001" s="112">
        <f>H1282-H1280</f>
        <v>1.9499999999999993</v>
      </c>
      <c r="E2001" s="112">
        <f>K1282-K1280</f>
        <v>-0.97005714252543918</v>
      </c>
      <c r="F2001" s="112">
        <f>N1282-N1280</f>
        <v>0</v>
      </c>
      <c r="G2001" s="112">
        <f>Q1282-Q1280</f>
        <v>0</v>
      </c>
      <c r="H2001" s="112">
        <f>T1282-T1280</f>
        <v>0</v>
      </c>
      <c r="I2001" s="112">
        <f>W1282-W1280</f>
        <v>0</v>
      </c>
      <c r="J2001" s="112">
        <f>Z1282-Z1280</f>
        <v>0</v>
      </c>
      <c r="L2001" s="112"/>
      <c r="M2001" s="112"/>
    </row>
    <row r="2002" spans="1:13">
      <c r="A2002" s="2" t="s">
        <v>297</v>
      </c>
      <c r="B2002" s="112">
        <f>B1283-B1280</f>
        <v>0</v>
      </c>
      <c r="C2002" s="112">
        <f>E1283-E1280</f>
        <v>0</v>
      </c>
      <c r="D2002" s="112">
        <f>H1283-H1280</f>
        <v>0</v>
      </c>
      <c r="E2002" s="112">
        <f>K1283-K1280</f>
        <v>-1.563729725639007E-3</v>
      </c>
      <c r="F2002" s="112">
        <f>N1283-N1280</f>
        <v>0</v>
      </c>
      <c r="G2002" s="112">
        <f>Q1283-Q1280</f>
        <v>0</v>
      </c>
      <c r="H2002" s="112">
        <f>T1283-T1280</f>
        <v>0</v>
      </c>
      <c r="I2002" s="112">
        <f>W1283-W1280</f>
        <v>0</v>
      </c>
      <c r="J2002" s="112">
        <f>Z1283-Z1280</f>
        <v>0</v>
      </c>
      <c r="L2002" s="112"/>
      <c r="M2002" s="112"/>
    </row>
    <row r="2003" spans="1:13">
      <c r="A2003" s="113" t="s">
        <v>422</v>
      </c>
      <c r="B2003" s="112">
        <f>B1283-B1282</f>
        <v>0</v>
      </c>
      <c r="C2003" s="112">
        <f>E1283-E1282</f>
        <v>-1.9399999999999995</v>
      </c>
      <c r="D2003" s="112">
        <f>H1283-H1282</f>
        <v>-1.9499999999999993</v>
      </c>
      <c r="E2003" s="112">
        <f>K1283-K1282</f>
        <v>0.96849341279980017</v>
      </c>
      <c r="F2003" s="112">
        <f>N1283-N1282</f>
        <v>0</v>
      </c>
      <c r="G2003" s="112">
        <f>Q1283-Q1282</f>
        <v>0</v>
      </c>
      <c r="H2003" s="112">
        <f>T1283-T1282</f>
        <v>0</v>
      </c>
      <c r="I2003" s="112">
        <f>W1283-W1282</f>
        <v>0</v>
      </c>
      <c r="J2003" s="112">
        <f>Z1283-Z1282</f>
        <v>0</v>
      </c>
      <c r="L2003" s="112"/>
      <c r="M2003" s="112"/>
    </row>
    <row r="2004" spans="1:13">
      <c r="A2004" s="113" t="s">
        <v>423</v>
      </c>
      <c r="B2004" s="112">
        <f>B1284-B1280</f>
        <v>0</v>
      </c>
      <c r="C2004" s="112">
        <f>E1284-E1280</f>
        <v>0</v>
      </c>
      <c r="D2004" s="112">
        <f>H1284-H1280</f>
        <v>0</v>
      </c>
      <c r="E2004" s="112">
        <f>K1284-K1280</f>
        <v>-1.563729725639007E-3</v>
      </c>
      <c r="F2004" s="112">
        <f>N1284-N1280</f>
        <v>0</v>
      </c>
      <c r="G2004" s="112">
        <f>Q1284-Q1280</f>
        <v>0</v>
      </c>
      <c r="H2004" s="112">
        <f>T1284-T1280</f>
        <v>0</v>
      </c>
      <c r="I2004" s="112">
        <f>W1284-W1280</f>
        <v>0</v>
      </c>
      <c r="J2004" s="112">
        <f>Z1284-Z1280</f>
        <v>0</v>
      </c>
      <c r="L2004" s="112"/>
      <c r="M2004" s="112"/>
    </row>
    <row r="2005" spans="1:13">
      <c r="A2005" s="113" t="s">
        <v>424</v>
      </c>
      <c r="B2005" s="112">
        <f>B1283-B1284</f>
        <v>0</v>
      </c>
      <c r="C2005" s="112">
        <f>E1283-E1284</f>
        <v>0</v>
      </c>
      <c r="D2005" s="112">
        <f>H1283-H1284</f>
        <v>0</v>
      </c>
      <c r="E2005" s="112">
        <f>K1283-K1284</f>
        <v>0</v>
      </c>
      <c r="F2005" s="112">
        <f>N1283-N1284</f>
        <v>0</v>
      </c>
      <c r="G2005" s="112">
        <f>Q1283-Q1284</f>
        <v>0</v>
      </c>
      <c r="H2005" s="112">
        <f>T1283-T1284</f>
        <v>0</v>
      </c>
      <c r="I2005" s="112">
        <f>W1283-W1284</f>
        <v>0</v>
      </c>
      <c r="J2005" s="112">
        <f>Z1283-Z1284</f>
        <v>0</v>
      </c>
      <c r="L2005" s="112"/>
      <c r="M2005" s="112"/>
    </row>
    <row r="2006" spans="1:13">
      <c r="A2006" s="2" t="s">
        <v>298</v>
      </c>
      <c r="B2006" s="112">
        <f>B1285-B1280</f>
        <v>0</v>
      </c>
      <c r="C2006" s="112">
        <f>E1285-E1280</f>
        <v>0</v>
      </c>
      <c r="D2006" s="112">
        <f>H1285-H1280</f>
        <v>0</v>
      </c>
      <c r="E2006" s="112">
        <f>K1285-K1280</f>
        <v>0</v>
      </c>
      <c r="F2006" s="112">
        <f>N1285-N1280</f>
        <v>0</v>
      </c>
      <c r="G2006" s="112">
        <f>Q1285-Q1280</f>
        <v>0</v>
      </c>
      <c r="H2006" s="112">
        <f>T1285-T1280</f>
        <v>0</v>
      </c>
      <c r="I2006" s="112">
        <f>W1285-W1280</f>
        <v>0</v>
      </c>
      <c r="J2006" s="112">
        <f>Z1285-Z1280</f>
        <v>0</v>
      </c>
      <c r="L2006" s="112"/>
      <c r="M2006" s="112"/>
    </row>
    <row r="2007" spans="1:13">
      <c r="A2007" s="2" t="s">
        <v>299</v>
      </c>
      <c r="B2007" s="112">
        <f>B1286-B1280</f>
        <v>0</v>
      </c>
      <c r="C2007" s="112">
        <f>E1286-E1280</f>
        <v>0</v>
      </c>
      <c r="D2007" s="112">
        <f>H1286-H1280</f>
        <v>0</v>
      </c>
      <c r="E2007" s="112">
        <f>K1286-K1280</f>
        <v>1.7991698002006729E-4</v>
      </c>
      <c r="F2007" s="112">
        <f>N1286-N1280</f>
        <v>0</v>
      </c>
      <c r="G2007" s="112">
        <f>Q1286-Q1280</f>
        <v>0</v>
      </c>
      <c r="H2007" s="112">
        <f>T1286-T1280</f>
        <v>0</v>
      </c>
      <c r="I2007" s="112">
        <f>W1286-W1280</f>
        <v>0</v>
      </c>
      <c r="J2007" s="112">
        <f>Z1286-Z1280</f>
        <v>0</v>
      </c>
      <c r="L2007" s="112"/>
      <c r="M2007" s="112"/>
    </row>
    <row r="2008" spans="1:13">
      <c r="A2008" s="2" t="s">
        <v>300</v>
      </c>
      <c r="B2008" s="112">
        <f>B1287-B1280</f>
        <v>0</v>
      </c>
      <c r="C2008" s="112">
        <f>E1287-E1280</f>
        <v>0</v>
      </c>
      <c r="D2008" s="112">
        <f>H1287-H1280</f>
        <v>0</v>
      </c>
      <c r="E2008" s="112">
        <f>K1287-K1280</f>
        <v>-3.0198066269804258E-14</v>
      </c>
      <c r="F2008" s="112">
        <f>N1287-N1280</f>
        <v>-8</v>
      </c>
      <c r="G2008" s="112">
        <f>Q1287-Q1280</f>
        <v>0</v>
      </c>
      <c r="H2008" s="112">
        <f>T1287-T1280</f>
        <v>0</v>
      </c>
      <c r="I2008" s="112">
        <f>W1287-W1280</f>
        <v>0</v>
      </c>
      <c r="J2008" s="112">
        <f>Z1287-Z1280</f>
        <v>0</v>
      </c>
      <c r="L2008" s="112"/>
      <c r="M2008" s="112"/>
    </row>
    <row r="2009" spans="1:13">
      <c r="A2009" s="2" t="s">
        <v>306</v>
      </c>
      <c r="B2009" s="112">
        <f>B1288-B1280</f>
        <v>0</v>
      </c>
      <c r="C2009" s="112">
        <f>E1288-E1280</f>
        <v>0</v>
      </c>
      <c r="D2009" s="112">
        <f>H1288-H1280</f>
        <v>0</v>
      </c>
      <c r="E2009" s="112">
        <f>K1288-K1280</f>
        <v>-3.0198066269804258E-14</v>
      </c>
      <c r="F2009" s="112">
        <f>N1288-N1280</f>
        <v>-8</v>
      </c>
      <c r="G2009" s="112">
        <f>Q1288-Q1280</f>
        <v>0</v>
      </c>
      <c r="H2009" s="112">
        <f>T1288-T1280</f>
        <v>0</v>
      </c>
      <c r="I2009" s="112">
        <f>W1288-W1280</f>
        <v>0</v>
      </c>
      <c r="J2009" s="112">
        <f>Z1288-Z1280</f>
        <v>0</v>
      </c>
      <c r="L2009" s="112"/>
      <c r="M2009" s="112"/>
    </row>
    <row r="2010" spans="1:13">
      <c r="A2010" s="2" t="s">
        <v>307</v>
      </c>
      <c r="B2010" s="112">
        <f>B1289-B1280</f>
        <v>0</v>
      </c>
      <c r="C2010" s="112">
        <f>E1289-E1280</f>
        <v>0</v>
      </c>
      <c r="D2010" s="112">
        <f>H1289-H1280</f>
        <v>0</v>
      </c>
      <c r="E2010" s="112">
        <f>K1289-K1280</f>
        <v>-3.0198066269804258E-14</v>
      </c>
      <c r="F2010" s="112">
        <f>N1289-N1280</f>
        <v>-8</v>
      </c>
      <c r="G2010" s="112">
        <f>Q1289-Q1280</f>
        <v>0</v>
      </c>
      <c r="H2010" s="112">
        <f>T1289-T1280</f>
        <v>0</v>
      </c>
      <c r="I2010" s="112">
        <f>W1289-W1280</f>
        <v>0</v>
      </c>
      <c r="J2010" s="112">
        <f>Z1289-Z1280</f>
        <v>0</v>
      </c>
      <c r="L2010" s="112"/>
      <c r="M2010" s="112"/>
    </row>
    <row r="2011" spans="1:13">
      <c r="A2011" s="2" t="s">
        <v>308</v>
      </c>
      <c r="B2011" s="112">
        <f>B1290-B1280</f>
        <v>0</v>
      </c>
      <c r="C2011" s="112">
        <f>E1290-E1280</f>
        <v>0</v>
      </c>
      <c r="D2011" s="112">
        <f>H1290-H1280</f>
        <v>0</v>
      </c>
      <c r="E2011" s="112">
        <f>K1290-K1280</f>
        <v>-3.0198066269804258E-14</v>
      </c>
      <c r="F2011" s="112">
        <f>N1290-N1280</f>
        <v>-8</v>
      </c>
      <c r="G2011" s="112">
        <f>Q1290-Q1280</f>
        <v>0</v>
      </c>
      <c r="H2011" s="112">
        <f>T1290-T1280</f>
        <v>0</v>
      </c>
      <c r="I2011" s="112">
        <f>W1290-W1280</f>
        <v>0</v>
      </c>
      <c r="J2011" s="112">
        <f>Z1290-Z1280</f>
        <v>0</v>
      </c>
      <c r="L2011" s="112"/>
      <c r="M2011" s="112"/>
    </row>
    <row r="2012" spans="1:13">
      <c r="A2012" s="2" t="s">
        <v>309</v>
      </c>
      <c r="B2012" s="112">
        <f>B1291-B1280</f>
        <v>0</v>
      </c>
      <c r="C2012" s="112">
        <f>E1291-E1280</f>
        <v>0</v>
      </c>
      <c r="D2012" s="112">
        <f>H1291-H1280</f>
        <v>0</v>
      </c>
      <c r="E2012" s="112">
        <f>K1291-K1280</f>
        <v>-3.0198066269804258E-14</v>
      </c>
      <c r="F2012" s="112">
        <f>N1291-N1280</f>
        <v>-8</v>
      </c>
      <c r="G2012" s="112">
        <f>Q1291-Q1280</f>
        <v>9.9999999999997868E-3</v>
      </c>
      <c r="H2012" s="112">
        <f>T1291-T1280</f>
        <v>0</v>
      </c>
      <c r="I2012" s="112">
        <f>W1291-W1280</f>
        <v>0</v>
      </c>
      <c r="J2012" s="112">
        <f>Z1291-Z1280</f>
        <v>0</v>
      </c>
      <c r="L2012" s="112"/>
      <c r="M2012" s="112"/>
    </row>
    <row r="2013" spans="1:13">
      <c r="A2013" s="2" t="s">
        <v>301</v>
      </c>
      <c r="B2013" s="112">
        <f>B1292-B1280</f>
        <v>0.49702999999999964</v>
      </c>
      <c r="C2013" s="112">
        <f>E1292-E1280</f>
        <v>-0.72000000000000064</v>
      </c>
      <c r="D2013" s="112">
        <f>H1292-H1280</f>
        <v>-0.88999999999999968</v>
      </c>
      <c r="E2013" s="112">
        <f>K1292-K1280</f>
        <v>0.11003943738590038</v>
      </c>
      <c r="F2013" s="112">
        <f>N1292-N1280</f>
        <v>0.53999999999999915</v>
      </c>
      <c r="G2013" s="112">
        <f>Q1292-Q1280</f>
        <v>17.049999999999997</v>
      </c>
      <c r="H2013" s="112">
        <f>T1292-T1280</f>
        <v>0</v>
      </c>
      <c r="I2013" s="112">
        <f>W1292-W1280</f>
        <v>0</v>
      </c>
      <c r="J2013" s="112">
        <f>Z1292-Z1280</f>
        <v>0</v>
      </c>
      <c r="L2013" s="112"/>
      <c r="M2013" s="112"/>
    </row>
    <row r="2014" spans="1:13">
      <c r="A2014" s="2" t="s">
        <v>302</v>
      </c>
      <c r="B2014" s="112">
        <f>B1293-B1292</f>
        <v>0</v>
      </c>
      <c r="C2014" s="112">
        <f>E1293-E1292</f>
        <v>0</v>
      </c>
      <c r="D2014" s="112">
        <f>H1293-H1292</f>
        <v>0</v>
      </c>
      <c r="E2014" s="112">
        <f>K1293-K1292</f>
        <v>9.3017895608227263E-9</v>
      </c>
      <c r="F2014" s="112">
        <f>N1293-N1292</f>
        <v>0</v>
      </c>
      <c r="G2014" s="112">
        <f>Q1293-Q1292</f>
        <v>0</v>
      </c>
      <c r="H2014" s="112">
        <f>T1293-T1292</f>
        <v>0</v>
      </c>
      <c r="I2014" s="112">
        <f>W1293-W1292</f>
        <v>0</v>
      </c>
      <c r="J2014" s="112">
        <f>Z1293-Z1292</f>
        <v>0</v>
      </c>
      <c r="L2014" s="112"/>
      <c r="M2014" s="112"/>
    </row>
    <row r="2015" spans="1:13">
      <c r="A2015" s="2" t="s">
        <v>303</v>
      </c>
      <c r="B2015" s="112">
        <f>B1296-B1294</f>
        <v>0.13888999999999996</v>
      </c>
      <c r="C2015" s="112">
        <f>E1296-E1294</f>
        <v>6.0000000000000497E-2</v>
      </c>
      <c r="D2015" s="112">
        <f>H1296-H1294</f>
        <v>5.0000000000000711E-2</v>
      </c>
      <c r="E2015" s="112">
        <f>K1296-K1294</f>
        <v>0.17939071958815056</v>
      </c>
      <c r="F2015" s="112">
        <f>N1296-N1294</f>
        <v>2.9999999999999361E-2</v>
      </c>
      <c r="G2015" s="112">
        <f>Q1296-Q1294</f>
        <v>19.439999999999998</v>
      </c>
      <c r="H2015" s="112">
        <f>T1296-T1294</f>
        <v>0</v>
      </c>
      <c r="I2015" s="112">
        <f>W1296-W1294</f>
        <v>0</v>
      </c>
      <c r="J2015" s="112">
        <f>Z1296-Z1294</f>
        <v>0</v>
      </c>
      <c r="L2015" s="112"/>
      <c r="M2015" s="112"/>
    </row>
    <row r="2016" spans="1:13">
      <c r="A2016" s="2" t="s">
        <v>304</v>
      </c>
      <c r="B2016" s="112">
        <f>B1297-B1292</f>
        <v>-5.5099999999992377E-3</v>
      </c>
      <c r="C2016" s="112">
        <f>E1297-E1292</f>
        <v>0</v>
      </c>
      <c r="D2016" s="112">
        <f>H1297-H1292</f>
        <v>0</v>
      </c>
      <c r="E2016" s="112">
        <f>K1297-K1292</f>
        <v>0.14538547844995087</v>
      </c>
      <c r="F2016" s="112">
        <f>N1297-N1292</f>
        <v>0</v>
      </c>
      <c r="G2016" s="112">
        <f>Q1297-Q1292</f>
        <v>0</v>
      </c>
      <c r="H2016" s="112">
        <f>T1297-T1292</f>
        <v>0</v>
      </c>
      <c r="I2016" s="112">
        <f>W1297-W1292</f>
        <v>0</v>
      </c>
      <c r="J2016" s="112">
        <f>Z1297-Z1292</f>
        <v>0</v>
      </c>
      <c r="L2016" s="112"/>
      <c r="M2016" s="112"/>
    </row>
    <row r="2017" spans="1:13">
      <c r="A2017" s="2" t="s">
        <v>305</v>
      </c>
      <c r="B2017" s="112">
        <f>B1299-B1298</f>
        <v>0.22078000000000131</v>
      </c>
      <c r="C2017" s="112">
        <f>E1299-E1298</f>
        <v>6.0000000000000497E-2</v>
      </c>
      <c r="D2017" s="112">
        <f>H1299-H1298</f>
        <v>5.0000000000000711E-2</v>
      </c>
      <c r="E2017" s="112">
        <f>K1299-K1298</f>
        <v>0.1809343780834709</v>
      </c>
      <c r="F2017" s="112">
        <f>N1299-N1298</f>
        <v>2.9999999999999361E-2</v>
      </c>
      <c r="G2017" s="112">
        <f>Q1299-Q1298</f>
        <v>18.059999999999999</v>
      </c>
      <c r="H2017" s="112">
        <f>T1299-T1298</f>
        <v>0</v>
      </c>
      <c r="I2017" s="112">
        <f>W1299-W1298</f>
        <v>0</v>
      </c>
      <c r="J2017" s="112">
        <f>Z1299-Z1298</f>
        <v>0</v>
      </c>
      <c r="L2017" s="112"/>
      <c r="M2017" s="112"/>
    </row>
    <row r="2027" spans="1:13">
      <c r="A2027" t="s">
        <v>321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245</v>
      </c>
      <c r="C2029" s="10" t="s">
        <v>257</v>
      </c>
      <c r="D2029" s="10" t="s">
        <v>258</v>
      </c>
      <c r="E2029" s="10" t="s">
        <v>515</v>
      </c>
      <c r="F2029" s="10" t="s">
        <v>373</v>
      </c>
      <c r="G2029" s="10" t="s">
        <v>482</v>
      </c>
      <c r="H2029" s="10" t="s">
        <v>516</v>
      </c>
      <c r="I2029" s="10" t="s">
        <v>517</v>
      </c>
      <c r="J2029" s="10" t="s">
        <v>517</v>
      </c>
    </row>
    <row r="2030" spans="1:13">
      <c r="A2030" s="2" t="s">
        <v>295</v>
      </c>
      <c r="B2030" s="348">
        <f>B1311-B1310</f>
        <v>2.4657999999999989E-3</v>
      </c>
      <c r="C2030" s="348">
        <f>E1311-E1310</f>
        <v>5.000000000000001E-3</v>
      </c>
      <c r="D2030" s="348">
        <f>H1311-H1310</f>
        <v>5.1999999999999998E-3</v>
      </c>
      <c r="E2030" s="348">
        <f>K1311-K1310</f>
        <v>1.981186203994699E-3</v>
      </c>
      <c r="F2030" s="348">
        <f>N1311-N1310</f>
        <v>1.9749999999999993E-3</v>
      </c>
      <c r="G2030" s="348">
        <f>Q1311-Q1310</f>
        <v>2.2999999999999982E-3</v>
      </c>
      <c r="H2030" s="348">
        <f>T1311-T1310</f>
        <v>0</v>
      </c>
      <c r="I2030" s="348">
        <f>W1311-W1310</f>
        <v>0</v>
      </c>
      <c r="J2030" s="348">
        <f>Z1311-Z1310</f>
        <v>0</v>
      </c>
      <c r="L2030" s="348"/>
      <c r="M2030" s="348"/>
    </row>
    <row r="2031" spans="1:13">
      <c r="A2031" s="2" t="s">
        <v>296</v>
      </c>
      <c r="B2031" s="348">
        <f>B1312-B1310</f>
        <v>4.7325999999999983E-3</v>
      </c>
      <c r="C2031" s="348">
        <f>E1312-E1310</f>
        <v>3.9000000000000007E-3</v>
      </c>
      <c r="D2031" s="348">
        <f>H1312-H1310</f>
        <v>3.9000000000000007E-3</v>
      </c>
      <c r="E2031" s="348">
        <f>K1312-K1310</f>
        <v>4.1822998113273009E-3</v>
      </c>
      <c r="F2031" s="348">
        <f>N1312-N1310</f>
        <v>4.0899999999999999E-3</v>
      </c>
      <c r="G2031" s="348">
        <f>Q1312-Q1310</f>
        <v>4.3E-3</v>
      </c>
      <c r="H2031" s="348">
        <f>T1312-T1310</f>
        <v>0</v>
      </c>
      <c r="I2031" s="348">
        <f>W1312-W1310</f>
        <v>0</v>
      </c>
      <c r="J2031" s="348">
        <f>Z1312-Z1310</f>
        <v>0</v>
      </c>
      <c r="L2031" s="348"/>
      <c r="M2031" s="348"/>
    </row>
    <row r="2032" spans="1:13">
      <c r="A2032" s="2" t="s">
        <v>297</v>
      </c>
      <c r="B2032" s="348">
        <f>B1313-B1310</f>
        <v>4.3671000000000005E-3</v>
      </c>
      <c r="C2032" s="348">
        <f>E1313-E1310</f>
        <v>4.0000000000000001E-3</v>
      </c>
      <c r="D2032" s="348">
        <f>H1313-H1310</f>
        <v>4.0000000000000001E-3</v>
      </c>
      <c r="E2032" s="348">
        <f>K1313-K1310</f>
        <v>4.3029574478994984E-3</v>
      </c>
      <c r="F2032" s="348">
        <f>N1313-N1310</f>
        <v>3.5880000000000009E-3</v>
      </c>
      <c r="G2032" s="348">
        <f>Q1313-Q1310</f>
        <v>4.3E-3</v>
      </c>
      <c r="H2032" s="348">
        <f>T1313-T1310</f>
        <v>0</v>
      </c>
      <c r="I2032" s="348">
        <f>W1313-W1310</f>
        <v>0</v>
      </c>
      <c r="J2032" s="348">
        <f>Z1313-Z1310</f>
        <v>0</v>
      </c>
      <c r="L2032" s="348"/>
      <c r="M2032" s="348"/>
    </row>
    <row r="2033" spans="1:13">
      <c r="A2033" s="113" t="s">
        <v>422</v>
      </c>
      <c r="B2033" s="348">
        <f>B1313-B1312</f>
        <v>-3.6549999999999777E-4</v>
      </c>
      <c r="C2033" s="348">
        <f>E1313-E1312</f>
        <v>9.9999999999999395E-5</v>
      </c>
      <c r="D2033" s="348">
        <f>H1313-H1312</f>
        <v>9.9999999999999395E-5</v>
      </c>
      <c r="E2033" s="348">
        <f>K1313-K1312</f>
        <v>1.2065763657219744E-4</v>
      </c>
      <c r="F2033" s="348">
        <f>N1313-N1312</f>
        <v>-5.0199999999999897E-4</v>
      </c>
      <c r="G2033" s="348">
        <f>Q1313-Q1312</f>
        <v>0</v>
      </c>
      <c r="H2033" s="348">
        <f>T1313-T1312</f>
        <v>0</v>
      </c>
      <c r="I2033" s="348">
        <f>W1313-W1312</f>
        <v>0</v>
      </c>
      <c r="J2033" s="348">
        <f>Z1313-Z1312</f>
        <v>0</v>
      </c>
      <c r="L2033" s="348"/>
      <c r="M2033" s="348"/>
    </row>
    <row r="2034" spans="1:13">
      <c r="A2034" s="113" t="s">
        <v>423</v>
      </c>
      <c r="B2034" s="348">
        <f>B1314-B1310</f>
        <v>4.5870999999999985E-3</v>
      </c>
      <c r="C2034" s="348">
        <f>E1314-E1310</f>
        <v>3.9000000000000007E-3</v>
      </c>
      <c r="D2034" s="348">
        <f>H1314-H1310</f>
        <v>3.6999999999999984E-3</v>
      </c>
      <c r="E2034" s="348">
        <f>K1314-K1310</f>
        <v>4.1869013689201998E-3</v>
      </c>
      <c r="F2034" s="348">
        <f>N1314-N1310</f>
        <v>3.8149999999999989E-3</v>
      </c>
      <c r="G2034" s="348">
        <f>Q1314-Q1310</f>
        <v>4.3E-3</v>
      </c>
      <c r="H2034" s="348">
        <f>T1314-T1310</f>
        <v>0</v>
      </c>
      <c r="I2034" s="348">
        <f>W1314-W1310</f>
        <v>0</v>
      </c>
      <c r="J2034" s="348">
        <f>Z1314-Z1310</f>
        <v>0</v>
      </c>
      <c r="L2034" s="348"/>
      <c r="M2034" s="348"/>
    </row>
    <row r="2035" spans="1:13">
      <c r="A2035" s="113" t="s">
        <v>424</v>
      </c>
      <c r="B2035" s="348">
        <f>B1313-B1314</f>
        <v>-2.1999999999999797E-4</v>
      </c>
      <c r="C2035" s="348">
        <f>E1313-E1314</f>
        <v>9.9999999999999395E-5</v>
      </c>
      <c r="D2035" s="348">
        <f>H1313-H1314</f>
        <v>3.0000000000000165E-4</v>
      </c>
      <c r="E2035" s="348">
        <f>K1313-K1314</f>
        <v>1.1605607897929859E-4</v>
      </c>
      <c r="F2035" s="348">
        <f>N1313-N1314</f>
        <v>-2.2699999999999804E-4</v>
      </c>
      <c r="G2035" s="348">
        <f>Q1313-Q1314</f>
        <v>0</v>
      </c>
      <c r="H2035" s="348">
        <f>T1313-T1314</f>
        <v>0</v>
      </c>
      <c r="I2035" s="348">
        <f>W1313-W1314</f>
        <v>0</v>
      </c>
      <c r="J2035" s="348">
        <f>Z1313-Z1314</f>
        <v>0</v>
      </c>
      <c r="L2035" s="348"/>
      <c r="M2035" s="348"/>
    </row>
    <row r="2036" spans="1:13">
      <c r="A2036" s="2" t="s">
        <v>298</v>
      </c>
      <c r="B2036" s="348">
        <f>B1315-B1310</f>
        <v>3.4739000000000003E-3</v>
      </c>
      <c r="C2036" s="348">
        <f>E1315-E1310</f>
        <v>6.1000000000000013E-3</v>
      </c>
      <c r="D2036" s="348">
        <f>H1315-H1310</f>
        <v>6.2000000000000006E-3</v>
      </c>
      <c r="E2036" s="348">
        <f>K1315-K1310</f>
        <v>3.4244520139639981E-3</v>
      </c>
      <c r="F2036" s="348">
        <f>N1315-N1310</f>
        <v>3.0220000000000004E-3</v>
      </c>
      <c r="G2036" s="348">
        <f>Q1315-Q1310</f>
        <v>3.1999999999999997E-3</v>
      </c>
      <c r="H2036" s="348">
        <f>T1315-T1310</f>
        <v>0</v>
      </c>
      <c r="I2036" s="348">
        <f>W1315-W1310</f>
        <v>0</v>
      </c>
      <c r="J2036" s="348">
        <f>Z1315-Z1310</f>
        <v>0</v>
      </c>
      <c r="L2036" s="348"/>
      <c r="M2036" s="348"/>
    </row>
    <row r="2037" spans="1:13">
      <c r="A2037" s="2" t="s">
        <v>299</v>
      </c>
      <c r="B2037" s="348">
        <f>B1316-B1310</f>
        <v>1.4909999999999923E-4</v>
      </c>
      <c r="C2037" s="348">
        <f>E1316-E1310</f>
        <v>0</v>
      </c>
      <c r="D2037" s="348">
        <f>H1316-H1310</f>
        <v>0</v>
      </c>
      <c r="E2037" s="348">
        <f>K1316-K1310</f>
        <v>-3.5233336300594109E-8</v>
      </c>
      <c r="F2037" s="348">
        <f>N1316-N1310</f>
        <v>0</v>
      </c>
      <c r="G2037" s="348">
        <f>Q1316-Q1310</f>
        <v>0</v>
      </c>
      <c r="H2037" s="348">
        <f>T1316-T1310</f>
        <v>0</v>
      </c>
      <c r="I2037" s="348">
        <f>W1316-W1310</f>
        <v>0</v>
      </c>
      <c r="J2037" s="348">
        <f>Z1316-Z1310</f>
        <v>0</v>
      </c>
      <c r="L2037" s="348"/>
      <c r="M2037" s="348"/>
    </row>
    <row r="2038" spans="1:13">
      <c r="A2038" s="2" t="s">
        <v>300</v>
      </c>
      <c r="B2038" s="348">
        <f>B1317-B1310</f>
        <v>3.659299999999999E-3</v>
      </c>
      <c r="C2038" s="348">
        <f>E1317-E1310</f>
        <v>3.2000000000000015E-3</v>
      </c>
      <c r="D2038" s="348">
        <f>H1317-H1310</f>
        <v>3.3000000000000008E-3</v>
      </c>
      <c r="E2038" s="348">
        <f>K1317-K1310</f>
        <v>3.3727907973627007E-3</v>
      </c>
      <c r="F2038" s="348">
        <f>N1317-N1310</f>
        <v>-1.3457E-2</v>
      </c>
      <c r="G2038" s="348">
        <f>Q1317-Q1310</f>
        <v>3.899999999999999E-3</v>
      </c>
      <c r="H2038" s="348">
        <f>T1317-T1310</f>
        <v>0</v>
      </c>
      <c r="I2038" s="348">
        <f>W1317-W1310</f>
        <v>0</v>
      </c>
      <c r="J2038" s="348">
        <f>Z1317-Z1310</f>
        <v>0</v>
      </c>
      <c r="L2038" s="348"/>
      <c r="M2038" s="348"/>
    </row>
    <row r="2039" spans="1:13">
      <c r="A2039" s="2" t="s">
        <v>306</v>
      </c>
      <c r="B2039" s="348">
        <f>B1318-B1310</f>
        <v>3.5511999999999991E-3</v>
      </c>
      <c r="C2039" s="348">
        <f>E1318-E1310</f>
        <v>3.0999999999999986E-3</v>
      </c>
      <c r="D2039" s="348">
        <f>H1318-H1310</f>
        <v>3.199999999999998E-3</v>
      </c>
      <c r="E2039" s="348">
        <f>K1318-K1310</f>
        <v>2.9110049293496996E-3</v>
      </c>
      <c r="F2039" s="348">
        <f>N1318-N1310</f>
        <v>-1.3457E-2</v>
      </c>
      <c r="G2039" s="348">
        <f>Q1318-Q1310</f>
        <v>3.899999999999999E-3</v>
      </c>
      <c r="H2039" s="348">
        <f>T1318-T1310</f>
        <v>0</v>
      </c>
      <c r="I2039" s="348">
        <f>W1318-W1310</f>
        <v>0</v>
      </c>
      <c r="J2039" s="348">
        <f>Z1318-Z1310</f>
        <v>0</v>
      </c>
      <c r="L2039" s="348"/>
      <c r="M2039" s="348"/>
    </row>
    <row r="2040" spans="1:13">
      <c r="A2040" s="2" t="s">
        <v>307</v>
      </c>
      <c r="B2040" s="348">
        <f>B1319-B1310</f>
        <v>1.0124999999999995E-3</v>
      </c>
      <c r="C2040" s="348">
        <f>E1319-E1310</f>
        <v>8.9999999999999976E-4</v>
      </c>
      <c r="D2040" s="348">
        <f>H1319-H1310</f>
        <v>3.9999999999999931E-4</v>
      </c>
      <c r="E2040" s="348">
        <f>K1319-K1310</f>
        <v>1.0861176461807991E-3</v>
      </c>
      <c r="F2040" s="348">
        <f>N1319-N1310</f>
        <v>-1.3457E-2</v>
      </c>
      <c r="G2040" s="348">
        <f>Q1319-Q1310</f>
        <v>1.2999999999999991E-3</v>
      </c>
      <c r="H2040" s="348">
        <f>T1319-T1310</f>
        <v>0</v>
      </c>
      <c r="I2040" s="348">
        <f>W1319-W1310</f>
        <v>0</v>
      </c>
      <c r="J2040" s="348">
        <f>Z1319-Z1310</f>
        <v>0</v>
      </c>
      <c r="L2040" s="348"/>
      <c r="M2040" s="348"/>
    </row>
    <row r="2041" spans="1:13">
      <c r="A2041" s="2" t="s">
        <v>308</v>
      </c>
      <c r="B2041" s="348">
        <f>B1320-B1310</f>
        <v>2.9463000000000007E-3</v>
      </c>
      <c r="C2041" s="348">
        <f>E1320-E1310</f>
        <v>1.7999999999999995E-3</v>
      </c>
      <c r="D2041" s="348">
        <f>H1320-H1310</f>
        <v>1.8999999999999989E-3</v>
      </c>
      <c r="E2041" s="348">
        <f>K1320-K1310</f>
        <v>2.6256601974129004E-3</v>
      </c>
      <c r="F2041" s="348">
        <f>N1320-N1310</f>
        <v>-1.3457E-2</v>
      </c>
      <c r="G2041" s="348">
        <f>Q1320-Q1310</f>
        <v>2.4000000000000011E-3</v>
      </c>
      <c r="H2041" s="348">
        <f>T1320-T1310</f>
        <v>0</v>
      </c>
      <c r="I2041" s="348">
        <f>W1320-W1310</f>
        <v>0</v>
      </c>
      <c r="J2041" s="348">
        <f>Z1320-Z1310</f>
        <v>0</v>
      </c>
      <c r="L2041" s="348"/>
      <c r="M2041" s="348"/>
    </row>
    <row r="2042" spans="1:13">
      <c r="A2042" s="2" t="s">
        <v>309</v>
      </c>
      <c r="B2042" s="348">
        <f>B1321-B1310</f>
        <v>2.8499999999999012E-5</v>
      </c>
      <c r="C2042" s="348">
        <f>E1321-E1310</f>
        <v>0</v>
      </c>
      <c r="D2042" s="348">
        <f>H1321-H1310</f>
        <v>0</v>
      </c>
      <c r="E2042" s="348">
        <f>K1321-K1310</f>
        <v>1.663899920623102E-12</v>
      </c>
      <c r="F2042" s="348">
        <f>N1321-N1310</f>
        <v>-1.3457E-2</v>
      </c>
      <c r="G2042" s="348">
        <f>Q1321-Q1310</f>
        <v>0</v>
      </c>
      <c r="H2042" s="348">
        <f>T1321-T1310</f>
        <v>0</v>
      </c>
      <c r="I2042" s="348">
        <f>W1321-W1310</f>
        <v>0</v>
      </c>
      <c r="J2042" s="348">
        <f>Z1321-Z1310</f>
        <v>0</v>
      </c>
      <c r="L2042" s="348"/>
      <c r="M2042" s="348"/>
    </row>
    <row r="2043" spans="1:13">
      <c r="A2043" s="2" t="s">
        <v>301</v>
      </c>
      <c r="B2043" s="348">
        <f>B1322-B1310</f>
        <v>-1.5646000000000011E-3</v>
      </c>
      <c r="C2043" s="348">
        <f>E1322-E1310</f>
        <v>-1.8999999999999989E-3</v>
      </c>
      <c r="D2043" s="348">
        <f>H1322-H1310</f>
        <v>-1.9000000000000006E-3</v>
      </c>
      <c r="E2043" s="348">
        <f>K1322-K1310</f>
        <v>-2.1407675240728997E-3</v>
      </c>
      <c r="F2043" s="348">
        <f>N1322-N1310</f>
        <v>-1.7440000000000008E-3</v>
      </c>
      <c r="G2043" s="348">
        <f>Q1322-Q1310</f>
        <v>-1.9000000000000006E-3</v>
      </c>
      <c r="H2043" s="348">
        <f>T1322-T1310</f>
        <v>0</v>
      </c>
      <c r="I2043" s="348">
        <f>W1322-W1310</f>
        <v>0</v>
      </c>
      <c r="J2043" s="348">
        <f>Z1322-Z1310</f>
        <v>0</v>
      </c>
      <c r="L2043" s="348"/>
      <c r="M2043" s="348"/>
    </row>
    <row r="2044" spans="1:13">
      <c r="A2044" s="2" t="s">
        <v>302</v>
      </c>
      <c r="B2044" s="348">
        <f>B1323-B1322</f>
        <v>1.5170000000000114E-4</v>
      </c>
      <c r="C2044" s="348">
        <f>E1323-E1322</f>
        <v>0</v>
      </c>
      <c r="D2044" s="348">
        <f>H1323-H1322</f>
        <v>1.0000000000000113E-4</v>
      </c>
      <c r="E2044" s="348">
        <f>K1323-K1322</f>
        <v>1.000612145069836E-5</v>
      </c>
      <c r="F2044" s="348">
        <f>N1323-N1322</f>
        <v>3.0000000000012655E-6</v>
      </c>
      <c r="G2044" s="348">
        <f>Q1323-Q1322</f>
        <v>0</v>
      </c>
      <c r="H2044" s="348">
        <f>T1323-T1322</f>
        <v>0</v>
      </c>
      <c r="I2044" s="348">
        <f>W1323-W1322</f>
        <v>0</v>
      </c>
      <c r="J2044" s="348">
        <f>Z1323-Z1322</f>
        <v>0</v>
      </c>
      <c r="L2044" s="348"/>
      <c r="M2044" s="348"/>
    </row>
    <row r="2045" spans="1:13">
      <c r="A2045" s="2" t="s">
        <v>303</v>
      </c>
      <c r="B2045" s="348">
        <f>B1326-B1324</f>
        <v>1.0392090000000001E-2</v>
      </c>
      <c r="C2045" s="348">
        <f>E1326-E1324</f>
        <v>1.0299999999999998E-2</v>
      </c>
      <c r="D2045" s="348">
        <f>H1326-H1324</f>
        <v>1.0199999999999999E-2</v>
      </c>
      <c r="E2045" s="348">
        <f>K1326-K1324</f>
        <v>1.0744449110931059E-2</v>
      </c>
      <c r="F2045" s="348">
        <f>N1326-N1324</f>
        <v>1.0059999999999999E-2</v>
      </c>
      <c r="G2045" s="348">
        <f>Q1326-Q1324</f>
        <v>6.6999999999999994E-3</v>
      </c>
      <c r="H2045" s="348">
        <f>T1326-T1324</f>
        <v>0</v>
      </c>
      <c r="I2045" s="348">
        <f>W1326-W1324</f>
        <v>0</v>
      </c>
      <c r="J2045" s="348">
        <f>Z1326-Z1324</f>
        <v>0</v>
      </c>
      <c r="L2045" s="348"/>
      <c r="M2045" s="348"/>
    </row>
    <row r="2046" spans="1:13">
      <c r="A2046" s="2" t="s">
        <v>304</v>
      </c>
      <c r="B2046" s="348">
        <f>B1327-B1322</f>
        <v>-4.7305499999999992E-3</v>
      </c>
      <c r="C2046" s="348">
        <f>E1327-E1322</f>
        <v>-3.8000000000000013E-3</v>
      </c>
      <c r="D2046" s="348">
        <f>H1327-H1322</f>
        <v>-3.7000000000000002E-3</v>
      </c>
      <c r="E2046" s="348">
        <f>K1327-K1322</f>
        <v>-4.5893332600349009E-3</v>
      </c>
      <c r="F2046" s="348">
        <f>N1327-N1322</f>
        <v>-6.2219999999999992E-3</v>
      </c>
      <c r="G2046" s="348">
        <f>Q1327-Q1322</f>
        <v>-4.7299999999999998E-3</v>
      </c>
      <c r="H2046" s="348">
        <f>T1327-T1322</f>
        <v>0</v>
      </c>
      <c r="I2046" s="348">
        <f>W1327-W1322</f>
        <v>0</v>
      </c>
      <c r="J2046" s="348">
        <f>Z1327-Z1322</f>
        <v>0</v>
      </c>
      <c r="L2046" s="348"/>
      <c r="M2046" s="348"/>
    </row>
    <row r="2047" spans="1:13">
      <c r="A2047" s="2" t="s">
        <v>305</v>
      </c>
      <c r="B2047" s="348">
        <f>B1329-B1328</f>
        <v>9.051000000000007E-4</v>
      </c>
      <c r="C2047" s="348">
        <f>E1329-E1328</f>
        <v>7.2000000000000007E-3</v>
      </c>
      <c r="D2047" s="348">
        <f>H1329-H1328</f>
        <v>5.9000000000000007E-3</v>
      </c>
      <c r="E2047" s="348">
        <f>K1329-K1328</f>
        <v>4.3897177559593104E-15</v>
      </c>
      <c r="F2047" s="348">
        <f>N1329-N1328</f>
        <v>3.4329999999999994E-3</v>
      </c>
      <c r="G2047" s="348">
        <f>Q1329-Q1328</f>
        <v>1.2899999999999995E-3</v>
      </c>
      <c r="H2047" s="348">
        <f>T1329-T1328</f>
        <v>0</v>
      </c>
      <c r="I2047" s="348">
        <f>W1329-W1328</f>
        <v>0</v>
      </c>
      <c r="J2047" s="348">
        <f>Z1329-Z1328</f>
        <v>0</v>
      </c>
      <c r="L2047" s="348"/>
      <c r="M2047" s="348"/>
    </row>
    <row r="2057" spans="1:13">
      <c r="A2057" t="s">
        <v>322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245</v>
      </c>
      <c r="C2059" s="10" t="s">
        <v>257</v>
      </c>
      <c r="D2059" s="10" t="s">
        <v>258</v>
      </c>
      <c r="E2059" s="10" t="s">
        <v>515</v>
      </c>
      <c r="F2059" s="10" t="s">
        <v>373</v>
      </c>
      <c r="G2059" s="10" t="s">
        <v>482</v>
      </c>
      <c r="H2059" s="10" t="s">
        <v>516</v>
      </c>
      <c r="I2059" s="10" t="s">
        <v>517</v>
      </c>
      <c r="J2059" s="10" t="s">
        <v>517</v>
      </c>
    </row>
    <row r="2060" spans="1:13">
      <c r="A2060" s="2" t="s">
        <v>295</v>
      </c>
      <c r="B2060" s="348">
        <f>B1341-B1340</f>
        <v>9.9999999999406119E-9</v>
      </c>
      <c r="C2060" s="348">
        <f>E1341-E1340</f>
        <v>0</v>
      </c>
      <c r="D2060" s="348">
        <f>H1341-H1340</f>
        <v>0</v>
      </c>
      <c r="E2060" s="348">
        <f>K1341-K1340</f>
        <v>1.4269313120260103E-5</v>
      </c>
      <c r="F2060" s="348">
        <f>N1341-N1340</f>
        <v>5.099999999999983E-5</v>
      </c>
      <c r="G2060" s="348">
        <f>Q1341-Q1340</f>
        <v>-1.0000000000000026E-5</v>
      </c>
      <c r="H2060" s="348">
        <f>T1341-T1340</f>
        <v>0</v>
      </c>
      <c r="I2060" s="348">
        <f>W1341-W1340</f>
        <v>0</v>
      </c>
      <c r="J2060" s="348">
        <f>Z1341-Z1340</f>
        <v>0</v>
      </c>
      <c r="L2060" s="348"/>
      <c r="M2060" s="348"/>
    </row>
    <row r="2061" spans="1:13">
      <c r="A2061" s="2" t="s">
        <v>296</v>
      </c>
      <c r="B2061" s="348">
        <f>B1342-B1340</f>
        <v>0</v>
      </c>
      <c r="C2061" s="348">
        <f>E1342-E1340</f>
        <v>0</v>
      </c>
      <c r="D2061" s="348">
        <f>H1342-H1340</f>
        <v>0</v>
      </c>
      <c r="E2061" s="348">
        <f>K1342-K1340</f>
        <v>5.877835533300152E-6</v>
      </c>
      <c r="F2061" s="348">
        <f>N1342-N1340</f>
        <v>0</v>
      </c>
      <c r="G2061" s="348">
        <f>Q1342-Q1340</f>
        <v>0</v>
      </c>
      <c r="H2061" s="348">
        <f>T1342-T1340</f>
        <v>0</v>
      </c>
      <c r="I2061" s="348">
        <f>W1342-W1340</f>
        <v>0</v>
      </c>
      <c r="J2061" s="348">
        <f>Z1342-Z1340</f>
        <v>0</v>
      </c>
      <c r="L2061" s="348"/>
      <c r="M2061" s="348"/>
    </row>
    <row r="2062" spans="1:13">
      <c r="A2062" s="2" t="s">
        <v>297</v>
      </c>
      <c r="B2062" s="348">
        <f>B1343-B1340</f>
        <v>0</v>
      </c>
      <c r="C2062" s="348">
        <f>E1343-E1340</f>
        <v>0</v>
      </c>
      <c r="D2062" s="348">
        <f>H1343-H1340</f>
        <v>0</v>
      </c>
      <c r="E2062" s="348">
        <f>K1343-K1340</f>
        <v>-1.7098995749907989E-8</v>
      </c>
      <c r="F2062" s="348">
        <f>N1343-N1340</f>
        <v>0</v>
      </c>
      <c r="G2062" s="348">
        <f>Q1343-Q1340</f>
        <v>0</v>
      </c>
      <c r="H2062" s="348">
        <f>T1343-T1340</f>
        <v>0</v>
      </c>
      <c r="I2062" s="348">
        <f>W1343-W1340</f>
        <v>0</v>
      </c>
      <c r="J2062" s="348">
        <f>Z1343-Z1340</f>
        <v>0</v>
      </c>
      <c r="L2062" s="348"/>
      <c r="M2062" s="348"/>
    </row>
    <row r="2063" spans="1:13">
      <c r="A2063" s="113" t="s">
        <v>422</v>
      </c>
      <c r="B2063" s="348">
        <f>B1343-B1342</f>
        <v>0</v>
      </c>
      <c r="C2063" s="348">
        <f>E1343-E1342</f>
        <v>0</v>
      </c>
      <c r="D2063" s="348">
        <f>H1343-H1342</f>
        <v>0</v>
      </c>
      <c r="E2063" s="348">
        <f>K1343-K1342</f>
        <v>-5.8949345290500599E-6</v>
      </c>
      <c r="F2063" s="348">
        <f>N1343-N1342</f>
        <v>0</v>
      </c>
      <c r="G2063" s="348">
        <f>Q1343-Q1342</f>
        <v>0</v>
      </c>
      <c r="H2063" s="348">
        <f>T1343-T1342</f>
        <v>0</v>
      </c>
      <c r="I2063" s="348">
        <f>W1343-W1342</f>
        <v>0</v>
      </c>
      <c r="J2063" s="348">
        <f>Z1343-Z1342</f>
        <v>0</v>
      </c>
      <c r="L2063" s="348"/>
      <c r="M2063" s="348"/>
    </row>
    <row r="2064" spans="1:13">
      <c r="A2064" s="113" t="s">
        <v>423</v>
      </c>
      <c r="B2064" s="348">
        <f>B1344-B1340</f>
        <v>0</v>
      </c>
      <c r="C2064" s="348">
        <f>E1344-E1340</f>
        <v>0</v>
      </c>
      <c r="D2064" s="348">
        <f>H1344-H1340</f>
        <v>0</v>
      </c>
      <c r="E2064" s="348">
        <f>K1344-K1340</f>
        <v>-1.7098995749907989E-8</v>
      </c>
      <c r="F2064" s="348">
        <f>N1344-N1340</f>
        <v>0</v>
      </c>
      <c r="G2064" s="348">
        <f>Q1344-Q1340</f>
        <v>0</v>
      </c>
      <c r="H2064" s="348">
        <f>T1344-T1340</f>
        <v>0</v>
      </c>
      <c r="I2064" s="348">
        <f>W1344-W1340</f>
        <v>0</v>
      </c>
      <c r="J2064" s="348">
        <f>Z1344-Z1340</f>
        <v>0</v>
      </c>
      <c r="L2064" s="348"/>
      <c r="M2064" s="348"/>
    </row>
    <row r="2065" spans="1:13">
      <c r="A2065" s="113" t="s">
        <v>424</v>
      </c>
      <c r="B2065" s="348">
        <f>B1343-B1344</f>
        <v>0</v>
      </c>
      <c r="C2065" s="348">
        <f>E1343-E1344</f>
        <v>0</v>
      </c>
      <c r="D2065" s="348">
        <f>H1343-H1344</f>
        <v>0</v>
      </c>
      <c r="E2065" s="348">
        <f>K1343-K1344</f>
        <v>0</v>
      </c>
      <c r="F2065" s="348">
        <f>N1343-N1344</f>
        <v>0</v>
      </c>
      <c r="G2065" s="348">
        <f>Q1343-Q1344</f>
        <v>0</v>
      </c>
      <c r="H2065" s="348">
        <f>T1343-T1344</f>
        <v>0</v>
      </c>
      <c r="I2065" s="348">
        <f>W1343-W1344</f>
        <v>0</v>
      </c>
      <c r="J2065" s="348">
        <f>Z1343-Z1344</f>
        <v>0</v>
      </c>
      <c r="L2065" s="348"/>
      <c r="M2065" s="348"/>
    </row>
    <row r="2066" spans="1:13">
      <c r="A2066" s="2" t="s">
        <v>298</v>
      </c>
      <c r="B2066" s="348">
        <f>B1345-B1340</f>
        <v>0</v>
      </c>
      <c r="C2066" s="348">
        <f>E1345-E1340</f>
        <v>0</v>
      </c>
      <c r="D2066" s="348">
        <f>H1345-H1340</f>
        <v>0</v>
      </c>
      <c r="E2066" s="348">
        <f>K1345-K1340</f>
        <v>0</v>
      </c>
      <c r="F2066" s="348">
        <f>N1345-N1340</f>
        <v>0</v>
      </c>
      <c r="G2066" s="348">
        <f>Q1345-Q1340</f>
        <v>0</v>
      </c>
      <c r="H2066" s="348">
        <f>T1345-T1340</f>
        <v>0</v>
      </c>
      <c r="I2066" s="348">
        <f>W1345-W1340</f>
        <v>0</v>
      </c>
      <c r="J2066" s="348">
        <f>Z1345-Z1340</f>
        <v>0</v>
      </c>
      <c r="L2066" s="348"/>
      <c r="M2066" s="348"/>
    </row>
    <row r="2067" spans="1:13">
      <c r="A2067" s="2" t="s">
        <v>299</v>
      </c>
      <c r="B2067" s="348">
        <f>B1346-B1340</f>
        <v>0</v>
      </c>
      <c r="C2067" s="348">
        <f>E1346-E1340</f>
        <v>0</v>
      </c>
      <c r="D2067" s="348">
        <f>H1346-H1340</f>
        <v>0</v>
      </c>
      <c r="E2067" s="348">
        <f>K1346-K1340</f>
        <v>-2.2214659799180136E-11</v>
      </c>
      <c r="F2067" s="348">
        <f>N1346-N1340</f>
        <v>0</v>
      </c>
      <c r="G2067" s="348">
        <f>Q1346-Q1340</f>
        <v>0</v>
      </c>
      <c r="H2067" s="348">
        <f>T1346-T1340</f>
        <v>0</v>
      </c>
      <c r="I2067" s="348">
        <f>W1346-W1340</f>
        <v>0</v>
      </c>
      <c r="J2067" s="348">
        <f>Z1346-Z1340</f>
        <v>0</v>
      </c>
      <c r="L2067" s="348"/>
      <c r="M2067" s="348"/>
    </row>
    <row r="2068" spans="1:13">
      <c r="A2068" s="2" t="s">
        <v>300</v>
      </c>
      <c r="B2068" s="348">
        <f>B1347-B1340</f>
        <v>0</v>
      </c>
      <c r="C2068" s="348">
        <f>E1347-E1340</f>
        <v>0</v>
      </c>
      <c r="D2068" s="348">
        <f>H1347-H1340</f>
        <v>0</v>
      </c>
      <c r="E2068" s="348">
        <f>K1347-K1340</f>
        <v>3.093090020223066E-12</v>
      </c>
      <c r="F2068" s="348">
        <f>N1347-N1340</f>
        <v>-1.9680000000000001E-3</v>
      </c>
      <c r="G2068" s="348">
        <f>Q1347-Q1340</f>
        <v>0</v>
      </c>
      <c r="H2068" s="348">
        <f>T1347-T1340</f>
        <v>0</v>
      </c>
      <c r="I2068" s="348">
        <f>W1347-W1340</f>
        <v>0</v>
      </c>
      <c r="J2068" s="348">
        <f>Z1347-Z1340</f>
        <v>0</v>
      </c>
      <c r="L2068" s="348"/>
      <c r="M2068" s="348"/>
    </row>
    <row r="2069" spans="1:13">
      <c r="A2069" s="2" t="s">
        <v>306</v>
      </c>
      <c r="B2069" s="348">
        <f>B1348-B1340</f>
        <v>0</v>
      </c>
      <c r="C2069" s="348">
        <f>E1348-E1340</f>
        <v>0</v>
      </c>
      <c r="D2069" s="348">
        <f>H1348-H1340</f>
        <v>0</v>
      </c>
      <c r="E2069" s="348">
        <f>K1348-K1340</f>
        <v>2.4277801990990611E-12</v>
      </c>
      <c r="F2069" s="348">
        <f>N1348-N1340</f>
        <v>-1.9680000000000001E-3</v>
      </c>
      <c r="G2069" s="348">
        <f>Q1348-Q1340</f>
        <v>0</v>
      </c>
      <c r="H2069" s="348">
        <f>T1348-T1340</f>
        <v>0</v>
      </c>
      <c r="I2069" s="348">
        <f>W1348-W1340</f>
        <v>0</v>
      </c>
      <c r="J2069" s="348">
        <f>Z1348-Z1340</f>
        <v>0</v>
      </c>
      <c r="L2069" s="348"/>
      <c r="M2069" s="348"/>
    </row>
    <row r="2070" spans="1:13">
      <c r="A2070" s="2" t="s">
        <v>307</v>
      </c>
      <c r="B2070" s="348">
        <f>B1349-B1340</f>
        <v>0</v>
      </c>
      <c r="C2070" s="348">
        <f>E1349-E1340</f>
        <v>0</v>
      </c>
      <c r="D2070" s="348">
        <f>H1349-H1340</f>
        <v>0</v>
      </c>
      <c r="E2070" s="348">
        <f>K1349-K1340</f>
        <v>-7.6946999119642534E-13</v>
      </c>
      <c r="F2070" s="348">
        <f>N1349-N1340</f>
        <v>-1.9680000000000001E-3</v>
      </c>
      <c r="G2070" s="348">
        <f>Q1349-Q1340</f>
        <v>0</v>
      </c>
      <c r="H2070" s="348">
        <f>T1349-T1340</f>
        <v>0</v>
      </c>
      <c r="I2070" s="348">
        <f>W1349-W1340</f>
        <v>0</v>
      </c>
      <c r="J2070" s="348">
        <f>Z1349-Z1340</f>
        <v>0</v>
      </c>
      <c r="L2070" s="348"/>
      <c r="M2070" s="348"/>
    </row>
    <row r="2071" spans="1:13">
      <c r="A2071" s="2" t="s">
        <v>308</v>
      </c>
      <c r="B2071" s="348">
        <f>B1350-B1340</f>
        <v>0</v>
      </c>
      <c r="C2071" s="348">
        <f>E1350-E1340</f>
        <v>0</v>
      </c>
      <c r="D2071" s="348">
        <f>H1350-H1340</f>
        <v>0</v>
      </c>
      <c r="E2071" s="348">
        <f>K1350-K1340</f>
        <v>3.093090020223066E-12</v>
      </c>
      <c r="F2071" s="348">
        <f>N1350-N1340</f>
        <v>-1.9680000000000001E-3</v>
      </c>
      <c r="G2071" s="348">
        <f>Q1350-Q1340</f>
        <v>0</v>
      </c>
      <c r="H2071" s="348">
        <f>T1350-T1340</f>
        <v>0</v>
      </c>
      <c r="I2071" s="348">
        <f>W1350-W1340</f>
        <v>0</v>
      </c>
      <c r="J2071" s="348">
        <f>Z1350-Z1340</f>
        <v>0</v>
      </c>
      <c r="L2071" s="348"/>
      <c r="M2071" s="348"/>
    </row>
    <row r="2072" spans="1:13">
      <c r="A2072" s="2" t="s">
        <v>309</v>
      </c>
      <c r="B2072" s="348">
        <f>B1351-B1340</f>
        <v>0</v>
      </c>
      <c r="C2072" s="348">
        <f>E1351-E1340</f>
        <v>0</v>
      </c>
      <c r="D2072" s="348">
        <f>H1351-H1340</f>
        <v>0</v>
      </c>
      <c r="E2072" s="348">
        <f>K1351-K1340</f>
        <v>-9.3203981858802631E-13</v>
      </c>
      <c r="F2072" s="348">
        <f>N1351-N1340</f>
        <v>-1.9680000000000001E-3</v>
      </c>
      <c r="G2072" s="348">
        <f>Q1351-Q1340</f>
        <v>0</v>
      </c>
      <c r="H2072" s="348">
        <f>T1351-T1340</f>
        <v>0</v>
      </c>
      <c r="I2072" s="348">
        <f>W1351-W1340</f>
        <v>0</v>
      </c>
      <c r="J2072" s="348">
        <f>Z1351-Z1340</f>
        <v>0</v>
      </c>
      <c r="L2072" s="348"/>
      <c r="M2072" s="348"/>
    </row>
    <row r="2073" spans="1:13">
      <c r="A2073" s="2" t="s">
        <v>301</v>
      </c>
      <c r="B2073" s="348">
        <f>B1352-B1340</f>
        <v>4.9507099999999997E-3</v>
      </c>
      <c r="C2073" s="348">
        <f>E1352-E1340</f>
        <v>-1.6999999999999999E-3</v>
      </c>
      <c r="D2073" s="348">
        <f>H1352-H1340</f>
        <v>-1.6999999999999999E-3</v>
      </c>
      <c r="E2073" s="348">
        <f>K1352-K1340</f>
        <v>5.0315899974096604E-3</v>
      </c>
      <c r="F2073" s="348">
        <f>N1352-N1340</f>
        <v>4.9399999999999999E-3</v>
      </c>
      <c r="G2073" s="348">
        <f>Q1352-Q1340</f>
        <v>8.3300000000000006E-3</v>
      </c>
      <c r="H2073" s="348">
        <f>T1352-T1340</f>
        <v>0</v>
      </c>
      <c r="I2073" s="348">
        <f>W1352-W1340</f>
        <v>0</v>
      </c>
      <c r="J2073" s="348">
        <f>Z1352-Z1340</f>
        <v>0</v>
      </c>
      <c r="L2073" s="348"/>
      <c r="M2073" s="348"/>
    </row>
    <row r="2074" spans="1:13">
      <c r="A2074" s="2" t="s">
        <v>302</v>
      </c>
      <c r="B2074" s="348">
        <f>B1353-B1352</f>
        <v>0</v>
      </c>
      <c r="C2074" s="348">
        <f>E1353-E1352</f>
        <v>0</v>
      </c>
      <c r="D2074" s="348">
        <f>H1353-H1352</f>
        <v>0</v>
      </c>
      <c r="E2074" s="348">
        <f>K1353-K1352</f>
        <v>0</v>
      </c>
      <c r="F2074" s="348">
        <f>N1353-N1352</f>
        <v>0</v>
      </c>
      <c r="G2074" s="348">
        <f>Q1353-Q1352</f>
        <v>2.0000000000000052E-4</v>
      </c>
      <c r="H2074" s="348">
        <f>T1353-T1352</f>
        <v>0</v>
      </c>
      <c r="I2074" s="348">
        <f>W1353-W1352</f>
        <v>0</v>
      </c>
      <c r="J2074" s="348">
        <f>Z1353-Z1352</f>
        <v>0</v>
      </c>
      <c r="L2074" s="348"/>
      <c r="M2074" s="348"/>
    </row>
    <row r="2075" spans="1:13">
      <c r="A2075" s="2" t="s">
        <v>303</v>
      </c>
      <c r="B2075" s="348">
        <f>B1356-B1354</f>
        <v>7.3265999999999956E-4</v>
      </c>
      <c r="C2075" s="348">
        <f>E1356-E1354</f>
        <v>0</v>
      </c>
      <c r="D2075" s="348">
        <f>H1356-H1354</f>
        <v>0</v>
      </c>
      <c r="E2075" s="348">
        <f>K1356-K1354</f>
        <v>5.3198549017076033E-4</v>
      </c>
      <c r="F2075" s="348">
        <f>N1356-N1354</f>
        <v>3.8399999999999979E-4</v>
      </c>
      <c r="G2075" s="348">
        <f>Q1356-Q1354</f>
        <v>8.830000000000001E-3</v>
      </c>
      <c r="H2075" s="348">
        <f>T1356-T1354</f>
        <v>0</v>
      </c>
      <c r="I2075" s="348">
        <f>W1356-W1354</f>
        <v>0</v>
      </c>
      <c r="J2075" s="348">
        <f>Z1356-Z1354</f>
        <v>0</v>
      </c>
      <c r="L2075" s="348"/>
      <c r="M2075" s="348"/>
    </row>
    <row r="2076" spans="1:13">
      <c r="A2076" s="2" t="s">
        <v>304</v>
      </c>
      <c r="B2076" s="348">
        <f>B1357-B1352</f>
        <v>-6.1958999999999972E-4</v>
      </c>
      <c r="C2076" s="348">
        <f>E1357-E1352</f>
        <v>0</v>
      </c>
      <c r="D2076" s="348">
        <f>H1357-H1352</f>
        <v>0</v>
      </c>
      <c r="E2076" s="348">
        <f>K1357-K1352</f>
        <v>-5.1755768053770006E-4</v>
      </c>
      <c r="F2076" s="348">
        <f>N1357-N1352</f>
        <v>-1.4540000000000004E-3</v>
      </c>
      <c r="G2076" s="348">
        <f>Q1357-Q1352</f>
        <v>-3.6700000000000005E-3</v>
      </c>
      <c r="H2076" s="348">
        <f>T1357-T1352</f>
        <v>0</v>
      </c>
      <c r="I2076" s="348">
        <f>W1357-W1352</f>
        <v>0</v>
      </c>
      <c r="J2076" s="348">
        <f>Z1357-Z1352</f>
        <v>0</v>
      </c>
      <c r="L2076" s="348"/>
      <c r="M2076" s="348"/>
    </row>
    <row r="2077" spans="1:13">
      <c r="A2077" s="2" t="s">
        <v>305</v>
      </c>
      <c r="B2077" s="348">
        <f>B1359-B1358</f>
        <v>2.0983399999999998E-3</v>
      </c>
      <c r="C2077" s="348">
        <f>E1359-E1358</f>
        <v>0</v>
      </c>
      <c r="D2077" s="348">
        <f>H1359-H1358</f>
        <v>0</v>
      </c>
      <c r="E2077" s="348">
        <f>K1359-K1358</f>
        <v>2.9797530506810903E-3</v>
      </c>
      <c r="F2077" s="348">
        <f>N1359-N1358</f>
        <v>3.4320000000000002E-3</v>
      </c>
      <c r="G2077" s="348">
        <f>Q1359-Q1358</f>
        <v>2.8000000000000004E-3</v>
      </c>
      <c r="H2077" s="348">
        <f>T1359-T1358</f>
        <v>0</v>
      </c>
      <c r="I2077" s="348">
        <f>W1359-W1358</f>
        <v>0</v>
      </c>
      <c r="J2077" s="348">
        <f>Z1359-Z1358</f>
        <v>0</v>
      </c>
      <c r="L2077" s="348"/>
      <c r="M2077" s="348"/>
    </row>
    <row r="2087" spans="1:13">
      <c r="A2087" t="s">
        <v>323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245</v>
      </c>
      <c r="C2089" s="10" t="s">
        <v>257</v>
      </c>
      <c r="D2089" s="10" t="s">
        <v>258</v>
      </c>
      <c r="E2089" s="10" t="s">
        <v>515</v>
      </c>
      <c r="F2089" s="10" t="s">
        <v>373</v>
      </c>
      <c r="G2089" s="10" t="s">
        <v>482</v>
      </c>
      <c r="H2089" s="10" t="s">
        <v>516</v>
      </c>
      <c r="I2089" s="10" t="s">
        <v>517</v>
      </c>
      <c r="J2089" s="10" t="s">
        <v>517</v>
      </c>
    </row>
    <row r="2090" spans="1:13">
      <c r="A2090" s="2" t="s">
        <v>295</v>
      </c>
      <c r="B2090" s="113">
        <f>B1371-B1370</f>
        <v>8.9137000000000057</v>
      </c>
      <c r="C2090" s="113">
        <f>E1371-E1370</f>
        <v>30.830000000000013</v>
      </c>
      <c r="D2090" s="113">
        <f>H1371-H1370</f>
        <v>31.850000000000009</v>
      </c>
      <c r="E2090" s="113">
        <f>K1371-K1370</f>
        <v>10.149312913250498</v>
      </c>
      <c r="F2090" s="113">
        <f>N1371-N1370</f>
        <v>9</v>
      </c>
      <c r="G2090" s="113">
        <f>Q1371-Q1370</f>
        <v>10.75</v>
      </c>
      <c r="H2090" s="113">
        <f>T1371-T1370</f>
        <v>0</v>
      </c>
      <c r="I2090" s="113">
        <f>W1371-W1370</f>
        <v>0</v>
      </c>
      <c r="J2090" s="113">
        <f>Z1371-Z1370</f>
        <v>0</v>
      </c>
      <c r="L2090" s="113"/>
      <c r="M2090" s="113"/>
    </row>
    <row r="2091" spans="1:13">
      <c r="A2091" s="2" t="s">
        <v>296</v>
      </c>
      <c r="B2091" s="113">
        <f>B1372-B1370</f>
        <v>13.046600000000012</v>
      </c>
      <c r="C2091" s="113">
        <f>E1372-E1370</f>
        <v>14.060000000000002</v>
      </c>
      <c r="D2091" s="113">
        <f>H1372-H1370</f>
        <v>14.820000000000007</v>
      </c>
      <c r="E2091" s="113">
        <f>K1372-K1370</f>
        <v>14.938765335370505</v>
      </c>
      <c r="F2091" s="113">
        <f>N1372-N1370</f>
        <v>15</v>
      </c>
      <c r="G2091" s="113">
        <f>Q1372-Q1370</f>
        <v>14.439999999999998</v>
      </c>
      <c r="H2091" s="113">
        <f>T1372-T1370</f>
        <v>0</v>
      </c>
      <c r="I2091" s="113">
        <f>W1372-W1370</f>
        <v>0</v>
      </c>
      <c r="J2091" s="113">
        <f>Z1372-Z1370</f>
        <v>0</v>
      </c>
      <c r="L2091" s="113"/>
      <c r="M2091" s="113"/>
    </row>
    <row r="2092" spans="1:13">
      <c r="A2092" s="2" t="s">
        <v>297</v>
      </c>
      <c r="B2092" s="113">
        <f>B1373-B1370</f>
        <v>7.8699000000000012</v>
      </c>
      <c r="C2092" s="113">
        <f>E1373-E1370</f>
        <v>9.11</v>
      </c>
      <c r="D2092" s="113">
        <f>H1373-H1370</f>
        <v>9.0900000000000034</v>
      </c>
      <c r="E2092" s="113">
        <f>K1373-K1370</f>
        <v>8.8624655632507938</v>
      </c>
      <c r="F2092" s="113">
        <f>N1373-N1370</f>
        <v>8</v>
      </c>
      <c r="G2092" s="113">
        <f>Q1373-Q1370</f>
        <v>11.260000000000005</v>
      </c>
      <c r="H2092" s="113">
        <f>T1373-T1370</f>
        <v>0</v>
      </c>
      <c r="I2092" s="113">
        <f>W1373-W1370</f>
        <v>0</v>
      </c>
      <c r="J2092" s="113">
        <f>Z1373-Z1370</f>
        <v>0</v>
      </c>
      <c r="L2092" s="113"/>
      <c r="M2092" s="113"/>
    </row>
    <row r="2093" spans="1:13">
      <c r="A2093" s="113" t="s">
        <v>422</v>
      </c>
      <c r="B2093" s="113">
        <f>B1373-B1372</f>
        <v>-5.176700000000011</v>
      </c>
      <c r="C2093" s="113">
        <f>E1373-E1372</f>
        <v>-4.9500000000000028</v>
      </c>
      <c r="D2093" s="113">
        <f>H1373-H1372</f>
        <v>-5.730000000000004</v>
      </c>
      <c r="E2093" s="113">
        <f>K1373-K1372</f>
        <v>-6.076299772119711</v>
      </c>
      <c r="F2093" s="113">
        <f>N1373-N1372</f>
        <v>-7</v>
      </c>
      <c r="G2093" s="113">
        <f>Q1373-Q1372</f>
        <v>-3.1799999999999926</v>
      </c>
      <c r="H2093" s="113">
        <f>T1373-T1372</f>
        <v>0</v>
      </c>
      <c r="I2093" s="113">
        <f>W1373-W1372</f>
        <v>0</v>
      </c>
      <c r="J2093" s="113">
        <f>Z1373-Z1372</f>
        <v>0</v>
      </c>
      <c r="L2093" s="113"/>
      <c r="M2093" s="113"/>
    </row>
    <row r="2094" spans="1:13">
      <c r="A2094" s="113" t="s">
        <v>423</v>
      </c>
      <c r="B2094" s="113">
        <f>B1374-B1370</f>
        <v>11.140100000000004</v>
      </c>
      <c r="C2094" s="113">
        <f>E1374-E1370</f>
        <v>12.02000000000001</v>
      </c>
      <c r="D2094" s="113">
        <f>H1374-H1370</f>
        <v>12.410000000000011</v>
      </c>
      <c r="E2094" s="113">
        <f>K1374-K1370</f>
        <v>12.769080055972296</v>
      </c>
      <c r="F2094" s="113">
        <f>N1374-N1370</f>
        <v>12</v>
      </c>
      <c r="G2094" s="113">
        <f>Q1374-Q1370</f>
        <v>12.810000000000002</v>
      </c>
      <c r="H2094" s="113">
        <f>T1374-T1370</f>
        <v>0</v>
      </c>
      <c r="I2094" s="113">
        <f>W1374-W1370</f>
        <v>0</v>
      </c>
      <c r="J2094" s="113">
        <f>Z1374-Z1370</f>
        <v>0</v>
      </c>
      <c r="L2094" s="113"/>
      <c r="M2094" s="113"/>
    </row>
    <row r="2095" spans="1:13">
      <c r="A2095" s="113" t="s">
        <v>424</v>
      </c>
      <c r="B2095" s="113">
        <f>B1373-B1374</f>
        <v>-3.2702000000000027</v>
      </c>
      <c r="C2095" s="113">
        <f>E1373-E1374</f>
        <v>-2.9100000000000108</v>
      </c>
      <c r="D2095" s="113">
        <f>H1373-H1374</f>
        <v>-3.3200000000000074</v>
      </c>
      <c r="E2095" s="113">
        <f>K1373-K1374</f>
        <v>-3.9066144927215021</v>
      </c>
      <c r="F2095" s="113">
        <f>N1373-N1374</f>
        <v>-4</v>
      </c>
      <c r="G2095" s="113">
        <f>Q1373-Q1374</f>
        <v>-1.5499999999999972</v>
      </c>
      <c r="H2095" s="113">
        <f>T1373-T1374</f>
        <v>0</v>
      </c>
      <c r="I2095" s="113">
        <f>W1373-W1374</f>
        <v>0</v>
      </c>
      <c r="J2095" s="113">
        <f>Z1373-Z1374</f>
        <v>0</v>
      </c>
      <c r="L2095" s="113"/>
      <c r="M2095" s="113"/>
    </row>
    <row r="2096" spans="1:13">
      <c r="A2096" s="2" t="s">
        <v>298</v>
      </c>
      <c r="B2096" s="113">
        <f>B1375-B1370</f>
        <v>0</v>
      </c>
      <c r="C2096" s="113">
        <f>E1375-E1370</f>
        <v>11.77000000000001</v>
      </c>
      <c r="D2096" s="113">
        <f>H1375-H1370</f>
        <v>12.27000000000001</v>
      </c>
      <c r="E2096" s="113">
        <f>K1375-K1370</f>
        <v>0</v>
      </c>
      <c r="F2096" s="113">
        <f>N1375-N1370</f>
        <v>2</v>
      </c>
      <c r="G2096" s="113">
        <f>Q1375-Q1370</f>
        <v>5.210000000000008</v>
      </c>
      <c r="H2096" s="113">
        <f>T1375-T1370</f>
        <v>0</v>
      </c>
      <c r="I2096" s="113">
        <f>W1375-W1370</f>
        <v>0</v>
      </c>
      <c r="J2096" s="113">
        <f>Z1375-Z1370</f>
        <v>0</v>
      </c>
      <c r="L2096" s="113"/>
      <c r="M2096" s="113"/>
    </row>
    <row r="2097" spans="1:13">
      <c r="A2097" s="2" t="s">
        <v>299</v>
      </c>
      <c r="B2097" s="113">
        <f>B1376-B1370</f>
        <v>0</v>
      </c>
      <c r="C2097" s="113">
        <f>E1376-E1370</f>
        <v>0</v>
      </c>
      <c r="D2097" s="113">
        <f>H1376-H1370</f>
        <v>0</v>
      </c>
      <c r="E2097" s="113">
        <f>K1376-K1370</f>
        <v>-1.7286275519268202E-4</v>
      </c>
      <c r="F2097" s="113">
        <f>N1376-N1370</f>
        <v>0</v>
      </c>
      <c r="G2097" s="113">
        <f>Q1376-Q1370</f>
        <v>0</v>
      </c>
      <c r="H2097" s="113">
        <f>T1376-T1370</f>
        <v>0</v>
      </c>
      <c r="I2097" s="113">
        <f>W1376-W1370</f>
        <v>0</v>
      </c>
      <c r="J2097" s="113">
        <f>Z1376-Z1370</f>
        <v>0</v>
      </c>
      <c r="L2097" s="113"/>
      <c r="M2097" s="113"/>
    </row>
    <row r="2098" spans="1:13">
      <c r="A2098" s="2" t="s">
        <v>300</v>
      </c>
      <c r="B2098" s="113">
        <f>B1377-B1370</f>
        <v>14.964200000000005</v>
      </c>
      <c r="C2098" s="113">
        <f>E1377-E1370</f>
        <v>16.22</v>
      </c>
      <c r="D2098" s="113">
        <f>H1377-H1370</f>
        <v>16.72</v>
      </c>
      <c r="E2098" s="113">
        <f>K1377-K1370</f>
        <v>16.855962498663402</v>
      </c>
      <c r="F2098" s="113">
        <f>N1377-N1370</f>
        <v>-68</v>
      </c>
      <c r="G2098" s="113">
        <f>Q1377-Q1370</f>
        <v>18.870000000000005</v>
      </c>
      <c r="H2098" s="113">
        <f>T1377-T1370</f>
        <v>0</v>
      </c>
      <c r="I2098" s="113">
        <f>W1377-W1370</f>
        <v>0</v>
      </c>
      <c r="J2098" s="113">
        <f>Z1377-Z1370</f>
        <v>0</v>
      </c>
      <c r="L2098" s="113"/>
      <c r="M2098" s="113"/>
    </row>
    <row r="2099" spans="1:13">
      <c r="A2099" s="2" t="s">
        <v>306</v>
      </c>
      <c r="B2099" s="113">
        <f>B1378-B1370</f>
        <v>14.435500000000005</v>
      </c>
      <c r="C2099" s="113">
        <f>E1378-E1370</f>
        <v>15.440000000000012</v>
      </c>
      <c r="D2099" s="113">
        <f>H1378-H1370</f>
        <v>15.940000000000012</v>
      </c>
      <c r="E2099" s="113">
        <f>K1378-K1370</f>
        <v>14.592639702021998</v>
      </c>
      <c r="F2099" s="113">
        <f>N1378-N1370</f>
        <v>-68</v>
      </c>
      <c r="G2099" s="113">
        <f>Q1378-Q1370</f>
        <v>18.740000000000009</v>
      </c>
      <c r="H2099" s="113">
        <f>T1378-T1370</f>
        <v>0</v>
      </c>
      <c r="I2099" s="113">
        <f>W1378-W1370</f>
        <v>0</v>
      </c>
      <c r="J2099" s="113">
        <f>Z1378-Z1370</f>
        <v>0</v>
      </c>
      <c r="L2099" s="113"/>
      <c r="M2099" s="113"/>
    </row>
    <row r="2100" spans="1:13">
      <c r="A2100" s="2" t="s">
        <v>307</v>
      </c>
      <c r="B2100" s="113">
        <f>B1379-B1370</f>
        <v>2.0519000000000034</v>
      </c>
      <c r="C2100" s="113">
        <f>E1379-E1370</f>
        <v>5.1600000000000108</v>
      </c>
      <c r="D2100" s="113">
        <f>H1379-H1370</f>
        <v>2.6800000000000068</v>
      </c>
      <c r="E2100" s="113">
        <f>K1379-K1370</f>
        <v>5.5009144928205984</v>
      </c>
      <c r="F2100" s="113">
        <f>N1379-N1370</f>
        <v>-68</v>
      </c>
      <c r="G2100" s="113">
        <f>Q1379-Q1370</f>
        <v>6.4099999999999966</v>
      </c>
      <c r="H2100" s="113">
        <f>T1379-T1370</f>
        <v>0</v>
      </c>
      <c r="I2100" s="113">
        <f>W1379-W1370</f>
        <v>0</v>
      </c>
      <c r="J2100" s="113">
        <f>Z1379-Z1370</f>
        <v>0</v>
      </c>
      <c r="L2100" s="113"/>
      <c r="M2100" s="113"/>
    </row>
    <row r="2101" spans="1:13">
      <c r="A2101" s="2" t="s">
        <v>308</v>
      </c>
      <c r="B2101" s="113">
        <f>B1380-B1370</f>
        <v>11.919499999999999</v>
      </c>
      <c r="C2101" s="113">
        <f>E1380-E1370</f>
        <v>9.0800000000000125</v>
      </c>
      <c r="D2101" s="113">
        <f>H1380-H1370</f>
        <v>9.5800000000000125</v>
      </c>
      <c r="E2101" s="113">
        <f>K1380-K1370</f>
        <v>12.939821561060597</v>
      </c>
      <c r="F2101" s="113">
        <f>N1380-N1370</f>
        <v>-68</v>
      </c>
      <c r="G2101" s="113">
        <f>Q1380-Q1370</f>
        <v>11.5</v>
      </c>
      <c r="H2101" s="113">
        <f>T1380-T1370</f>
        <v>0</v>
      </c>
      <c r="I2101" s="113">
        <f>W1380-W1370</f>
        <v>0</v>
      </c>
      <c r="J2101" s="113">
        <f>Z1380-Z1370</f>
        <v>0</v>
      </c>
      <c r="L2101" s="113"/>
      <c r="M2101" s="113"/>
    </row>
    <row r="2102" spans="1:13">
      <c r="A2102" s="2" t="s">
        <v>309</v>
      </c>
      <c r="B2102" s="113">
        <f>B1381-B1370</f>
        <v>-6.4999999999997726E-2</v>
      </c>
      <c r="C2102" s="113">
        <f>E1381-E1370</f>
        <v>0</v>
      </c>
      <c r="D2102" s="113">
        <f>H1381-H1370</f>
        <v>0</v>
      </c>
      <c r="E2102" s="113">
        <f>K1381-K1370</f>
        <v>8.1633970694383606E-9</v>
      </c>
      <c r="F2102" s="113">
        <f>N1381-N1370</f>
        <v>-68</v>
      </c>
      <c r="G2102" s="113">
        <f>Q1381-Q1370</f>
        <v>7.000000000000739E-2</v>
      </c>
      <c r="H2102" s="113">
        <f>T1381-T1370</f>
        <v>0</v>
      </c>
      <c r="I2102" s="113">
        <f>W1381-W1370</f>
        <v>0</v>
      </c>
      <c r="J2102" s="113">
        <f>Z1381-Z1370</f>
        <v>0</v>
      </c>
      <c r="L2102" s="113"/>
      <c r="M2102" s="113"/>
    </row>
    <row r="2103" spans="1:13">
      <c r="A2103" s="2" t="s">
        <v>301</v>
      </c>
      <c r="B2103" s="113">
        <f>B1382-B1370</f>
        <v>31.210800000000006</v>
      </c>
      <c r="C2103" s="113">
        <f>E1382-E1370</f>
        <v>-69.349999999999994</v>
      </c>
      <c r="D2103" s="113">
        <f>H1382-H1370</f>
        <v>-68.849999999999994</v>
      </c>
      <c r="E2103" s="113">
        <f>K1382-K1370</f>
        <v>32.223834515069001</v>
      </c>
      <c r="F2103" s="113">
        <f>N1382-N1370</f>
        <v>32</v>
      </c>
      <c r="G2103" s="113">
        <f>Q1382-Q1370</f>
        <v>-7.3599999999999994</v>
      </c>
      <c r="H2103" s="113">
        <f>T1382-T1370</f>
        <v>0</v>
      </c>
      <c r="I2103" s="113">
        <f>W1382-W1370</f>
        <v>0</v>
      </c>
      <c r="J2103" s="113">
        <f>Z1382-Z1370</f>
        <v>0</v>
      </c>
      <c r="L2103" s="113"/>
      <c r="M2103" s="113"/>
    </row>
    <row r="2104" spans="1:13">
      <c r="A2104" s="2" t="s">
        <v>302</v>
      </c>
      <c r="B2104" s="113">
        <f>B1383-B1382</f>
        <v>0</v>
      </c>
      <c r="C2104" s="113">
        <f>E1383-E1382</f>
        <v>0</v>
      </c>
      <c r="D2104" s="113">
        <f>H1383-H1382</f>
        <v>0</v>
      </c>
      <c r="E2104" s="113">
        <f>K1383-K1382</f>
        <v>0</v>
      </c>
      <c r="F2104" s="113">
        <f>N1383-N1382</f>
        <v>0</v>
      </c>
      <c r="G2104" s="113">
        <f>Q1383-Q1382</f>
        <v>-2.5700000000000003</v>
      </c>
      <c r="H2104" s="113">
        <f>T1383-T1382</f>
        <v>0</v>
      </c>
      <c r="I2104" s="113">
        <f>W1383-W1382</f>
        <v>0</v>
      </c>
      <c r="J2104" s="113">
        <f>Z1383-Z1382</f>
        <v>0</v>
      </c>
      <c r="L2104" s="113"/>
      <c r="M2104" s="113"/>
    </row>
    <row r="2105" spans="1:13">
      <c r="A2105" s="2" t="s">
        <v>303</v>
      </c>
      <c r="B2105" s="113">
        <f>B1386-B1384</f>
        <v>9.7700999999999993</v>
      </c>
      <c r="C2105" s="113">
        <f>E1386-E1384</f>
        <v>0</v>
      </c>
      <c r="D2105" s="113">
        <f>H1386-H1384</f>
        <v>0</v>
      </c>
      <c r="E2105" s="113">
        <f>K1386-K1384</f>
        <v>6.3958273547321056</v>
      </c>
      <c r="F2105" s="113">
        <f>N1386-N1384</f>
        <v>5</v>
      </c>
      <c r="G2105" s="113">
        <f>Q1386-Q1384</f>
        <v>-20.65</v>
      </c>
      <c r="H2105" s="113">
        <f>T1386-T1384</f>
        <v>0</v>
      </c>
      <c r="I2105" s="113">
        <f>W1386-W1384</f>
        <v>0</v>
      </c>
      <c r="J2105" s="113">
        <f>Z1386-Z1384</f>
        <v>0</v>
      </c>
      <c r="L2105" s="113"/>
      <c r="M2105" s="113"/>
    </row>
    <row r="2106" spans="1:13">
      <c r="A2106" s="2" t="s">
        <v>304</v>
      </c>
      <c r="B2106" s="113">
        <f>B1387-B1382</f>
        <v>-8.9555000000000007</v>
      </c>
      <c r="C2106" s="113">
        <f>E1387-E1382</f>
        <v>0</v>
      </c>
      <c r="D2106" s="113">
        <f>H1387-H1382</f>
        <v>0</v>
      </c>
      <c r="E2106" s="113">
        <f>K1387-K1382</f>
        <v>-8.3019601112615931</v>
      </c>
      <c r="F2106" s="113">
        <f>N1387-N1382</f>
        <v>-21</v>
      </c>
      <c r="G2106" s="113">
        <f>Q1387-Q1382</f>
        <v>-24.07</v>
      </c>
      <c r="H2106" s="113">
        <f>T1387-T1382</f>
        <v>0</v>
      </c>
      <c r="I2106" s="113">
        <f>W1387-W1382</f>
        <v>0</v>
      </c>
      <c r="J2106" s="113">
        <f>Z1387-Z1382</f>
        <v>0</v>
      </c>
      <c r="L2106" s="113"/>
      <c r="M2106" s="113"/>
    </row>
    <row r="2107" spans="1:13">
      <c r="A2107" s="2" t="s">
        <v>305</v>
      </c>
      <c r="B2107" s="113">
        <f>B1389-B1388</f>
        <v>29.602200000000003</v>
      </c>
      <c r="C2107" s="113">
        <f>E1389-E1388</f>
        <v>0</v>
      </c>
      <c r="D2107" s="113">
        <f>H1389-H1388</f>
        <v>0</v>
      </c>
      <c r="E2107" s="113">
        <f>K1389-K1388</f>
        <v>41.218246396649896</v>
      </c>
      <c r="F2107" s="113">
        <f>N1389-N1388</f>
        <v>50</v>
      </c>
      <c r="G2107" s="113">
        <f>Q1389-Q1388</f>
        <v>-15.82</v>
      </c>
      <c r="H2107" s="113">
        <f>T1389-T1388</f>
        <v>0</v>
      </c>
      <c r="I2107" s="113">
        <f>W1389-W1388</f>
        <v>0</v>
      </c>
      <c r="J2107" s="113">
        <f>Z1389-Z1388</f>
        <v>0</v>
      </c>
      <c r="L2107" s="113"/>
      <c r="M2107" s="113"/>
    </row>
    <row r="2117" spans="1:13">
      <c r="A2117" t="s">
        <v>324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245</v>
      </c>
      <c r="C2119" s="10" t="s">
        <v>257</v>
      </c>
      <c r="D2119" s="10" t="s">
        <v>258</v>
      </c>
      <c r="E2119" s="10" t="s">
        <v>515</v>
      </c>
      <c r="F2119" s="10" t="s">
        <v>373</v>
      </c>
      <c r="G2119" s="10" t="s">
        <v>482</v>
      </c>
      <c r="H2119" s="10" t="s">
        <v>516</v>
      </c>
      <c r="I2119" s="10" t="s">
        <v>517</v>
      </c>
      <c r="J2119" s="10" t="s">
        <v>517</v>
      </c>
    </row>
    <row r="2120" spans="1:13">
      <c r="A2120" s="2" t="s">
        <v>295</v>
      </c>
      <c r="B2120" s="113">
        <f>B1401-B1400</f>
        <v>5.8599999999998431E-2</v>
      </c>
      <c r="C2120" s="113">
        <f>E1401-E1400</f>
        <v>0</v>
      </c>
      <c r="D2120" s="113">
        <f>H1401-H1400</f>
        <v>0</v>
      </c>
      <c r="E2120" s="113">
        <f>K1401-K1400</f>
        <v>1.0831938622639008</v>
      </c>
      <c r="F2120" s="113">
        <f>N1401-N1400</f>
        <v>1</v>
      </c>
      <c r="G2120" s="113">
        <f>Q1401-Q1400</f>
        <v>0.99000000000000021</v>
      </c>
      <c r="H2120" s="113">
        <f>T1401-T1400</f>
        <v>0</v>
      </c>
      <c r="I2120" s="113">
        <f>W1401-W1400</f>
        <v>0</v>
      </c>
      <c r="J2120" s="113">
        <f>Z1401-Z1400</f>
        <v>0</v>
      </c>
      <c r="L2120" s="113"/>
      <c r="M2120" s="113"/>
    </row>
    <row r="2121" spans="1:13">
      <c r="A2121" s="2" t="s">
        <v>296</v>
      </c>
      <c r="B2121" s="113">
        <f>B1402-B1400</f>
        <v>0</v>
      </c>
      <c r="C2121" s="113">
        <f>E1402-E1400</f>
        <v>0</v>
      </c>
      <c r="D2121" s="113">
        <f>H1402-H1400</f>
        <v>0</v>
      </c>
      <c r="E2121" s="113">
        <f>K1402-K1400</f>
        <v>0.40958801792440092</v>
      </c>
      <c r="F2121" s="113">
        <f>N1402-N1400</f>
        <v>0</v>
      </c>
      <c r="G2121" s="113">
        <f>Q1402-Q1400</f>
        <v>-2.0199999999999996</v>
      </c>
      <c r="H2121" s="113">
        <f>T1402-T1400</f>
        <v>0</v>
      </c>
      <c r="I2121" s="113">
        <f>W1402-W1400</f>
        <v>0</v>
      </c>
      <c r="J2121" s="113">
        <f>Z1402-Z1400</f>
        <v>0</v>
      </c>
      <c r="L2121" s="113"/>
      <c r="M2121" s="113"/>
    </row>
    <row r="2122" spans="1:13">
      <c r="A2122" s="2" t="s">
        <v>297</v>
      </c>
      <c r="B2122" s="113">
        <f>B1403-B1400</f>
        <v>0</v>
      </c>
      <c r="C2122" s="113">
        <f>E1403-E1400</f>
        <v>0</v>
      </c>
      <c r="D2122" s="113">
        <f>H1403-H1400</f>
        <v>0</v>
      </c>
      <c r="E2122" s="113">
        <f>K1403-K1400</f>
        <v>1.1523256510059809E-4</v>
      </c>
      <c r="F2122" s="113">
        <f>N1403-N1400</f>
        <v>0</v>
      </c>
      <c r="G2122" s="113">
        <f>Q1403-Q1400</f>
        <v>0</v>
      </c>
      <c r="H2122" s="113">
        <f>T1403-T1400</f>
        <v>0</v>
      </c>
      <c r="I2122" s="113">
        <f>W1403-W1400</f>
        <v>0</v>
      </c>
      <c r="J2122" s="113">
        <f>Z1403-Z1400</f>
        <v>0</v>
      </c>
      <c r="L2122" s="113"/>
      <c r="M2122" s="113"/>
    </row>
    <row r="2123" spans="1:13">
      <c r="A2123" s="113" t="s">
        <v>422</v>
      </c>
      <c r="B2123" s="113">
        <f>B1403-B1402</f>
        <v>0</v>
      </c>
      <c r="C2123" s="113">
        <f>E1403-E1402</f>
        <v>0</v>
      </c>
      <c r="D2123" s="113">
        <f>H1403-H1402</f>
        <v>0</v>
      </c>
      <c r="E2123" s="113">
        <f>K1403-K1402</f>
        <v>-0.40947278535930032</v>
      </c>
      <c r="F2123" s="113">
        <f>N1403-N1402</f>
        <v>0</v>
      </c>
      <c r="G2123" s="113">
        <f>Q1403-Q1402</f>
        <v>2.0199999999999996</v>
      </c>
      <c r="H2123" s="113">
        <f>T1403-T1402</f>
        <v>0</v>
      </c>
      <c r="I2123" s="113">
        <f>W1403-W1402</f>
        <v>0</v>
      </c>
      <c r="J2123" s="113">
        <f>Z1403-Z1402</f>
        <v>0</v>
      </c>
      <c r="L2123" s="113"/>
      <c r="M2123" s="113"/>
    </row>
    <row r="2124" spans="1:13">
      <c r="A2124" s="113" t="s">
        <v>423</v>
      </c>
      <c r="B2124" s="113">
        <f>B1404-B1400</f>
        <v>0</v>
      </c>
      <c r="C2124" s="113">
        <f>E1404-E1400</f>
        <v>0</v>
      </c>
      <c r="D2124" s="113">
        <f>H1404-H1400</f>
        <v>0</v>
      </c>
      <c r="E2124" s="113">
        <f>K1404-K1400</f>
        <v>1.1523256510059809E-4</v>
      </c>
      <c r="F2124" s="113">
        <f>N1404-N1400</f>
        <v>0</v>
      </c>
      <c r="G2124" s="113">
        <f>Q1404-Q1400</f>
        <v>0</v>
      </c>
      <c r="H2124" s="113">
        <f>T1404-T1400</f>
        <v>0</v>
      </c>
      <c r="I2124" s="113">
        <f>W1404-W1400</f>
        <v>0</v>
      </c>
      <c r="J2124" s="113">
        <f>Z1404-Z1400</f>
        <v>0</v>
      </c>
      <c r="L2124" s="113"/>
      <c r="M2124" s="113"/>
    </row>
    <row r="2125" spans="1:13">
      <c r="A2125" s="113" t="s">
        <v>424</v>
      </c>
      <c r="B2125" s="113">
        <f>B1403-B1404</f>
        <v>0</v>
      </c>
      <c r="C2125" s="113">
        <f>E1403-E1404</f>
        <v>0</v>
      </c>
      <c r="D2125" s="113">
        <f>H1403-H1404</f>
        <v>0</v>
      </c>
      <c r="E2125" s="113">
        <f>K1403-K1404</f>
        <v>0</v>
      </c>
      <c r="F2125" s="113">
        <f>N1403-N1404</f>
        <v>0</v>
      </c>
      <c r="G2125" s="113">
        <f>Q1403-Q1404</f>
        <v>0</v>
      </c>
      <c r="H2125" s="113">
        <f>T1403-T1404</f>
        <v>0</v>
      </c>
      <c r="I2125" s="113">
        <f>W1403-W1404</f>
        <v>0</v>
      </c>
      <c r="J2125" s="113">
        <f>Z1403-Z1404</f>
        <v>0</v>
      </c>
      <c r="L2125" s="113"/>
      <c r="M2125" s="113"/>
    </row>
    <row r="2126" spans="1:13">
      <c r="A2126" s="2" t="s">
        <v>298</v>
      </c>
      <c r="B2126" s="113">
        <f>B1405-B1400</f>
        <v>0</v>
      </c>
      <c r="C2126" s="113">
        <f>E1405-E1400</f>
        <v>0</v>
      </c>
      <c r="D2126" s="113">
        <f>H1405-H1400</f>
        <v>0</v>
      </c>
      <c r="E2126" s="113">
        <f>K1405-K1400</f>
        <v>0</v>
      </c>
      <c r="F2126" s="113">
        <f>N1405-N1400</f>
        <v>0</v>
      </c>
      <c r="G2126" s="113">
        <f>Q1405-Q1400</f>
        <v>0</v>
      </c>
      <c r="H2126" s="113">
        <f>T1405-T1400</f>
        <v>0</v>
      </c>
      <c r="I2126" s="113">
        <f>W1405-W1400</f>
        <v>0</v>
      </c>
      <c r="J2126" s="113">
        <f>Z1405-Z1400</f>
        <v>0</v>
      </c>
      <c r="L2126" s="113"/>
      <c r="M2126" s="113"/>
    </row>
    <row r="2127" spans="1:13">
      <c r="A2127" s="2" t="s">
        <v>299</v>
      </c>
      <c r="B2127" s="113">
        <f>B1406-B1400</f>
        <v>0</v>
      </c>
      <c r="C2127" s="113">
        <f>E1406-E1400</f>
        <v>0</v>
      </c>
      <c r="D2127" s="113">
        <f>H1406-H1400</f>
        <v>0</v>
      </c>
      <c r="E2127" s="113">
        <f>K1406-K1400</f>
        <v>-5.6977901598642688E-5</v>
      </c>
      <c r="F2127" s="113">
        <f>N1406-N1400</f>
        <v>0</v>
      </c>
      <c r="G2127" s="113">
        <f>Q1406-Q1400</f>
        <v>0</v>
      </c>
      <c r="H2127" s="113">
        <f>T1406-T1400</f>
        <v>0</v>
      </c>
      <c r="I2127" s="113">
        <f>W1406-W1400</f>
        <v>0</v>
      </c>
      <c r="J2127" s="113">
        <f>Z1406-Z1400</f>
        <v>0</v>
      </c>
      <c r="L2127" s="113"/>
      <c r="M2127" s="113"/>
    </row>
    <row r="2128" spans="1:13">
      <c r="A2128" s="2" t="s">
        <v>300</v>
      </c>
      <c r="B2128" s="113">
        <f>B1407-B1400</f>
        <v>-0.1222000000000012</v>
      </c>
      <c r="C2128" s="113">
        <f>E1407-E1400</f>
        <v>0</v>
      </c>
      <c r="D2128" s="113">
        <f>H1407-H1400</f>
        <v>0</v>
      </c>
      <c r="E2128" s="113">
        <f>K1407-K1400</f>
        <v>-0.46234494185489972</v>
      </c>
      <c r="F2128" s="113">
        <f>N1407-N1400</f>
        <v>-15</v>
      </c>
      <c r="G2128" s="113">
        <f>Q1407-Q1400</f>
        <v>-0.36999999999999922</v>
      </c>
      <c r="H2128" s="113">
        <f>T1407-T1400</f>
        <v>0</v>
      </c>
      <c r="I2128" s="113">
        <f>W1407-W1400</f>
        <v>0</v>
      </c>
      <c r="J2128" s="113">
        <f>Z1407-Z1400</f>
        <v>0</v>
      </c>
      <c r="L2128" s="113"/>
      <c r="M2128" s="113"/>
    </row>
    <row r="2129" spans="1:13">
      <c r="A2129" s="2" t="s">
        <v>306</v>
      </c>
      <c r="B2129" s="113">
        <f>B1408-B1400</f>
        <v>-0.12210000000000143</v>
      </c>
      <c r="C2129" s="113">
        <f>E1408-E1400</f>
        <v>0</v>
      </c>
      <c r="D2129" s="113">
        <f>H1408-H1400</f>
        <v>0</v>
      </c>
      <c r="E2129" s="113">
        <f>K1408-K1400</f>
        <v>-0.20008622114209906</v>
      </c>
      <c r="F2129" s="113">
        <f>N1408-N1400</f>
        <v>-15</v>
      </c>
      <c r="G2129" s="113">
        <f>Q1408-Q1400</f>
        <v>-0.35999999999999943</v>
      </c>
      <c r="H2129" s="113">
        <f>T1408-T1400</f>
        <v>0</v>
      </c>
      <c r="I2129" s="113">
        <f>W1408-W1400</f>
        <v>0</v>
      </c>
      <c r="J2129" s="113">
        <f>Z1408-Z1400</f>
        <v>0</v>
      </c>
      <c r="L2129" s="113"/>
      <c r="M2129" s="113"/>
    </row>
    <row r="2130" spans="1:13">
      <c r="A2130" s="2" t="s">
        <v>307</v>
      </c>
      <c r="B2130" s="113">
        <f>B1409-B1400</f>
        <v>-0.12130000000000152</v>
      </c>
      <c r="C2130" s="113">
        <f>E1409-E1400</f>
        <v>0</v>
      </c>
      <c r="D2130" s="113">
        <f>H1409-H1400</f>
        <v>0</v>
      </c>
      <c r="E2130" s="113">
        <f>K1409-K1400</f>
        <v>-0.46223752044990007</v>
      </c>
      <c r="F2130" s="113">
        <f>N1409-N1400</f>
        <v>-15</v>
      </c>
      <c r="G2130" s="113">
        <f>Q1409-Q1400</f>
        <v>-0.34999999999999964</v>
      </c>
      <c r="H2130" s="113">
        <f>T1409-T1400</f>
        <v>0</v>
      </c>
      <c r="I2130" s="113">
        <f>W1409-W1400</f>
        <v>0</v>
      </c>
      <c r="J2130" s="113">
        <f>Z1409-Z1400</f>
        <v>0</v>
      </c>
      <c r="L2130" s="113"/>
      <c r="M2130" s="113"/>
    </row>
    <row r="2131" spans="1:13">
      <c r="A2131" s="2" t="s">
        <v>308</v>
      </c>
      <c r="B2131" s="113">
        <f>B1410-B1400</f>
        <v>-0.12340000000000018</v>
      </c>
      <c r="C2131" s="113">
        <f>E1410-E1400</f>
        <v>0</v>
      </c>
      <c r="D2131" s="113">
        <f>H1410-H1400</f>
        <v>0</v>
      </c>
      <c r="E2131" s="113">
        <f>K1410-K1400</f>
        <v>-0.46234511721419835</v>
      </c>
      <c r="F2131" s="113">
        <f>N1410-N1400</f>
        <v>-15</v>
      </c>
      <c r="G2131" s="113">
        <f>Q1410-Q1400</f>
        <v>-0.35999999999999943</v>
      </c>
      <c r="H2131" s="113">
        <f>T1410-T1400</f>
        <v>0</v>
      </c>
      <c r="I2131" s="113">
        <f>W1410-W1400</f>
        <v>0</v>
      </c>
      <c r="J2131" s="113">
        <f>Z1410-Z1400</f>
        <v>0</v>
      </c>
      <c r="L2131" s="113"/>
      <c r="M2131" s="113"/>
    </row>
    <row r="2132" spans="1:13">
      <c r="A2132" s="2" t="s">
        <v>309</v>
      </c>
      <c r="B2132" s="113">
        <f>B1411-B1400</f>
        <v>-0.12430000000000163</v>
      </c>
      <c r="C2132" s="113">
        <f>E1411-E1400</f>
        <v>0</v>
      </c>
      <c r="D2132" s="113">
        <f>H1411-H1400</f>
        <v>0</v>
      </c>
      <c r="E2132" s="113">
        <f>K1411-K1400</f>
        <v>-0.4623472495845995</v>
      </c>
      <c r="F2132" s="113">
        <f>N1411-N1400</f>
        <v>-15</v>
      </c>
      <c r="G2132" s="113">
        <f>Q1411-Q1400</f>
        <v>-0.40000000000000036</v>
      </c>
      <c r="H2132" s="113">
        <f>T1411-T1400</f>
        <v>0</v>
      </c>
      <c r="I2132" s="113">
        <f>W1411-W1400</f>
        <v>0</v>
      </c>
      <c r="J2132" s="113">
        <f>Z1411-Z1400</f>
        <v>0</v>
      </c>
      <c r="L2132" s="113"/>
      <c r="M2132" s="113"/>
    </row>
    <row r="2133" spans="1:13">
      <c r="A2133" s="2" t="s">
        <v>301</v>
      </c>
      <c r="B2133" s="113">
        <f>B1412-B1400</f>
        <v>40.074199999999998</v>
      </c>
      <c r="C2133" s="113">
        <f>E1412-E1400</f>
        <v>-11.97</v>
      </c>
      <c r="D2133" s="113">
        <f>H1412-H1400</f>
        <v>-11.97</v>
      </c>
      <c r="E2133" s="113">
        <f>K1412-K1400</f>
        <v>39.037812542884602</v>
      </c>
      <c r="F2133" s="113">
        <f>N1412-N1400</f>
        <v>39</v>
      </c>
      <c r="G2133" s="113">
        <f>Q1412-Q1400</f>
        <v>37.89</v>
      </c>
      <c r="H2133" s="113">
        <f>T1412-T1400</f>
        <v>0</v>
      </c>
      <c r="I2133" s="113">
        <f>W1412-W1400</f>
        <v>0</v>
      </c>
      <c r="J2133" s="113">
        <f>Z1412-Z1400</f>
        <v>0</v>
      </c>
      <c r="L2133" s="113"/>
      <c r="M2133" s="113"/>
    </row>
    <row r="2134" spans="1:13">
      <c r="A2134" s="2" t="s">
        <v>302</v>
      </c>
      <c r="B2134" s="113">
        <f>B1413-B1412</f>
        <v>-1.3175000000000026</v>
      </c>
      <c r="C2134" s="113">
        <f>E1413-E1412</f>
        <v>0</v>
      </c>
      <c r="D2134" s="113">
        <f>H1413-H1412</f>
        <v>0</v>
      </c>
      <c r="E2134" s="113">
        <f>K1413-K1412</f>
        <v>0.10666299034859605</v>
      </c>
      <c r="F2134" s="113">
        <f>N1413-N1412</f>
        <v>0</v>
      </c>
      <c r="G2134" s="113">
        <f>Q1413-Q1412</f>
        <v>0.32000000000000028</v>
      </c>
      <c r="H2134" s="113">
        <f>T1413-T1412</f>
        <v>0</v>
      </c>
      <c r="I2134" s="113">
        <f>W1413-W1412</f>
        <v>0</v>
      </c>
      <c r="J2134" s="113">
        <f>Z1413-Z1412</f>
        <v>0</v>
      </c>
      <c r="L2134" s="113"/>
      <c r="M2134" s="113"/>
    </row>
    <row r="2135" spans="1:13">
      <c r="A2135" s="2" t="s">
        <v>303</v>
      </c>
      <c r="B2135" s="113">
        <f>B1416-B1414</f>
        <v>-15.7395</v>
      </c>
      <c r="C2135" s="113">
        <f>E1416-E1414</f>
        <v>0</v>
      </c>
      <c r="D2135" s="113">
        <f>H1416-H1414</f>
        <v>0</v>
      </c>
      <c r="E2135" s="113">
        <f>K1416-K1414</f>
        <v>-15.0875440977998</v>
      </c>
      <c r="F2135" s="113">
        <f>N1416-N1414</f>
        <v>-17</v>
      </c>
      <c r="G2135" s="113">
        <f>Q1416-Q1414</f>
        <v>-17.5</v>
      </c>
      <c r="H2135" s="113">
        <f>T1416-T1414</f>
        <v>0</v>
      </c>
      <c r="I2135" s="113">
        <f>W1416-W1414</f>
        <v>0</v>
      </c>
      <c r="J2135" s="113">
        <f>Z1416-Z1414</f>
        <v>0</v>
      </c>
      <c r="L2135" s="113"/>
      <c r="M2135" s="113"/>
    </row>
    <row r="2136" spans="1:13">
      <c r="A2136" s="2" t="s">
        <v>304</v>
      </c>
      <c r="B2136" s="113">
        <f>B1417-B1412</f>
        <v>-23.812000000000001</v>
      </c>
      <c r="C2136" s="113">
        <f>E1417-E1412</f>
        <v>0</v>
      </c>
      <c r="D2136" s="113">
        <f>H1417-H1412</f>
        <v>0</v>
      </c>
      <c r="E2136" s="113">
        <f>K1417-K1412</f>
        <v>-20.864358691949398</v>
      </c>
      <c r="F2136" s="113">
        <f>N1417-N1412</f>
        <v>-26</v>
      </c>
      <c r="G2136" s="113">
        <f>Q1417-Q1412</f>
        <v>-19.149999999999999</v>
      </c>
      <c r="H2136" s="113">
        <f>T1417-T1412</f>
        <v>0</v>
      </c>
      <c r="I2136" s="113">
        <f>W1417-W1412</f>
        <v>0</v>
      </c>
      <c r="J2136" s="113">
        <f>Z1417-Z1412</f>
        <v>0</v>
      </c>
      <c r="L2136" s="113"/>
      <c r="M2136" s="113"/>
    </row>
    <row r="2137" spans="1:13">
      <c r="A2137" s="2" t="s">
        <v>305</v>
      </c>
      <c r="B2137" s="113">
        <f>B1419-B1418</f>
        <v>-19.350499999999997</v>
      </c>
      <c r="C2137" s="113">
        <f>E1419-E1418</f>
        <v>0</v>
      </c>
      <c r="D2137" s="113">
        <f>H1419-H1418</f>
        <v>0</v>
      </c>
      <c r="E2137" s="113">
        <f>K1419-K1418</f>
        <v>-16.600713117223798</v>
      </c>
      <c r="F2137" s="113">
        <f>N1419-N1418</f>
        <v>-12</v>
      </c>
      <c r="G2137" s="113">
        <f>Q1419-Q1418</f>
        <v>-19.600000000000001</v>
      </c>
      <c r="H2137" s="113">
        <f>T1419-T1418</f>
        <v>0</v>
      </c>
      <c r="I2137" s="113">
        <f>W1419-W1418</f>
        <v>0</v>
      </c>
      <c r="J2137" s="113">
        <f>Z1419-Z1418</f>
        <v>0</v>
      </c>
      <c r="L2137" s="113"/>
      <c r="M2137" s="113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zoomScale="50" workbookViewId="0"/>
  </sheetViews>
  <sheetFormatPr defaultRowHeight="15"/>
  <sheetData>
    <row r="23" spans="1:1" ht="15.75">
      <c r="A23" s="1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P723"/>
  <sheetViews>
    <sheetView defaultGridColor="0" colorId="22" workbookViewId="0">
      <selection activeCell="L16" sqref="L16"/>
    </sheetView>
  </sheetViews>
  <sheetFormatPr defaultColWidth="9.6640625" defaultRowHeight="15"/>
  <cols>
    <col min="1" max="1" width="0.77734375" customWidth="1"/>
    <col min="2" max="2" width="9.44140625" customWidth="1"/>
    <col min="3" max="3" width="6.88671875" bestFit="1" customWidth="1"/>
    <col min="4" max="4" width="6.88671875" customWidth="1"/>
    <col min="5" max="5" width="8" customWidth="1"/>
    <col min="6" max="6" width="6.88671875" customWidth="1"/>
    <col min="7" max="7" width="8" customWidth="1"/>
    <col min="8" max="8" width="7" customWidth="1"/>
    <col min="9" max="9" width="2.44140625" customWidth="1"/>
    <col min="10" max="11" width="6.77734375" customWidth="1"/>
    <col min="12" max="12" width="7.21875" customWidth="1"/>
    <col min="13" max="13" width="0.77734375" customWidth="1"/>
    <col min="14" max="14" width="9.21875" customWidth="1"/>
    <col min="15" max="16" width="6.88671875" customWidth="1"/>
  </cols>
  <sheetData>
    <row r="1" spans="2:16">
      <c r="B1" t="s">
        <v>543</v>
      </c>
      <c r="H1" t="s">
        <v>31</v>
      </c>
    </row>
    <row r="4" spans="2:16" ht="15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6" spans="2:16" ht="15" customHeight="1" thickBot="1">
      <c r="B6" s="192" t="s">
        <v>23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"/>
      <c r="P6" s="2"/>
    </row>
    <row r="7" spans="2:16" ht="12" customHeight="1" thickTop="1">
      <c r="B7" s="19" t="s">
        <v>12</v>
      </c>
      <c r="C7" s="20"/>
      <c r="D7" s="20"/>
      <c r="E7" s="20"/>
      <c r="F7" s="20"/>
      <c r="G7" s="20"/>
      <c r="H7" s="20"/>
      <c r="I7" s="140"/>
      <c r="J7" s="20" t="s">
        <v>24</v>
      </c>
      <c r="K7" s="20"/>
      <c r="L7" s="21"/>
      <c r="M7" s="34"/>
    </row>
    <row r="8" spans="2:16" ht="12" customHeight="1">
      <c r="B8" s="170"/>
      <c r="C8" s="22" t="s">
        <v>245</v>
      </c>
      <c r="D8" s="22" t="s">
        <v>536</v>
      </c>
      <c r="E8" s="22" t="s">
        <v>258</v>
      </c>
      <c r="F8" s="352" t="s">
        <v>433</v>
      </c>
      <c r="G8" s="436" t="s">
        <v>469</v>
      </c>
      <c r="H8" s="437" t="s">
        <v>482</v>
      </c>
      <c r="I8" s="438"/>
      <c r="J8" s="18"/>
      <c r="K8" s="18"/>
      <c r="L8" s="23" t="s">
        <v>25</v>
      </c>
      <c r="M8" s="34"/>
      <c r="N8" s="673" t="s">
        <v>519</v>
      </c>
    </row>
    <row r="9" spans="2:16" ht="12" customHeight="1">
      <c r="B9" s="171"/>
      <c r="C9" s="24" t="s">
        <v>26</v>
      </c>
      <c r="D9" s="24" t="s">
        <v>13</v>
      </c>
      <c r="E9" s="24" t="s">
        <v>13</v>
      </c>
      <c r="F9" s="353" t="s">
        <v>434</v>
      </c>
      <c r="G9" s="353" t="s">
        <v>452</v>
      </c>
      <c r="H9" s="353" t="s">
        <v>483</v>
      </c>
      <c r="I9" s="439"/>
      <c r="J9" s="24" t="s">
        <v>27</v>
      </c>
      <c r="K9" s="24" t="s">
        <v>28</v>
      </c>
      <c r="L9" s="25" t="s">
        <v>259</v>
      </c>
      <c r="M9" s="59"/>
      <c r="N9" s="673" t="s">
        <v>520</v>
      </c>
    </row>
    <row r="10" spans="2:16" ht="12" customHeight="1">
      <c r="B10" s="172" t="s">
        <v>91</v>
      </c>
      <c r="C10" s="26">
        <f>A!B140</f>
        <v>35633.777252734755</v>
      </c>
      <c r="D10" s="26">
        <f>A!C140</f>
        <v>34750</v>
      </c>
      <c r="E10" s="26">
        <f>A!D140</f>
        <v>34755</v>
      </c>
      <c r="F10" s="26">
        <f>A!E140</f>
        <v>35023.729818476299</v>
      </c>
      <c r="G10" s="26">
        <f>A!F140</f>
        <v>34976.411000001252</v>
      </c>
      <c r="H10" s="26">
        <f>A!G140</f>
        <v>35070</v>
      </c>
      <c r="I10" s="440"/>
      <c r="J10" s="26">
        <f t="shared" ref="J10:J30" si="0">MINA(C10:I10)</f>
        <v>34750</v>
      </c>
      <c r="K10" s="26">
        <f t="shared" ref="K10:K30" si="1">MAXA(C10:I10)</f>
        <v>35633.777252734755</v>
      </c>
      <c r="L10" s="27">
        <f t="shared" ref="L10:L30" si="2">(K10-J10)/AVERAGE(C10:I10)</f>
        <v>2.522568293040808E-2</v>
      </c>
      <c r="M10" s="35"/>
      <c r="N10" s="673">
        <f>A!H140</f>
        <v>0</v>
      </c>
    </row>
    <row r="11" spans="2:16" ht="12" customHeight="1">
      <c r="B11" s="173" t="s">
        <v>96</v>
      </c>
      <c r="C11" s="26">
        <f>A!B141</f>
        <v>39973.379846119082</v>
      </c>
      <c r="D11" s="26">
        <f>A!C141</f>
        <v>39379</v>
      </c>
      <c r="E11" s="26">
        <f>A!D141</f>
        <v>39384</v>
      </c>
      <c r="F11" s="26">
        <f>A!E141</f>
        <v>39434.164607727085</v>
      </c>
      <c r="G11" s="26">
        <f>A!F141</f>
        <v>39519.569000001269</v>
      </c>
      <c r="H11" s="26">
        <f>A!G141</f>
        <v>39608</v>
      </c>
      <c r="I11" s="440"/>
      <c r="J11" s="26">
        <f t="shared" si="0"/>
        <v>39379</v>
      </c>
      <c r="K11" s="26">
        <f t="shared" si="1"/>
        <v>39973.379846119082</v>
      </c>
      <c r="L11" s="27">
        <f t="shared" si="2"/>
        <v>1.5028687016545132E-2</v>
      </c>
      <c r="M11" s="35"/>
      <c r="N11" s="673">
        <f>A!H141</f>
        <v>0</v>
      </c>
    </row>
    <row r="12" spans="2:16" ht="12" customHeight="1">
      <c r="B12" s="173" t="s">
        <v>98</v>
      </c>
      <c r="C12" s="26">
        <f>A!B142</f>
        <v>40059.657032557334</v>
      </c>
      <c r="D12" s="26">
        <f>A!C142</f>
        <v>38745</v>
      </c>
      <c r="E12" s="26">
        <f>A!D142</f>
        <v>38792</v>
      </c>
      <c r="F12" s="26">
        <f>A!E142</f>
        <v>39375.03481243331</v>
      </c>
      <c r="G12" s="26">
        <f>A!F142</f>
        <v>39400.815000001385</v>
      </c>
      <c r="H12" s="26">
        <f>A!G142</f>
        <v>39457</v>
      </c>
      <c r="I12" s="440"/>
      <c r="J12" s="26">
        <f t="shared" si="0"/>
        <v>38745</v>
      </c>
      <c r="K12" s="26">
        <f t="shared" si="1"/>
        <v>40059.657032557334</v>
      </c>
      <c r="L12" s="27">
        <f t="shared" si="2"/>
        <v>3.3447647416439089E-2</v>
      </c>
      <c r="M12" s="35"/>
      <c r="N12" s="673">
        <f>A!H142</f>
        <v>0</v>
      </c>
    </row>
    <row r="13" spans="2:16" ht="12" customHeight="1">
      <c r="B13" s="173" t="s">
        <v>102</v>
      </c>
      <c r="C13" s="26">
        <f>A!B143</f>
        <v>40963.300377974272</v>
      </c>
      <c r="D13" s="26">
        <f>A!C143</f>
        <v>39708</v>
      </c>
      <c r="E13" s="26">
        <f>A!D143</f>
        <v>39438</v>
      </c>
      <c r="F13" s="26">
        <f>A!E143</f>
        <v>40468.794822146912</v>
      </c>
      <c r="G13" s="26">
        <f>A!F143</f>
        <v>40535.137000001225</v>
      </c>
      <c r="H13" s="26">
        <f>A!G143</f>
        <v>40330</v>
      </c>
      <c r="I13" s="440"/>
      <c r="J13" s="26">
        <f t="shared" si="0"/>
        <v>39438</v>
      </c>
      <c r="K13" s="26">
        <f t="shared" si="1"/>
        <v>40963.300377974272</v>
      </c>
      <c r="L13" s="27">
        <f t="shared" si="2"/>
        <v>3.7904571540278584E-2</v>
      </c>
      <c r="M13" s="35"/>
      <c r="N13" s="673">
        <f>A!H143</f>
        <v>0</v>
      </c>
    </row>
    <row r="14" spans="2:16" ht="12" customHeight="1">
      <c r="B14" s="173" t="s">
        <v>356</v>
      </c>
      <c r="C14" s="26">
        <f>A!B144</f>
        <v>40619.295122139025</v>
      </c>
      <c r="D14" s="26">
        <f>A!C144</f>
        <v>39358</v>
      </c>
      <c r="E14" s="26">
        <f>A!D144</f>
        <v>39265</v>
      </c>
      <c r="F14" s="26">
        <f>A!E144</f>
        <v>40071.420592405018</v>
      </c>
      <c r="G14" s="26">
        <f>A!F144</f>
        <v>40065.261000001236</v>
      </c>
      <c r="H14" s="26">
        <f>A!G144</f>
        <v>39947</v>
      </c>
      <c r="I14" s="440"/>
      <c r="J14" s="26">
        <f>MINA(C14:I14)</f>
        <v>39265</v>
      </c>
      <c r="K14" s="26">
        <f>MAXA(C14:I14)</f>
        <v>40619.295122139025</v>
      </c>
      <c r="L14" s="27">
        <f>(K14-J14)/AVERAGE(C14:I14)</f>
        <v>3.395273193651735E-2</v>
      </c>
      <c r="M14" s="35"/>
      <c r="N14" s="673">
        <f>A!H144</f>
        <v>0</v>
      </c>
    </row>
    <row r="15" spans="2:16" ht="12" customHeight="1">
      <c r="B15" s="173" t="s">
        <v>105</v>
      </c>
      <c r="C15" s="26">
        <f>A!B145</f>
        <v>32236.979468446429</v>
      </c>
      <c r="D15" s="26">
        <f>A!C145</f>
        <v>30547</v>
      </c>
      <c r="E15" s="26">
        <f>A!D145</f>
        <v>30548</v>
      </c>
      <c r="F15" s="26">
        <f>A!E145</f>
        <v>31376.20652912368</v>
      </c>
      <c r="G15" s="26">
        <f>A!F145</f>
        <v>31586.592000001216</v>
      </c>
      <c r="H15" s="26">
        <f>A!G145</f>
        <v>31742</v>
      </c>
      <c r="I15" s="440"/>
      <c r="J15" s="26">
        <f t="shared" si="0"/>
        <v>30547</v>
      </c>
      <c r="K15" s="26">
        <f t="shared" si="1"/>
        <v>32236.979468446429</v>
      </c>
      <c r="L15" s="27">
        <f t="shared" si="2"/>
        <v>5.3924965736274942E-2</v>
      </c>
      <c r="M15" s="35"/>
      <c r="N15" s="673">
        <f>A!H145</f>
        <v>0</v>
      </c>
    </row>
    <row r="16" spans="2:16" ht="12" customHeight="1">
      <c r="B16" s="173" t="s">
        <v>108</v>
      </c>
      <c r="C16" s="26">
        <f>A!B146</f>
        <v>55298.791720929417</v>
      </c>
      <c r="D16" s="26">
        <f>A!C146</f>
        <v>54064</v>
      </c>
      <c r="E16" s="26">
        <f>A!D146</f>
        <v>54016</v>
      </c>
      <c r="F16" s="26">
        <f>A!E146</f>
        <v>54944.250192986554</v>
      </c>
      <c r="G16" s="26">
        <f>A!F146</f>
        <v>54843.258000001253</v>
      </c>
      <c r="H16" s="26">
        <f>A!G146</f>
        <v>55068</v>
      </c>
      <c r="I16" s="440"/>
      <c r="J16" s="26">
        <f t="shared" si="0"/>
        <v>54016</v>
      </c>
      <c r="K16" s="26">
        <f t="shared" si="1"/>
        <v>55298.791720929417</v>
      </c>
      <c r="L16" s="27">
        <f t="shared" si="2"/>
        <v>2.3448951945592083E-2</v>
      </c>
      <c r="M16" s="35"/>
      <c r="N16" s="673">
        <f>A!H146</f>
        <v>0</v>
      </c>
    </row>
    <row r="17" spans="2:16" ht="12" customHeight="1">
      <c r="B17" s="173" t="s">
        <v>109</v>
      </c>
      <c r="C17" s="26">
        <f>A!B147</f>
        <v>32045.153568170928</v>
      </c>
      <c r="D17" s="26">
        <f>A!C147</f>
        <v>30846</v>
      </c>
      <c r="E17" s="26">
        <f>A!D147</f>
        <v>30876</v>
      </c>
      <c r="F17" s="26">
        <f>A!E147</f>
        <v>31265.643283038276</v>
      </c>
      <c r="G17" s="26"/>
      <c r="H17" s="26">
        <f>A!G147</f>
        <v>31413</v>
      </c>
      <c r="I17" s="440"/>
      <c r="J17" s="26">
        <f t="shared" si="0"/>
        <v>30846</v>
      </c>
      <c r="K17" s="26">
        <f t="shared" si="1"/>
        <v>32045.153568170928</v>
      </c>
      <c r="L17" s="27">
        <f t="shared" si="2"/>
        <v>3.8324889268562659E-2</v>
      </c>
      <c r="M17" s="35"/>
      <c r="N17" s="673">
        <f>A!H147</f>
        <v>0</v>
      </c>
    </row>
    <row r="18" spans="2:16" ht="12" customHeight="1">
      <c r="B18" s="173" t="s">
        <v>111</v>
      </c>
      <c r="C18" s="26">
        <f>A!B148</f>
        <v>32078.431863626436</v>
      </c>
      <c r="D18" s="26">
        <f>A!C148</f>
        <v>31668</v>
      </c>
      <c r="E18" s="26">
        <f>A!D148</f>
        <v>31699</v>
      </c>
      <c r="F18" s="26">
        <f>A!E148</f>
        <v>32010.506096667465</v>
      </c>
      <c r="G18" s="26"/>
      <c r="H18" s="26">
        <f>A!G148</f>
        <v>31503</v>
      </c>
      <c r="I18" s="440"/>
      <c r="J18" s="26">
        <f t="shared" si="0"/>
        <v>31503</v>
      </c>
      <c r="K18" s="26">
        <f t="shared" si="1"/>
        <v>32078.431863626436</v>
      </c>
      <c r="L18" s="27">
        <f t="shared" si="2"/>
        <v>1.810001598558026E-2</v>
      </c>
      <c r="M18" s="35"/>
      <c r="N18" s="673">
        <f>A!H148</f>
        <v>0</v>
      </c>
    </row>
    <row r="19" spans="2:16" ht="12" customHeight="1">
      <c r="B19" s="173" t="s">
        <v>112</v>
      </c>
      <c r="C19" s="26">
        <f>A!B149</f>
        <v>33387.007607424253</v>
      </c>
      <c r="D19" s="26">
        <f>A!C149</f>
        <v>32530</v>
      </c>
      <c r="E19" s="26">
        <f>A!D149</f>
        <v>32910</v>
      </c>
      <c r="F19" s="26">
        <f>A!E149</f>
        <v>32978.545256475802</v>
      </c>
      <c r="G19" s="26"/>
      <c r="H19" s="26">
        <f>A!G149</f>
        <v>33208</v>
      </c>
      <c r="I19" s="440"/>
      <c r="J19" s="26">
        <f t="shared" si="0"/>
        <v>32530</v>
      </c>
      <c r="K19" s="26">
        <f t="shared" si="1"/>
        <v>33387.007607424253</v>
      </c>
      <c r="L19" s="27">
        <f t="shared" si="2"/>
        <v>2.596779454021866E-2</v>
      </c>
      <c r="M19" s="35"/>
      <c r="N19" s="673">
        <f>A!H149</f>
        <v>0</v>
      </c>
    </row>
    <row r="20" spans="2:16" ht="12" customHeight="1">
      <c r="B20" s="173" t="s">
        <v>113</v>
      </c>
      <c r="C20" s="26">
        <f>A!B150</f>
        <v>32538.031318731744</v>
      </c>
      <c r="D20" s="26">
        <f>A!C150</f>
        <v>31932</v>
      </c>
      <c r="E20" s="26">
        <f>A!D150</f>
        <v>31811</v>
      </c>
      <c r="F20" s="26">
        <f>A!E150</f>
        <v>32085.518026958744</v>
      </c>
      <c r="G20" s="26"/>
      <c r="H20" s="26">
        <f>A!G150</f>
        <v>31818</v>
      </c>
      <c r="I20" s="440"/>
      <c r="J20" s="26">
        <f t="shared" si="0"/>
        <v>31811</v>
      </c>
      <c r="K20" s="26">
        <f t="shared" si="1"/>
        <v>32538.031318731744</v>
      </c>
      <c r="L20" s="27">
        <f t="shared" si="2"/>
        <v>2.2693553207892576E-2</v>
      </c>
      <c r="M20" s="35"/>
      <c r="N20" s="673">
        <f>A!H150</f>
        <v>0</v>
      </c>
    </row>
    <row r="21" spans="2:16" ht="12" customHeight="1">
      <c r="B21" s="173" t="s">
        <v>114</v>
      </c>
      <c r="C21" s="26">
        <f>A!B151</f>
        <v>33691.321017245209</v>
      </c>
      <c r="D21" s="26">
        <f>A!C151</f>
        <v>33032</v>
      </c>
      <c r="E21" s="26">
        <f>A!D151</f>
        <v>32973</v>
      </c>
      <c r="F21" s="26">
        <f>A!E151</f>
        <v>33284.82650610905</v>
      </c>
      <c r="G21" s="26"/>
      <c r="H21" s="26">
        <f>A!G151</f>
        <v>33248</v>
      </c>
      <c r="I21" s="440"/>
      <c r="J21" s="26">
        <f t="shared" si="0"/>
        <v>32973</v>
      </c>
      <c r="K21" s="26">
        <f t="shared" si="1"/>
        <v>33691.321017245209</v>
      </c>
      <c r="L21" s="27">
        <f t="shared" si="2"/>
        <v>2.1606349666934584E-2</v>
      </c>
      <c r="M21" s="35"/>
      <c r="N21" s="673">
        <f>A!H151</f>
        <v>0</v>
      </c>
    </row>
    <row r="22" spans="2:16" ht="12" customHeight="1">
      <c r="B22" s="173" t="s">
        <v>115</v>
      </c>
      <c r="C22" s="26">
        <f>A!B152</f>
        <v>22337.887016316719</v>
      </c>
      <c r="D22" s="26">
        <f>A!C152</f>
        <v>22817</v>
      </c>
      <c r="E22" s="26">
        <f>A!D152</f>
        <v>22822</v>
      </c>
      <c r="F22" s="26">
        <f>A!E152</f>
        <v>23075.81966362716</v>
      </c>
      <c r="G22" s="26">
        <f>A!F152</f>
        <v>22322.953000000023</v>
      </c>
      <c r="H22" s="26">
        <f>A!G152</f>
        <v>23138</v>
      </c>
      <c r="I22" s="440"/>
      <c r="J22" s="26">
        <f t="shared" si="0"/>
        <v>22322.953000000023</v>
      </c>
      <c r="K22" s="26">
        <f t="shared" si="1"/>
        <v>23138</v>
      </c>
      <c r="L22" s="27">
        <f t="shared" si="2"/>
        <v>3.5822656952169629E-2</v>
      </c>
      <c r="M22" s="35"/>
      <c r="N22" s="673">
        <f>A!H152</f>
        <v>0</v>
      </c>
    </row>
    <row r="23" spans="2:16" ht="12" customHeight="1">
      <c r="B23" s="173" t="s">
        <v>120</v>
      </c>
      <c r="C23" s="26">
        <f>A!B153</f>
        <v>17390.851076390049</v>
      </c>
      <c r="D23" s="26">
        <f>A!C153</f>
        <v>17872</v>
      </c>
      <c r="E23" s="26">
        <f>A!D153</f>
        <v>17870</v>
      </c>
      <c r="F23" s="26">
        <f>A!E153</f>
        <v>18030.714541373109</v>
      </c>
      <c r="G23" s="26">
        <f>A!F153</f>
        <v>17434.537000000029</v>
      </c>
      <c r="H23" s="26">
        <f>A!G153</f>
        <v>18051</v>
      </c>
      <c r="I23" s="440"/>
      <c r="J23" s="26">
        <f t="shared" si="0"/>
        <v>17390.851076390049</v>
      </c>
      <c r="K23" s="26">
        <f t="shared" si="1"/>
        <v>18051</v>
      </c>
      <c r="L23" s="27">
        <f t="shared" si="2"/>
        <v>3.713949245176295E-2</v>
      </c>
      <c r="M23" s="35"/>
      <c r="N23" s="673">
        <f>A!H153</f>
        <v>0</v>
      </c>
    </row>
    <row r="24" spans="2:16" ht="12" customHeight="1">
      <c r="B24" s="173" t="s">
        <v>124</v>
      </c>
      <c r="C24" s="26">
        <f>A!B154</f>
        <v>34608.775362869957</v>
      </c>
      <c r="D24" s="26">
        <f>A!C154</f>
        <v>35971</v>
      </c>
      <c r="E24" s="26">
        <f>A!D154</f>
        <v>35970</v>
      </c>
      <c r="F24" s="26">
        <f>A!E154</f>
        <v>35791.020097479886</v>
      </c>
      <c r="G24" s="26">
        <f>A!F154</f>
        <v>34848.63700000001</v>
      </c>
      <c r="H24" s="26">
        <f>A!G154</f>
        <v>35845</v>
      </c>
      <c r="I24" s="440"/>
      <c r="J24" s="26">
        <f t="shared" si="0"/>
        <v>34608.775362869957</v>
      </c>
      <c r="K24" s="26">
        <f t="shared" si="1"/>
        <v>35971</v>
      </c>
      <c r="L24" s="27">
        <f t="shared" si="2"/>
        <v>3.8366322891495414E-2</v>
      </c>
      <c r="M24" s="35"/>
      <c r="N24" s="673">
        <f>A!H154</f>
        <v>0</v>
      </c>
    </row>
    <row r="25" spans="2:16" ht="12" customHeight="1">
      <c r="B25" s="173" t="s">
        <v>125</v>
      </c>
      <c r="C25" s="26">
        <f>A!B155</f>
        <v>24986.581989315273</v>
      </c>
      <c r="D25" s="26">
        <f>A!C155</f>
        <v>25389</v>
      </c>
      <c r="E25" s="26">
        <f>A!D155</f>
        <v>25390</v>
      </c>
      <c r="F25" s="26">
        <f>A!E155</f>
        <v>25812.897251308386</v>
      </c>
      <c r="G25" s="26">
        <f>A!F155</f>
        <v>25131.070000000262</v>
      </c>
      <c r="H25" s="26">
        <f>A!G155</f>
        <v>25781</v>
      </c>
      <c r="I25" s="440"/>
      <c r="J25" s="26">
        <f t="shared" si="0"/>
        <v>24986.581989315273</v>
      </c>
      <c r="K25" s="26">
        <f t="shared" si="1"/>
        <v>25812.897251308386</v>
      </c>
      <c r="L25" s="27">
        <f t="shared" si="2"/>
        <v>3.2512779294507806E-2</v>
      </c>
      <c r="M25" s="35"/>
      <c r="N25" s="673">
        <f>A!H155</f>
        <v>0</v>
      </c>
    </row>
    <row r="26" spans="2:16" ht="12" customHeight="1">
      <c r="B26" s="173" t="s">
        <v>127</v>
      </c>
      <c r="C26" s="26">
        <f>A!B156</f>
        <v>23544.160692124755</v>
      </c>
      <c r="D26" s="26">
        <f>A!C156</f>
        <v>24293</v>
      </c>
      <c r="E26" s="26">
        <f>A!D156</f>
        <v>24307</v>
      </c>
      <c r="F26" s="26">
        <f>A!E156</f>
        <v>24385.540125936655</v>
      </c>
      <c r="G26" s="26">
        <f>A!F156</f>
        <v>23619.743999999955</v>
      </c>
      <c r="H26" s="26">
        <f>A!G156</f>
        <v>24360</v>
      </c>
      <c r="I26" s="440"/>
      <c r="J26" s="26">
        <f t="shared" si="0"/>
        <v>23544.160692124755</v>
      </c>
      <c r="K26" s="26">
        <f t="shared" si="1"/>
        <v>24385.540125936655</v>
      </c>
      <c r="L26" s="27">
        <f t="shared" si="2"/>
        <v>3.49338869111789E-2</v>
      </c>
      <c r="M26" s="35"/>
      <c r="N26" s="673">
        <f>A!H156</f>
        <v>0</v>
      </c>
    </row>
    <row r="27" spans="2:16" ht="12" customHeight="1">
      <c r="B27" s="173" t="s">
        <v>130</v>
      </c>
      <c r="C27" s="26">
        <f>A!B157</f>
        <v>20320.873963030244</v>
      </c>
      <c r="D27" s="26">
        <f>A!C157</f>
        <v>20408</v>
      </c>
      <c r="E27" s="26">
        <f>A!D157</f>
        <v>20421</v>
      </c>
      <c r="F27" s="26">
        <f>A!E157</f>
        <v>20781.350761084934</v>
      </c>
      <c r="G27" s="26">
        <f>A!F157</f>
        <v>20241.712999999996</v>
      </c>
      <c r="H27" s="26">
        <f>A!G157</f>
        <v>21323</v>
      </c>
      <c r="I27" s="440"/>
      <c r="J27" s="26">
        <f t="shared" si="0"/>
        <v>20241.712999999996</v>
      </c>
      <c r="K27" s="26">
        <f t="shared" si="1"/>
        <v>21323</v>
      </c>
      <c r="L27" s="27">
        <f t="shared" si="2"/>
        <v>5.2533889936471651E-2</v>
      </c>
      <c r="M27" s="35"/>
      <c r="N27" s="673">
        <f>A!H157</f>
        <v>0</v>
      </c>
    </row>
    <row r="28" spans="2:16" ht="12" customHeight="1">
      <c r="B28" s="173" t="s">
        <v>132</v>
      </c>
      <c r="C28" s="26">
        <f>A!B158</f>
        <v>17281.271045603677</v>
      </c>
      <c r="D28" s="26">
        <f>A!C158</f>
        <v>17540</v>
      </c>
      <c r="E28" s="26">
        <f>A!D158</f>
        <v>17537</v>
      </c>
      <c r="F28" s="26">
        <f>A!E158</f>
        <v>17993.961739492486</v>
      </c>
      <c r="G28" s="26">
        <f>A!F158</f>
        <v>17442.46800000007</v>
      </c>
      <c r="H28" s="26">
        <f>A!G158</f>
        <v>17875</v>
      </c>
      <c r="I28" s="440"/>
      <c r="J28" s="26">
        <f t="shared" si="0"/>
        <v>17281.271045603677</v>
      </c>
      <c r="K28" s="26">
        <f t="shared" si="1"/>
        <v>17993.961739492486</v>
      </c>
      <c r="L28" s="27">
        <f t="shared" si="2"/>
        <v>4.0467079319448304E-2</v>
      </c>
      <c r="M28" s="35"/>
      <c r="N28" s="673">
        <f>A!H158</f>
        <v>0</v>
      </c>
    </row>
    <row r="29" spans="2:16" ht="12" customHeight="1">
      <c r="B29" s="173" t="s">
        <v>135</v>
      </c>
      <c r="C29" s="26">
        <f>A!B159</f>
        <v>19430.378480857089</v>
      </c>
      <c r="D29" s="26">
        <f>A!C159</f>
        <v>19878</v>
      </c>
      <c r="E29" s="26">
        <f>A!D159</f>
        <v>19874</v>
      </c>
      <c r="F29" s="26">
        <f>A!E159</f>
        <v>20122.73410516217</v>
      </c>
      <c r="G29" s="26">
        <f>A!F159</f>
        <v>19536.572000000106</v>
      </c>
      <c r="H29" s="26">
        <f>A!G159</f>
        <v>20164</v>
      </c>
      <c r="I29" s="440"/>
      <c r="J29" s="26">
        <f t="shared" si="0"/>
        <v>19430.378480857089</v>
      </c>
      <c r="K29" s="26">
        <f t="shared" si="1"/>
        <v>20164</v>
      </c>
      <c r="L29" s="27">
        <f t="shared" si="2"/>
        <v>3.6987553411163478E-2</v>
      </c>
      <c r="M29" s="35"/>
      <c r="N29" s="673">
        <f>A!H159</f>
        <v>0</v>
      </c>
    </row>
    <row r="30" spans="2:16" ht="12" customHeight="1" thickBot="1">
      <c r="B30" s="174" t="s">
        <v>138</v>
      </c>
      <c r="C30" s="151">
        <f>A!B160</f>
        <v>15687.079578945253</v>
      </c>
      <c r="D30" s="29">
        <f>A!C160</f>
        <v>15802</v>
      </c>
      <c r="E30" s="29">
        <f>A!D160</f>
        <v>15791</v>
      </c>
      <c r="F30" s="29">
        <f>A!E160</f>
        <v>16608.601068330921</v>
      </c>
      <c r="G30" s="29">
        <f>A!F160</f>
        <v>15791.080999999982</v>
      </c>
      <c r="H30" s="29">
        <f>A!G160</f>
        <v>16339</v>
      </c>
      <c r="I30" s="441"/>
      <c r="J30" s="29">
        <f t="shared" si="0"/>
        <v>15687.079578945253</v>
      </c>
      <c r="K30" s="29">
        <f t="shared" si="1"/>
        <v>16608.601068330921</v>
      </c>
      <c r="L30" s="30">
        <f t="shared" si="2"/>
        <v>5.758383925659448E-2</v>
      </c>
      <c r="M30" s="35"/>
      <c r="N30" s="673">
        <f>A!H160</f>
        <v>0</v>
      </c>
    </row>
    <row r="31" spans="2:16" ht="12" customHeight="1" thickTop="1">
      <c r="B31" s="19" t="s">
        <v>14</v>
      </c>
      <c r="C31" s="144"/>
      <c r="D31" s="145"/>
      <c r="E31" s="144"/>
      <c r="F31" s="145"/>
      <c r="G31" s="145"/>
      <c r="H31" s="145"/>
      <c r="I31" s="20"/>
      <c r="J31" s="147" t="s">
        <v>24</v>
      </c>
      <c r="K31" s="144"/>
      <c r="L31" s="146"/>
      <c r="M31" s="35"/>
      <c r="O31" s="201"/>
      <c r="P31" s="201"/>
    </row>
    <row r="32" spans="2:16" ht="12" customHeight="1">
      <c r="B32" s="170"/>
      <c r="C32" s="22" t="s">
        <v>245</v>
      </c>
      <c r="D32" s="22" t="s">
        <v>536</v>
      </c>
      <c r="E32" s="22" t="s">
        <v>258</v>
      </c>
      <c r="F32" s="352" t="s">
        <v>433</v>
      </c>
      <c r="G32" s="436" t="s">
        <v>469</v>
      </c>
      <c r="H32" s="437" t="s">
        <v>482</v>
      </c>
      <c r="I32" s="436"/>
      <c r="J32" s="148"/>
      <c r="K32" s="18"/>
      <c r="L32" s="23" t="s">
        <v>25</v>
      </c>
      <c r="M32" s="35"/>
      <c r="N32" s="673" t="s">
        <v>519</v>
      </c>
      <c r="O32" s="201"/>
      <c r="P32" s="201"/>
    </row>
    <row r="33" spans="2:16" ht="12" customHeight="1">
      <c r="B33" s="171"/>
      <c r="C33" s="24" t="s">
        <v>26</v>
      </c>
      <c r="D33" s="24" t="s">
        <v>13</v>
      </c>
      <c r="E33" s="24" t="s">
        <v>13</v>
      </c>
      <c r="F33" s="353" t="s">
        <v>434</v>
      </c>
      <c r="G33" s="353" t="s">
        <v>452</v>
      </c>
      <c r="H33" s="353" t="s">
        <v>483</v>
      </c>
      <c r="I33" s="353"/>
      <c r="J33" s="149" t="s">
        <v>27</v>
      </c>
      <c r="K33" s="24" t="s">
        <v>28</v>
      </c>
      <c r="L33" s="25" t="s">
        <v>259</v>
      </c>
      <c r="M33" s="35"/>
      <c r="N33" s="673" t="s">
        <v>520</v>
      </c>
      <c r="O33" s="201"/>
      <c r="P33" s="201"/>
    </row>
    <row r="34" spans="2:16" ht="12" customHeight="1">
      <c r="B34" s="172" t="s">
        <v>91</v>
      </c>
      <c r="C34" s="26">
        <f>A!B170</f>
        <v>22353.534309268729</v>
      </c>
      <c r="D34" s="26">
        <f>A!C170</f>
        <v>21569</v>
      </c>
      <c r="E34" s="26">
        <f>A!D170</f>
        <v>21573</v>
      </c>
      <c r="F34" s="26"/>
      <c r="G34" s="26">
        <f>A!F170</f>
        <v>21770.00099999996</v>
      </c>
      <c r="H34" s="26">
        <f>A!G170</f>
        <v>21876</v>
      </c>
      <c r="I34" s="26"/>
      <c r="J34" s="150">
        <f t="shared" ref="J34:J54" si="3">MINA(C34:I34)</f>
        <v>21569</v>
      </c>
      <c r="K34" s="26">
        <f t="shared" ref="K34:K54" si="4">MAXA(C34:I34)</f>
        <v>22353.534309268729</v>
      </c>
      <c r="L34" s="27">
        <f t="shared" ref="L34:L54" si="5">(K34-J34)/AVERAGE(C34:I34)</f>
        <v>3.5941143169996415E-2</v>
      </c>
      <c r="M34" s="35"/>
      <c r="N34" s="673">
        <f>A!H170</f>
        <v>0</v>
      </c>
      <c r="O34" s="201"/>
      <c r="P34" s="201"/>
    </row>
    <row r="35" spans="2:16" ht="12" customHeight="1">
      <c r="B35" s="173" t="s">
        <v>96</v>
      </c>
      <c r="C35" s="26">
        <f>A!B171</f>
        <v>26339.625369982768</v>
      </c>
      <c r="D35" s="26">
        <f>A!C171</f>
        <v>25813</v>
      </c>
      <c r="E35" s="26">
        <f>A!D171</f>
        <v>25817</v>
      </c>
      <c r="F35" s="26"/>
      <c r="G35" s="26">
        <f>A!F171</f>
        <v>25936.82099999996</v>
      </c>
      <c r="H35" s="26">
        <f>A!G171</f>
        <v>26053</v>
      </c>
      <c r="I35" s="26"/>
      <c r="J35" s="150">
        <f t="shared" si="3"/>
        <v>25813</v>
      </c>
      <c r="K35" s="26">
        <f t="shared" si="4"/>
        <v>26339.625369982768</v>
      </c>
      <c r="L35" s="27">
        <f t="shared" si="5"/>
        <v>2.0261142406051574E-2</v>
      </c>
      <c r="M35" s="35"/>
      <c r="N35" s="673">
        <f>A!H171</f>
        <v>0</v>
      </c>
      <c r="O35" s="201"/>
      <c r="P35" s="201"/>
    </row>
    <row r="36" spans="2:16" ht="12" customHeight="1">
      <c r="B36" s="173" t="s">
        <v>98</v>
      </c>
      <c r="C36" s="26">
        <f>A!B172</f>
        <v>26433.137388696625</v>
      </c>
      <c r="D36" s="26">
        <f>A!C172</f>
        <v>25250</v>
      </c>
      <c r="E36" s="26">
        <f>A!D172</f>
        <v>25294</v>
      </c>
      <c r="F36" s="26"/>
      <c r="G36" s="26">
        <f>A!F172</f>
        <v>25846.026000000074</v>
      </c>
      <c r="H36" s="26">
        <f>A!G172</f>
        <v>25912</v>
      </c>
      <c r="I36" s="26"/>
      <c r="J36" s="150">
        <f t="shared" si="3"/>
        <v>25250</v>
      </c>
      <c r="K36" s="26">
        <f t="shared" si="4"/>
        <v>26433.137388696625</v>
      </c>
      <c r="L36" s="27">
        <f t="shared" si="5"/>
        <v>4.5952378416001118E-2</v>
      </c>
      <c r="M36" s="35"/>
      <c r="N36" s="673">
        <f>A!H172</f>
        <v>0</v>
      </c>
      <c r="O36" s="201"/>
      <c r="P36" s="201"/>
    </row>
    <row r="37" spans="2:16" ht="12" customHeight="1">
      <c r="B37" s="173" t="s">
        <v>102</v>
      </c>
      <c r="C37" s="26">
        <f>A!B173</f>
        <v>27299.732074423395</v>
      </c>
      <c r="D37" s="26">
        <f>A!C173</f>
        <v>26172</v>
      </c>
      <c r="E37" s="26">
        <f>A!D173</f>
        <v>25925</v>
      </c>
      <c r="F37" s="26"/>
      <c r="G37" s="26">
        <f>A!F173</f>
        <v>26927.732999999924</v>
      </c>
      <c r="H37" s="26">
        <f>A!G173</f>
        <v>26775</v>
      </c>
      <c r="I37" s="26"/>
      <c r="J37" s="150">
        <f t="shared" si="3"/>
        <v>25925</v>
      </c>
      <c r="K37" s="26">
        <f t="shared" si="4"/>
        <v>27299.732074423395</v>
      </c>
      <c r="L37" s="27">
        <f t="shared" si="5"/>
        <v>5.1643035291490676E-2</v>
      </c>
      <c r="M37" s="35"/>
      <c r="N37" s="673">
        <f>A!H173</f>
        <v>0</v>
      </c>
      <c r="O37" s="201"/>
      <c r="P37" s="201"/>
    </row>
    <row r="38" spans="2:16" ht="12" customHeight="1">
      <c r="B38" s="173" t="s">
        <v>356</v>
      </c>
      <c r="C38" s="26">
        <f>A!B174</f>
        <v>26962.93733737541</v>
      </c>
      <c r="D38" s="26">
        <f>A!C174</f>
        <v>25829</v>
      </c>
      <c r="E38" s="26">
        <f>A!D174</f>
        <v>25745</v>
      </c>
      <c r="F38" s="26"/>
      <c r="G38" s="26">
        <f>A!F174</f>
        <v>26472.789999999939</v>
      </c>
      <c r="H38" s="26">
        <f>A!G174</f>
        <v>26400</v>
      </c>
      <c r="I38" s="26"/>
      <c r="J38" s="150">
        <f>MINA(C38:I38)</f>
        <v>25745</v>
      </c>
      <c r="K38" s="26">
        <f>MAXA(C38:I38)</f>
        <v>26962.93733737541</v>
      </c>
      <c r="L38" s="27">
        <f>(K38-J38)/AVERAGE(C38:I38)</f>
        <v>4.6341216972794294E-2</v>
      </c>
      <c r="M38" s="35"/>
      <c r="N38" s="673">
        <f>A!H174</f>
        <v>0</v>
      </c>
      <c r="O38" s="201"/>
      <c r="P38" s="201"/>
    </row>
    <row r="39" spans="2:16" ht="12" customHeight="1">
      <c r="B39" s="173" t="s">
        <v>105</v>
      </c>
      <c r="C39" s="26">
        <f>A!B175</f>
        <v>19316.840364594198</v>
      </c>
      <c r="D39" s="26">
        <f>A!C175</f>
        <v>17802</v>
      </c>
      <c r="E39" s="26">
        <f>A!D175</f>
        <v>17801</v>
      </c>
      <c r="F39" s="26"/>
      <c r="G39" s="26">
        <f>A!F175</f>
        <v>18738.054999999913</v>
      </c>
      <c r="H39" s="26">
        <f>A!G175</f>
        <v>18891</v>
      </c>
      <c r="I39" s="26"/>
      <c r="J39" s="150">
        <f t="shared" si="3"/>
        <v>17801</v>
      </c>
      <c r="K39" s="26">
        <f t="shared" si="4"/>
        <v>19316.840364594198</v>
      </c>
      <c r="L39" s="27">
        <f t="shared" si="5"/>
        <v>8.1894027941802103E-2</v>
      </c>
      <c r="M39" s="35"/>
      <c r="N39" s="673">
        <f>A!H175</f>
        <v>0</v>
      </c>
      <c r="O39" s="201"/>
      <c r="P39" s="201"/>
    </row>
    <row r="40" spans="2:16" ht="12" customHeight="1">
      <c r="B40" s="173" t="s">
        <v>108</v>
      </c>
      <c r="C40" s="26">
        <f>A!B176</f>
        <v>40105.839879967134</v>
      </c>
      <c r="D40" s="26">
        <f>A!C176</f>
        <v>38999</v>
      </c>
      <c r="E40" s="26">
        <f>A!D176</f>
        <v>38955</v>
      </c>
      <c r="F40" s="26"/>
      <c r="G40" s="26">
        <f>A!F176</f>
        <v>39697.162000000208</v>
      </c>
      <c r="H40" s="26">
        <f>A!G176</f>
        <v>39941</v>
      </c>
      <c r="I40" s="26"/>
      <c r="J40" s="150">
        <f t="shared" si="3"/>
        <v>38955</v>
      </c>
      <c r="K40" s="26">
        <f t="shared" si="4"/>
        <v>40105.839879967134</v>
      </c>
      <c r="L40" s="27">
        <f t="shared" si="5"/>
        <v>2.9106006864598164E-2</v>
      </c>
      <c r="M40" s="35"/>
      <c r="N40" s="673">
        <f>A!H176</f>
        <v>0</v>
      </c>
      <c r="O40" s="201"/>
      <c r="P40" s="201"/>
    </row>
    <row r="41" spans="2:16" ht="12" customHeight="1">
      <c r="B41" s="173" t="s">
        <v>109</v>
      </c>
      <c r="C41" s="26">
        <f>A!B177</f>
        <v>19178.948737703857</v>
      </c>
      <c r="D41" s="26">
        <f>A!C177</f>
        <v>18106</v>
      </c>
      <c r="E41" s="26">
        <f>A!D177</f>
        <v>18131</v>
      </c>
      <c r="F41" s="26"/>
      <c r="G41" s="26"/>
      <c r="H41" s="26">
        <f>A!G177</f>
        <v>18629</v>
      </c>
      <c r="I41" s="26"/>
      <c r="J41" s="150">
        <f t="shared" si="3"/>
        <v>18106</v>
      </c>
      <c r="K41" s="26">
        <f t="shared" si="4"/>
        <v>19178.948737703857</v>
      </c>
      <c r="L41" s="27">
        <f t="shared" si="5"/>
        <v>5.7962022041755226E-2</v>
      </c>
      <c r="M41" s="35"/>
      <c r="N41" s="673">
        <f>A!H177</f>
        <v>0</v>
      </c>
      <c r="O41" s="201"/>
      <c r="P41" s="201"/>
    </row>
    <row r="42" spans="2:16" ht="12" customHeight="1">
      <c r="B42" s="173" t="s">
        <v>111</v>
      </c>
      <c r="C42" s="26">
        <f>A!B178</f>
        <v>19204.494365578117</v>
      </c>
      <c r="D42" s="26">
        <f>A!C178</f>
        <v>18823</v>
      </c>
      <c r="E42" s="26">
        <f>A!D178</f>
        <v>18850</v>
      </c>
      <c r="F42" s="26"/>
      <c r="G42" s="26"/>
      <c r="H42" s="26">
        <f>A!G178</f>
        <v>18685</v>
      </c>
      <c r="I42" s="26"/>
      <c r="J42" s="150">
        <f t="shared" si="3"/>
        <v>18685</v>
      </c>
      <c r="K42" s="26">
        <f t="shared" si="4"/>
        <v>19204.494365578117</v>
      </c>
      <c r="L42" s="27">
        <f t="shared" si="5"/>
        <v>2.7500117350004721E-2</v>
      </c>
      <c r="M42" s="35"/>
      <c r="N42" s="673">
        <f>A!H178</f>
        <v>0</v>
      </c>
      <c r="O42" s="201"/>
      <c r="P42" s="201"/>
    </row>
    <row r="43" spans="2:16" ht="12" customHeight="1">
      <c r="B43" s="173" t="s">
        <v>112</v>
      </c>
      <c r="C43" s="26">
        <f>A!B179</f>
        <v>20358.585393713744</v>
      </c>
      <c r="D43" s="26">
        <f>A!C179</f>
        <v>19596</v>
      </c>
      <c r="E43" s="26">
        <f>A!D179</f>
        <v>19934</v>
      </c>
      <c r="F43" s="26"/>
      <c r="G43" s="26"/>
      <c r="H43" s="26">
        <f>A!G179</f>
        <v>20214</v>
      </c>
      <c r="I43" s="26"/>
      <c r="J43" s="150">
        <f t="shared" si="3"/>
        <v>19596</v>
      </c>
      <c r="K43" s="26">
        <f t="shared" si="4"/>
        <v>20358.585393713744</v>
      </c>
      <c r="L43" s="27">
        <f t="shared" si="5"/>
        <v>3.8080438476014E-2</v>
      </c>
      <c r="M43" s="35"/>
      <c r="N43" s="673">
        <f>A!H179</f>
        <v>0</v>
      </c>
      <c r="O43" s="201"/>
      <c r="P43" s="201"/>
    </row>
    <row r="44" spans="2:16" ht="12" customHeight="1">
      <c r="B44" s="173" t="s">
        <v>113</v>
      </c>
      <c r="C44" s="26">
        <f>A!B180</f>
        <v>19598.621063024904</v>
      </c>
      <c r="D44" s="26">
        <f>A!C180</f>
        <v>19059</v>
      </c>
      <c r="E44" s="26">
        <f>A!D180</f>
        <v>18951</v>
      </c>
      <c r="F44" s="26"/>
      <c r="G44" s="26"/>
      <c r="H44" s="26">
        <f>A!G180</f>
        <v>18966</v>
      </c>
      <c r="I44" s="26"/>
      <c r="J44" s="150">
        <f t="shared" si="3"/>
        <v>18951</v>
      </c>
      <c r="K44" s="26">
        <f t="shared" si="4"/>
        <v>19598.621063024904</v>
      </c>
      <c r="L44" s="27">
        <f t="shared" si="5"/>
        <v>3.3829540598934379E-2</v>
      </c>
      <c r="M44" s="35"/>
      <c r="N44" s="673">
        <f>A!H180</f>
        <v>0</v>
      </c>
      <c r="O44" s="201"/>
      <c r="P44" s="201"/>
    </row>
    <row r="45" spans="2:16" ht="12" customHeight="1">
      <c r="B45" s="173" t="s">
        <v>114</v>
      </c>
      <c r="C45" s="26">
        <f>A!B181</f>
        <v>20629.133255656114</v>
      </c>
      <c r="D45" s="26">
        <f>A!C181</f>
        <v>20042</v>
      </c>
      <c r="E45" s="26">
        <f>A!D181</f>
        <v>19989</v>
      </c>
      <c r="F45" s="26"/>
      <c r="G45" s="26"/>
      <c r="H45" s="26">
        <f>A!G181</f>
        <v>20249</v>
      </c>
      <c r="I45" s="26"/>
      <c r="J45" s="150">
        <f t="shared" si="3"/>
        <v>19989</v>
      </c>
      <c r="K45" s="26">
        <f t="shared" si="4"/>
        <v>20629.133255656114</v>
      </c>
      <c r="L45" s="27">
        <f t="shared" si="5"/>
        <v>3.1647020794719191E-2</v>
      </c>
      <c r="M45" s="35"/>
      <c r="N45" s="673">
        <f>A!H181</f>
        <v>0</v>
      </c>
      <c r="O45" s="201"/>
      <c r="P45" s="201"/>
    </row>
    <row r="46" spans="2:16" ht="12" customHeight="1">
      <c r="B46" s="173" t="s">
        <v>115</v>
      </c>
      <c r="C46" s="26">
        <f>A!B182</f>
        <v>17854.295557848422</v>
      </c>
      <c r="D46" s="26">
        <f>A!C182</f>
        <v>18473</v>
      </c>
      <c r="E46" s="26">
        <f>A!D182</f>
        <v>18478</v>
      </c>
      <c r="F46" s="26"/>
      <c r="G46" s="26">
        <f>A!F182</f>
        <v>17857.852000000032</v>
      </c>
      <c r="H46" s="26">
        <f>A!G182</f>
        <v>18522</v>
      </c>
      <c r="I46" s="26"/>
      <c r="J46" s="150">
        <f t="shared" si="3"/>
        <v>17854.295557848422</v>
      </c>
      <c r="K46" s="26">
        <f t="shared" si="4"/>
        <v>18522</v>
      </c>
      <c r="L46" s="27">
        <f t="shared" si="5"/>
        <v>3.6612565754087438E-2</v>
      </c>
      <c r="M46" s="35"/>
      <c r="N46" s="673">
        <f>A!H182</f>
        <v>0</v>
      </c>
      <c r="O46" s="201"/>
      <c r="P46" s="201"/>
    </row>
    <row r="47" spans="2:16" ht="12" customHeight="1">
      <c r="B47" s="173" t="s">
        <v>120</v>
      </c>
      <c r="C47" s="26">
        <f>A!B183</f>
        <v>13942.147864083752</v>
      </c>
      <c r="D47" s="26">
        <f>A!C183</f>
        <v>14508</v>
      </c>
      <c r="E47" s="26">
        <f>A!D183</f>
        <v>14506</v>
      </c>
      <c r="F47" s="26"/>
      <c r="G47" s="26">
        <f>A!F183</f>
        <v>13988.512000000033</v>
      </c>
      <c r="H47" s="26">
        <f>A!G183</f>
        <v>14491</v>
      </c>
      <c r="I47" s="26"/>
      <c r="J47" s="150">
        <f t="shared" si="3"/>
        <v>13942.147864083752</v>
      </c>
      <c r="K47" s="26">
        <f t="shared" si="4"/>
        <v>14508</v>
      </c>
      <c r="L47" s="27">
        <f t="shared" si="5"/>
        <v>3.9605719117934923E-2</v>
      </c>
      <c r="M47" s="35"/>
      <c r="N47" s="673">
        <f>A!H183</f>
        <v>0</v>
      </c>
      <c r="O47" s="201"/>
      <c r="P47" s="201"/>
    </row>
    <row r="48" spans="2:16" ht="12" customHeight="1">
      <c r="B48" s="173" t="s">
        <v>124</v>
      </c>
      <c r="C48" s="26">
        <f>A!B184</f>
        <v>27747.878980448822</v>
      </c>
      <c r="D48" s="26">
        <f>A!C184</f>
        <v>28811</v>
      </c>
      <c r="E48" s="26">
        <f>A!D184</f>
        <v>28810</v>
      </c>
      <c r="F48" s="26"/>
      <c r="G48" s="26">
        <f>A!F184</f>
        <v>27901.95700000002</v>
      </c>
      <c r="H48" s="26">
        <f>A!G184</f>
        <v>28721</v>
      </c>
      <c r="I48" s="26"/>
      <c r="J48" s="150">
        <f t="shared" si="3"/>
        <v>27747.878980448822</v>
      </c>
      <c r="K48" s="26">
        <f t="shared" si="4"/>
        <v>28811</v>
      </c>
      <c r="L48" s="27">
        <f t="shared" si="5"/>
        <v>3.7435991027595449E-2</v>
      </c>
      <c r="M48" s="35"/>
      <c r="N48" s="673">
        <f>A!H184</f>
        <v>0</v>
      </c>
      <c r="O48" s="201"/>
      <c r="P48" s="201"/>
    </row>
    <row r="49" spans="2:16" ht="12" customHeight="1">
      <c r="B49" s="173" t="s">
        <v>125</v>
      </c>
      <c r="C49" s="26">
        <f>A!B185</f>
        <v>19521.276662968372</v>
      </c>
      <c r="D49" s="26">
        <f>A!C185</f>
        <v>20121</v>
      </c>
      <c r="E49" s="26">
        <f>A!D185</f>
        <v>20126</v>
      </c>
      <c r="F49" s="26"/>
      <c r="G49" s="26">
        <f>A!F185</f>
        <v>19654.972000000191</v>
      </c>
      <c r="H49" s="26">
        <f>A!G185</f>
        <v>20185</v>
      </c>
      <c r="I49" s="26"/>
      <c r="J49" s="150">
        <f t="shared" si="3"/>
        <v>19521.276662968372</v>
      </c>
      <c r="K49" s="26">
        <f t="shared" si="4"/>
        <v>20185</v>
      </c>
      <c r="L49" s="27">
        <f t="shared" si="5"/>
        <v>3.3316685412138003E-2</v>
      </c>
      <c r="M49" s="35"/>
      <c r="N49" s="673">
        <f>A!H185</f>
        <v>0</v>
      </c>
      <c r="O49" s="201"/>
      <c r="P49" s="201"/>
    </row>
    <row r="50" spans="2:16" ht="12" customHeight="1">
      <c r="B50" s="173" t="s">
        <v>127</v>
      </c>
      <c r="C50" s="26">
        <f>A!B186</f>
        <v>18620.310806459944</v>
      </c>
      <c r="D50" s="26">
        <f>A!C186</f>
        <v>19407</v>
      </c>
      <c r="E50" s="26">
        <f>A!D186</f>
        <v>19418</v>
      </c>
      <c r="F50" s="26"/>
      <c r="G50" s="26">
        <f>A!F186</f>
        <v>18689.798999999959</v>
      </c>
      <c r="H50" s="26">
        <f>A!G186</f>
        <v>19281</v>
      </c>
      <c r="I50" s="26"/>
      <c r="J50" s="150">
        <f t="shared" si="3"/>
        <v>18620.310806459944</v>
      </c>
      <c r="K50" s="26">
        <f t="shared" si="4"/>
        <v>19418</v>
      </c>
      <c r="L50" s="27">
        <f t="shared" si="5"/>
        <v>4.1800551036825589E-2</v>
      </c>
      <c r="M50" s="35"/>
      <c r="N50" s="673">
        <f>A!H186</f>
        <v>0</v>
      </c>
      <c r="O50" s="201"/>
      <c r="P50" s="201"/>
    </row>
    <row r="51" spans="2:16" ht="12" customHeight="1">
      <c r="B51" s="173" t="s">
        <v>130</v>
      </c>
      <c r="C51" s="26">
        <f>A!B187</f>
        <v>16557.874829804307</v>
      </c>
      <c r="D51" s="26">
        <f>A!C187</f>
        <v>16880</v>
      </c>
      <c r="E51" s="26">
        <f>A!D187</f>
        <v>16893</v>
      </c>
      <c r="F51" s="26"/>
      <c r="G51" s="26">
        <f>A!F187</f>
        <v>16506.801999999989</v>
      </c>
      <c r="H51" s="26">
        <f>A!G187</f>
        <v>17443</v>
      </c>
      <c r="I51" s="26"/>
      <c r="J51" s="150">
        <f t="shared" si="3"/>
        <v>16506.801999999989</v>
      </c>
      <c r="K51" s="26">
        <f t="shared" si="4"/>
        <v>17443</v>
      </c>
      <c r="L51" s="27">
        <f t="shared" si="5"/>
        <v>5.5540488948051629E-2</v>
      </c>
      <c r="M51" s="35"/>
      <c r="N51" s="673">
        <f>A!H187</f>
        <v>0</v>
      </c>
      <c r="O51" s="201"/>
      <c r="P51" s="201"/>
    </row>
    <row r="52" spans="2:16" ht="12" customHeight="1">
      <c r="B52" s="173" t="s">
        <v>132</v>
      </c>
      <c r="C52" s="26">
        <f>A!B188</f>
        <v>13656.995123440021</v>
      </c>
      <c r="D52" s="26">
        <f>A!C188</f>
        <v>14127</v>
      </c>
      <c r="E52" s="26">
        <f>A!D188</f>
        <v>14124</v>
      </c>
      <c r="F52" s="26"/>
      <c r="G52" s="26">
        <f>A!F188</f>
        <v>13855.928000000073</v>
      </c>
      <c r="H52" s="26">
        <f>A!G188</f>
        <v>14172</v>
      </c>
      <c r="I52" s="26"/>
      <c r="J52" s="150">
        <f t="shared" si="3"/>
        <v>13656.995123440021</v>
      </c>
      <c r="K52" s="26">
        <f t="shared" si="4"/>
        <v>14172</v>
      </c>
      <c r="L52" s="27">
        <f t="shared" si="5"/>
        <v>3.6819766835062107E-2</v>
      </c>
      <c r="M52" s="35"/>
      <c r="N52" s="673">
        <f>A!H188</f>
        <v>0</v>
      </c>
      <c r="O52" s="201"/>
      <c r="P52" s="201"/>
    </row>
    <row r="53" spans="2:16" ht="12" customHeight="1">
      <c r="B53" s="173" t="s">
        <v>135</v>
      </c>
      <c r="C53" s="26">
        <f>A!B189</f>
        <v>15020.743269785731</v>
      </c>
      <c r="D53" s="26">
        <f>A!C189</f>
        <v>15680</v>
      </c>
      <c r="E53" s="26">
        <f>A!D189</f>
        <v>15677</v>
      </c>
      <c r="F53" s="26"/>
      <c r="G53" s="26">
        <f>A!F189</f>
        <v>15163.82</v>
      </c>
      <c r="H53" s="26">
        <f>A!G189</f>
        <v>15664</v>
      </c>
      <c r="I53" s="26"/>
      <c r="J53" s="150">
        <f t="shared" si="3"/>
        <v>15020.743269785731</v>
      </c>
      <c r="K53" s="26">
        <f t="shared" si="4"/>
        <v>15680</v>
      </c>
      <c r="L53" s="27">
        <f t="shared" si="5"/>
        <v>4.269489802895253E-2</v>
      </c>
      <c r="M53" s="35"/>
      <c r="N53" s="673">
        <f>A!H189</f>
        <v>0</v>
      </c>
      <c r="O53" s="201"/>
      <c r="P53" s="201"/>
    </row>
    <row r="54" spans="2:16" ht="12" customHeight="1" thickBot="1">
      <c r="B54" s="174" t="s">
        <v>138</v>
      </c>
      <c r="C54" s="29">
        <f>A!B190</f>
        <v>12621.868518963793</v>
      </c>
      <c r="D54" s="29">
        <f>A!C190</f>
        <v>12967</v>
      </c>
      <c r="E54" s="29">
        <f>A!D190</f>
        <v>12957</v>
      </c>
      <c r="F54" s="29"/>
      <c r="G54" s="29">
        <f>A!F190</f>
        <v>12750.622999999985</v>
      </c>
      <c r="H54" s="29">
        <f>A!G190</f>
        <v>13215</v>
      </c>
      <c r="I54" s="441"/>
      <c r="J54" s="151">
        <f t="shared" si="3"/>
        <v>12621.868518963793</v>
      </c>
      <c r="K54" s="29">
        <f t="shared" si="4"/>
        <v>13215</v>
      </c>
      <c r="L54" s="30">
        <f t="shared" si="5"/>
        <v>4.5970994242308799E-2</v>
      </c>
      <c r="M54" s="35"/>
      <c r="N54" s="673">
        <f>A!H190</f>
        <v>0</v>
      </c>
      <c r="O54" s="201"/>
      <c r="P54" s="201"/>
    </row>
    <row r="55" spans="2:16" ht="12" customHeight="1" thickTop="1">
      <c r="B55" s="671"/>
      <c r="C55" s="201"/>
      <c r="D55" s="32" t="s">
        <v>545</v>
      </c>
      <c r="E55" s="201"/>
      <c r="F55" s="201"/>
      <c r="G55" s="201"/>
      <c r="H55" s="201"/>
      <c r="I55" s="201"/>
      <c r="J55" s="201"/>
      <c r="K55" s="201"/>
      <c r="L55" s="672"/>
      <c r="M55" s="35"/>
      <c r="O55" s="201"/>
      <c r="P55" s="201"/>
    </row>
    <row r="56" spans="2:16" ht="18.75" customHeight="1" thickBot="1">
      <c r="B56" s="192" t="s">
        <v>23</v>
      </c>
      <c r="O56" s="201"/>
      <c r="P56" s="201"/>
    </row>
    <row r="57" spans="2:16" ht="12" customHeight="1" thickTop="1">
      <c r="B57" s="19" t="s">
        <v>15</v>
      </c>
      <c r="C57" s="145"/>
      <c r="D57" s="145"/>
      <c r="E57" s="145"/>
      <c r="F57" s="145"/>
      <c r="G57" s="145"/>
      <c r="H57" s="145"/>
      <c r="I57" s="20"/>
      <c r="J57" s="147" t="s">
        <v>24</v>
      </c>
      <c r="K57" s="144"/>
      <c r="L57" s="146"/>
      <c r="M57" s="35"/>
      <c r="O57" s="201"/>
      <c r="P57" s="201"/>
    </row>
    <row r="58" spans="2:16" ht="12" customHeight="1">
      <c r="B58" s="170"/>
      <c r="C58" s="22" t="s">
        <v>245</v>
      </c>
      <c r="D58" s="22" t="s">
        <v>536</v>
      </c>
      <c r="E58" s="22" t="s">
        <v>258</v>
      </c>
      <c r="F58" s="352" t="s">
        <v>433</v>
      </c>
      <c r="G58" s="436" t="s">
        <v>469</v>
      </c>
      <c r="H58" s="437" t="s">
        <v>482</v>
      </c>
      <c r="I58" s="436"/>
      <c r="J58" s="148"/>
      <c r="K58" s="18"/>
      <c r="L58" s="23" t="s">
        <v>25</v>
      </c>
      <c r="M58" s="35"/>
      <c r="N58" s="673" t="s">
        <v>519</v>
      </c>
      <c r="O58" s="201"/>
      <c r="P58" s="201"/>
    </row>
    <row r="59" spans="2:16" ht="12" customHeight="1">
      <c r="B59" s="171"/>
      <c r="C59" s="24" t="s">
        <v>26</v>
      </c>
      <c r="D59" s="24" t="s">
        <v>13</v>
      </c>
      <c r="E59" s="24" t="s">
        <v>13</v>
      </c>
      <c r="F59" s="353" t="s">
        <v>434</v>
      </c>
      <c r="G59" s="353" t="s">
        <v>452</v>
      </c>
      <c r="H59" s="353" t="s">
        <v>483</v>
      </c>
      <c r="I59" s="353"/>
      <c r="J59" s="149" t="s">
        <v>27</v>
      </c>
      <c r="K59" s="24" t="s">
        <v>28</v>
      </c>
      <c r="L59" s="25" t="s">
        <v>259</v>
      </c>
      <c r="M59" s="35"/>
      <c r="N59" s="673" t="s">
        <v>520</v>
      </c>
      <c r="O59" s="201"/>
      <c r="P59" s="201"/>
    </row>
    <row r="60" spans="2:16" ht="12" customHeight="1">
      <c r="B60" s="172" t="s">
        <v>91</v>
      </c>
      <c r="C60" s="26">
        <f>A!B230</f>
        <v>10879.92</v>
      </c>
      <c r="D60" s="26">
        <f>A!C230</f>
        <v>10880</v>
      </c>
      <c r="E60" s="26">
        <f>A!D230</f>
        <v>10880</v>
      </c>
      <c r="F60" s="26">
        <f>A!E230</f>
        <v>10862.091928960235</v>
      </c>
      <c r="G60" s="26">
        <f>A!F230</f>
        <v>10879.920000001301</v>
      </c>
      <c r="H60" s="26">
        <f>A!G230</f>
        <v>10880</v>
      </c>
      <c r="I60" s="26"/>
      <c r="J60" s="150">
        <f t="shared" ref="J60:J80" si="6">MINA(C60:I60)</f>
        <v>10862.091928960235</v>
      </c>
      <c r="K60" s="26">
        <f t="shared" ref="K60:K80" si="7">MAXA(C60:I60)</f>
        <v>10880</v>
      </c>
      <c r="L60" s="27">
        <f t="shared" ref="L60:L80" si="8">(K60-J60)/AVERAGE(C60:I60)</f>
        <v>1.6464181041337788E-3</v>
      </c>
      <c r="M60" s="35"/>
      <c r="N60" s="673">
        <f>A!H230</f>
        <v>0</v>
      </c>
      <c r="O60" s="201"/>
      <c r="P60" s="201"/>
    </row>
    <row r="61" spans="2:16" ht="12" customHeight="1">
      <c r="B61" s="173" t="s">
        <v>96</v>
      </c>
      <c r="C61" s="26">
        <f>A!B231</f>
        <v>10879.92</v>
      </c>
      <c r="D61" s="26">
        <f>A!C231</f>
        <v>10880</v>
      </c>
      <c r="E61" s="26">
        <f>A!D231</f>
        <v>10880</v>
      </c>
      <c r="F61" s="26">
        <f>A!E231</f>
        <v>10862.091928960235</v>
      </c>
      <c r="G61" s="26">
        <f>A!F231</f>
        <v>10879.920000001301</v>
      </c>
      <c r="H61" s="26">
        <f>A!G231</f>
        <v>10880</v>
      </c>
      <c r="I61" s="26"/>
      <c r="J61" s="150">
        <f t="shared" si="6"/>
        <v>10862.091928960235</v>
      </c>
      <c r="K61" s="26">
        <f t="shared" si="7"/>
        <v>10880</v>
      </c>
      <c r="L61" s="27">
        <f t="shared" si="8"/>
        <v>1.6464181041337788E-3</v>
      </c>
      <c r="M61" s="35"/>
      <c r="N61" s="673">
        <f>A!H231</f>
        <v>0</v>
      </c>
      <c r="O61" s="201"/>
      <c r="P61" s="201"/>
    </row>
    <row r="62" spans="2:16" ht="12" customHeight="1">
      <c r="B62" s="173" t="s">
        <v>98</v>
      </c>
      <c r="C62" s="26">
        <f>A!B232</f>
        <v>10879.92</v>
      </c>
      <c r="D62" s="26">
        <f>A!C232</f>
        <v>10880</v>
      </c>
      <c r="E62" s="26">
        <f>A!D232</f>
        <v>10880</v>
      </c>
      <c r="F62" s="26">
        <f>A!E232</f>
        <v>10862.091928960235</v>
      </c>
      <c r="G62" s="26">
        <f>A!F232</f>
        <v>10879.920000001301</v>
      </c>
      <c r="H62" s="26">
        <f>A!G232</f>
        <v>10880</v>
      </c>
      <c r="I62" s="26"/>
      <c r="J62" s="150">
        <f t="shared" si="6"/>
        <v>10862.091928960235</v>
      </c>
      <c r="K62" s="26">
        <f t="shared" si="7"/>
        <v>10880</v>
      </c>
      <c r="L62" s="27">
        <f t="shared" si="8"/>
        <v>1.6464181041337788E-3</v>
      </c>
      <c r="M62" s="35"/>
      <c r="N62" s="673">
        <f>A!H232</f>
        <v>0</v>
      </c>
      <c r="O62" s="201"/>
      <c r="P62" s="201"/>
    </row>
    <row r="63" spans="2:16" ht="12" customHeight="1">
      <c r="B63" s="173" t="s">
        <v>102</v>
      </c>
      <c r="C63" s="26">
        <f>A!B233</f>
        <v>10879.92</v>
      </c>
      <c r="D63" s="26">
        <f>A!C233</f>
        <v>10880</v>
      </c>
      <c r="E63" s="26">
        <f>A!D233</f>
        <v>10880</v>
      </c>
      <c r="F63" s="26">
        <f>A!E233</f>
        <v>10862.091928960235</v>
      </c>
      <c r="G63" s="26">
        <f>A!F233</f>
        <v>10879.920000001301</v>
      </c>
      <c r="H63" s="26">
        <f>A!G233</f>
        <v>10880</v>
      </c>
      <c r="I63" s="26"/>
      <c r="J63" s="150">
        <f t="shared" si="6"/>
        <v>10862.091928960235</v>
      </c>
      <c r="K63" s="26">
        <f t="shared" si="7"/>
        <v>10880</v>
      </c>
      <c r="L63" s="27">
        <f t="shared" si="8"/>
        <v>1.6464181041337788E-3</v>
      </c>
      <c r="M63" s="35"/>
      <c r="N63" s="673">
        <f>A!H233</f>
        <v>0</v>
      </c>
      <c r="O63" s="201"/>
      <c r="P63" s="201"/>
    </row>
    <row r="64" spans="2:16" ht="12" customHeight="1">
      <c r="B64" s="173" t="s">
        <v>356</v>
      </c>
      <c r="C64" s="26">
        <f>A!B234</f>
        <v>10879.92</v>
      </c>
      <c r="D64" s="26">
        <f>A!C234</f>
        <v>10880</v>
      </c>
      <c r="E64" s="26">
        <f>A!D234</f>
        <v>10880</v>
      </c>
      <c r="F64" s="26">
        <f>A!E234</f>
        <v>10862.091928960235</v>
      </c>
      <c r="G64" s="26">
        <f>A!F234</f>
        <v>10879.920000001301</v>
      </c>
      <c r="H64" s="26">
        <f>A!G234</f>
        <v>10880</v>
      </c>
      <c r="I64" s="440"/>
      <c r="J64" s="26">
        <f t="shared" si="6"/>
        <v>10862.091928960235</v>
      </c>
      <c r="K64" s="26">
        <f t="shared" si="7"/>
        <v>10880</v>
      </c>
      <c r="L64" s="27">
        <f t="shared" si="8"/>
        <v>1.6464181041337788E-3</v>
      </c>
      <c r="M64" s="35"/>
      <c r="N64" s="673">
        <f>A!H234</f>
        <v>0</v>
      </c>
      <c r="O64" s="201"/>
      <c r="P64" s="201"/>
    </row>
    <row r="65" spans="2:16" ht="12" customHeight="1">
      <c r="B65" s="173" t="s">
        <v>105</v>
      </c>
      <c r="C65" s="26">
        <f>A!B235</f>
        <v>10879.92</v>
      </c>
      <c r="D65" s="26">
        <f>A!C235</f>
        <v>10880</v>
      </c>
      <c r="E65" s="26">
        <f>A!D235</f>
        <v>10880</v>
      </c>
      <c r="F65" s="26">
        <f>A!E235</f>
        <v>10862.091928960235</v>
      </c>
      <c r="G65" s="26">
        <f>A!F235</f>
        <v>10879.920000001301</v>
      </c>
      <c r="H65" s="26">
        <f>A!G235</f>
        <v>10880</v>
      </c>
      <c r="I65" s="440"/>
      <c r="J65" s="201">
        <f t="shared" si="6"/>
        <v>10862.091928960235</v>
      </c>
      <c r="K65" s="26">
        <f t="shared" si="7"/>
        <v>10880</v>
      </c>
      <c r="L65" s="27">
        <f t="shared" si="8"/>
        <v>1.6464181041337788E-3</v>
      </c>
      <c r="M65" s="35"/>
      <c r="N65" s="673">
        <f>A!H235</f>
        <v>0</v>
      </c>
      <c r="O65" s="201"/>
      <c r="P65" s="201"/>
    </row>
    <row r="66" spans="2:16" ht="12" customHeight="1">
      <c r="B66" s="173" t="s">
        <v>108</v>
      </c>
      <c r="C66" s="26">
        <f>A!B236</f>
        <v>10879.92</v>
      </c>
      <c r="D66" s="26">
        <f>A!C236</f>
        <v>10880</v>
      </c>
      <c r="E66" s="26">
        <f>A!D236</f>
        <v>10880</v>
      </c>
      <c r="F66" s="26">
        <f>A!E236</f>
        <v>10862.091928960235</v>
      </c>
      <c r="G66" s="26">
        <f>A!F236</f>
        <v>10879.920000001301</v>
      </c>
      <c r="H66" s="26">
        <f>A!G236</f>
        <v>10880</v>
      </c>
      <c r="I66" s="440"/>
      <c r="J66" s="201">
        <f t="shared" si="6"/>
        <v>10862.091928960235</v>
      </c>
      <c r="K66" s="26">
        <f t="shared" si="7"/>
        <v>10880</v>
      </c>
      <c r="L66" s="27">
        <f t="shared" si="8"/>
        <v>1.6464181041337788E-3</v>
      </c>
      <c r="M66" s="35"/>
      <c r="N66" s="673">
        <f>A!H236</f>
        <v>0</v>
      </c>
      <c r="O66" s="201"/>
      <c r="P66" s="201"/>
    </row>
    <row r="67" spans="2:16" ht="12" customHeight="1">
      <c r="B67" s="173" t="s">
        <v>109</v>
      </c>
      <c r="C67" s="26">
        <f>A!B237</f>
        <v>10879.92</v>
      </c>
      <c r="D67" s="26">
        <f>A!C237</f>
        <v>10880</v>
      </c>
      <c r="E67" s="26">
        <f>A!D237</f>
        <v>10880</v>
      </c>
      <c r="F67" s="26">
        <f>A!E237</f>
        <v>10862.091928960235</v>
      </c>
      <c r="G67" s="26"/>
      <c r="H67" s="26">
        <f>A!G237</f>
        <v>10880</v>
      </c>
      <c r="I67" s="440"/>
      <c r="J67" s="201">
        <f t="shared" si="6"/>
        <v>10862.091928960235</v>
      </c>
      <c r="K67" s="26">
        <f t="shared" si="7"/>
        <v>10880</v>
      </c>
      <c r="L67" s="27">
        <f t="shared" si="8"/>
        <v>1.6465068507540929E-3</v>
      </c>
      <c r="M67" s="35"/>
      <c r="N67" s="673">
        <f>A!H237</f>
        <v>0</v>
      </c>
      <c r="O67" s="201"/>
      <c r="P67" s="201"/>
    </row>
    <row r="68" spans="2:16" ht="12" customHeight="1">
      <c r="B68" s="173" t="s">
        <v>111</v>
      </c>
      <c r="C68" s="26">
        <f>A!B238</f>
        <v>10879.92</v>
      </c>
      <c r="D68" s="26">
        <f>A!C238</f>
        <v>10880</v>
      </c>
      <c r="E68" s="26">
        <f>A!D238</f>
        <v>10880</v>
      </c>
      <c r="F68" s="26">
        <f>A!E238</f>
        <v>10862.091928960235</v>
      </c>
      <c r="G68" s="26"/>
      <c r="H68" s="26">
        <f>A!G238</f>
        <v>10880</v>
      </c>
      <c r="I68" s="440"/>
      <c r="J68" s="201">
        <f t="shared" si="6"/>
        <v>10862.091928960235</v>
      </c>
      <c r="K68" s="26">
        <f t="shared" si="7"/>
        <v>10880</v>
      </c>
      <c r="L68" s="27">
        <f t="shared" si="8"/>
        <v>1.6465068507540929E-3</v>
      </c>
      <c r="M68" s="35"/>
      <c r="N68" s="673">
        <f>A!H238</f>
        <v>0</v>
      </c>
      <c r="O68" s="201"/>
      <c r="P68" s="201"/>
    </row>
    <row r="69" spans="2:16" ht="12" customHeight="1">
      <c r="B69" s="173" t="s">
        <v>112</v>
      </c>
      <c r="C69" s="26">
        <f>A!B239</f>
        <v>10879.92</v>
      </c>
      <c r="D69" s="26">
        <f>A!C239</f>
        <v>10880</v>
      </c>
      <c r="E69" s="26">
        <f>A!D239</f>
        <v>10880</v>
      </c>
      <c r="F69" s="26">
        <f>A!E239</f>
        <v>10862.091928960235</v>
      </c>
      <c r="G69" s="26"/>
      <c r="H69" s="26">
        <f>A!G239</f>
        <v>10880</v>
      </c>
      <c r="I69" s="440"/>
      <c r="J69" s="201">
        <f t="shared" si="6"/>
        <v>10862.091928960235</v>
      </c>
      <c r="K69" s="26">
        <f t="shared" si="7"/>
        <v>10880</v>
      </c>
      <c r="L69" s="27">
        <f t="shared" si="8"/>
        <v>1.6465068507540929E-3</v>
      </c>
      <c r="M69" s="35"/>
      <c r="N69" s="673">
        <f>A!H239</f>
        <v>0</v>
      </c>
      <c r="O69" s="201"/>
      <c r="P69" s="201"/>
    </row>
    <row r="70" spans="2:16" ht="12" customHeight="1">
      <c r="B70" s="173" t="s">
        <v>113</v>
      </c>
      <c r="C70" s="26">
        <f>A!B240</f>
        <v>10879.92</v>
      </c>
      <c r="D70" s="26">
        <f>A!C240</f>
        <v>10880</v>
      </c>
      <c r="E70" s="26">
        <f>A!D240</f>
        <v>10880</v>
      </c>
      <c r="F70" s="26">
        <f>A!E240</f>
        <v>10862.091928960235</v>
      </c>
      <c r="G70" s="26"/>
      <c r="H70" s="26">
        <f>A!G240</f>
        <v>10880</v>
      </c>
      <c r="I70" s="440"/>
      <c r="J70" s="201">
        <f t="shared" si="6"/>
        <v>10862.091928960235</v>
      </c>
      <c r="K70" s="26">
        <f t="shared" si="7"/>
        <v>10880</v>
      </c>
      <c r="L70" s="27">
        <f t="shared" si="8"/>
        <v>1.6465068507540929E-3</v>
      </c>
      <c r="M70" s="35"/>
      <c r="N70" s="673">
        <f>A!H240</f>
        <v>0</v>
      </c>
      <c r="O70" s="201"/>
      <c r="P70" s="201"/>
    </row>
    <row r="71" spans="2:16" ht="12" customHeight="1">
      <c r="B71" s="173" t="s">
        <v>114</v>
      </c>
      <c r="C71" s="26">
        <f>A!B241</f>
        <v>10879.92</v>
      </c>
      <c r="D71" s="26">
        <f>A!C241</f>
        <v>10880</v>
      </c>
      <c r="E71" s="26">
        <f>A!D241</f>
        <v>10880</v>
      </c>
      <c r="F71" s="26">
        <f>A!E241</f>
        <v>10862.091928960235</v>
      </c>
      <c r="G71" s="26"/>
      <c r="H71" s="26">
        <f>A!G241</f>
        <v>10880</v>
      </c>
      <c r="I71" s="440"/>
      <c r="J71" s="201">
        <f t="shared" si="6"/>
        <v>10862.091928960235</v>
      </c>
      <c r="K71" s="26">
        <f t="shared" si="7"/>
        <v>10880</v>
      </c>
      <c r="L71" s="27">
        <f t="shared" si="8"/>
        <v>1.6465068507540929E-3</v>
      </c>
      <c r="M71" s="35"/>
      <c r="N71" s="673">
        <f>A!H241</f>
        <v>0</v>
      </c>
      <c r="O71" s="201"/>
      <c r="P71" s="201"/>
    </row>
    <row r="72" spans="2:16" ht="12" customHeight="1">
      <c r="B72" s="173" t="s">
        <v>115</v>
      </c>
      <c r="C72" s="26">
        <f>A!B242</f>
        <v>2563.8216350909911</v>
      </c>
      <c r="D72" s="26">
        <f>A!C242</f>
        <v>2369</v>
      </c>
      <c r="E72" s="26">
        <f>A!D242</f>
        <v>2369</v>
      </c>
      <c r="F72" s="26">
        <f>A!E242</f>
        <v>2630.5429758614428</v>
      </c>
      <c r="G72" s="26">
        <f>A!F242</f>
        <v>2553.2319999999895</v>
      </c>
      <c r="H72" s="26">
        <f>A!G242</f>
        <v>2639</v>
      </c>
      <c r="I72" s="440"/>
      <c r="J72" s="201">
        <f t="shared" si="6"/>
        <v>2369</v>
      </c>
      <c r="K72" s="26">
        <f t="shared" si="7"/>
        <v>2639</v>
      </c>
      <c r="L72" s="27">
        <f t="shared" si="8"/>
        <v>0.10711029468560389</v>
      </c>
      <c r="M72" s="35"/>
      <c r="N72" s="673">
        <f>A!H242</f>
        <v>0</v>
      </c>
      <c r="O72" s="201"/>
      <c r="P72" s="201"/>
    </row>
    <row r="73" spans="2:16" ht="12" customHeight="1">
      <c r="B73" s="173" t="s">
        <v>120</v>
      </c>
      <c r="C73" s="26">
        <f>A!B243</f>
        <v>1972.0485219541506</v>
      </c>
      <c r="D73" s="26">
        <f>A!C243</f>
        <v>1837</v>
      </c>
      <c r="E73" s="26">
        <f>A!D243</f>
        <v>1837</v>
      </c>
      <c r="F73" s="26">
        <f>A!E243</f>
        <v>2030.7654181163252</v>
      </c>
      <c r="G73" s="26">
        <f>A!F243</f>
        <v>1970.496999999993</v>
      </c>
      <c r="H73" s="26">
        <f>A!G243</f>
        <v>2035</v>
      </c>
      <c r="I73" s="440"/>
      <c r="J73" s="201">
        <f t="shared" si="6"/>
        <v>1837</v>
      </c>
      <c r="K73" s="26">
        <f t="shared" si="7"/>
        <v>2035</v>
      </c>
      <c r="L73" s="27">
        <f t="shared" si="8"/>
        <v>0.1016922085103167</v>
      </c>
      <c r="M73" s="35"/>
      <c r="N73" s="673">
        <f>A!H243</f>
        <v>0</v>
      </c>
      <c r="O73" s="201"/>
      <c r="P73" s="201"/>
    </row>
    <row r="74" spans="2:16" ht="12" customHeight="1">
      <c r="B74" s="173" t="s">
        <v>124</v>
      </c>
      <c r="C74" s="26">
        <f>A!B244</f>
        <v>3923.219754588878</v>
      </c>
      <c r="D74" s="26">
        <f>A!C244</f>
        <v>4099</v>
      </c>
      <c r="E74" s="26">
        <f>A!D244</f>
        <v>4099</v>
      </c>
      <c r="F74" s="26">
        <f>A!E244</f>
        <v>4065.8534654745631</v>
      </c>
      <c r="G74" s="26">
        <f>A!F244</f>
        <v>3972.28</v>
      </c>
      <c r="H74" s="26">
        <f>A!G244</f>
        <v>4073</v>
      </c>
      <c r="I74" s="440"/>
      <c r="J74" s="201">
        <f t="shared" si="6"/>
        <v>3923.219754588878</v>
      </c>
      <c r="K74" s="26">
        <f t="shared" si="7"/>
        <v>4099</v>
      </c>
      <c r="L74" s="27">
        <f t="shared" si="8"/>
        <v>4.3523691772266546E-2</v>
      </c>
      <c r="M74" s="35"/>
      <c r="N74" s="673">
        <f>A!H244</f>
        <v>0</v>
      </c>
      <c r="O74" s="201"/>
      <c r="P74" s="201"/>
    </row>
    <row r="75" spans="2:16" ht="12" customHeight="1">
      <c r="B75" s="173" t="s">
        <v>125</v>
      </c>
      <c r="C75" s="26">
        <f>A!B245</f>
        <v>3125.1884048447769</v>
      </c>
      <c r="D75" s="26">
        <f>A!C245</f>
        <v>2874</v>
      </c>
      <c r="E75" s="26">
        <f>A!D245</f>
        <v>2871</v>
      </c>
      <c r="F75" s="26">
        <f>A!E245</f>
        <v>3140.7018870980669</v>
      </c>
      <c r="G75" s="26">
        <f>A!F245</f>
        <v>3131.2710000000302</v>
      </c>
      <c r="H75" s="26">
        <f>A!G245</f>
        <v>3200</v>
      </c>
      <c r="I75" s="440"/>
      <c r="J75" s="201">
        <f t="shared" si="6"/>
        <v>2871</v>
      </c>
      <c r="K75" s="26">
        <f t="shared" si="7"/>
        <v>3200</v>
      </c>
      <c r="L75" s="27">
        <f t="shared" si="8"/>
        <v>0.10762090511477047</v>
      </c>
      <c r="M75" s="35"/>
      <c r="N75" s="673">
        <f>A!H245</f>
        <v>0</v>
      </c>
      <c r="O75" s="201"/>
      <c r="P75" s="201"/>
    </row>
    <row r="76" spans="2:16" ht="12" customHeight="1">
      <c r="B76" s="173" t="s">
        <v>127</v>
      </c>
      <c r="C76" s="26">
        <f>A!B246</f>
        <v>2815.5716197033621</v>
      </c>
      <c r="D76" s="26">
        <f>A!C246</f>
        <v>2704</v>
      </c>
      <c r="E76" s="26">
        <f>A!D246</f>
        <v>2707</v>
      </c>
      <c r="F76" s="26">
        <f>A!E246</f>
        <v>2878.8648882399661</v>
      </c>
      <c r="G76" s="26">
        <f>A!F246</f>
        <v>2819.112000000006</v>
      </c>
      <c r="H76" s="26">
        <f>A!G246</f>
        <v>2904</v>
      </c>
      <c r="I76" s="440"/>
      <c r="J76" s="201">
        <f t="shared" si="6"/>
        <v>2704</v>
      </c>
      <c r="K76" s="26">
        <f t="shared" si="7"/>
        <v>2904</v>
      </c>
      <c r="L76" s="27">
        <f t="shared" si="8"/>
        <v>7.1307397630495678E-2</v>
      </c>
      <c r="M76" s="35"/>
      <c r="N76" s="673">
        <f>A!H246</f>
        <v>0</v>
      </c>
      <c r="O76" s="201"/>
      <c r="P76" s="201"/>
    </row>
    <row r="77" spans="2:16" ht="12" customHeight="1">
      <c r="B77" s="173" t="s">
        <v>130</v>
      </c>
      <c r="C77" s="26">
        <f>A!B247</f>
        <v>2151.7702225905218</v>
      </c>
      <c r="D77" s="26">
        <f>A!C247</f>
        <v>1886</v>
      </c>
      <c r="E77" s="26">
        <f>A!D247</f>
        <v>1885</v>
      </c>
      <c r="F77" s="26">
        <f>A!E247</f>
        <v>2192.24716644307</v>
      </c>
      <c r="G77" s="26">
        <f>A!F247</f>
        <v>2135.7079999999992</v>
      </c>
      <c r="H77" s="26">
        <f>A!G247</f>
        <v>2221</v>
      </c>
      <c r="I77" s="440"/>
      <c r="J77" s="201">
        <f t="shared" si="6"/>
        <v>1885</v>
      </c>
      <c r="K77" s="26">
        <f t="shared" si="7"/>
        <v>2221</v>
      </c>
      <c r="L77" s="27">
        <f t="shared" si="8"/>
        <v>0.16164563740095433</v>
      </c>
      <c r="M77" s="35"/>
      <c r="N77" s="673">
        <f>A!H247</f>
        <v>0</v>
      </c>
      <c r="O77" s="201"/>
      <c r="P77" s="201"/>
    </row>
    <row r="78" spans="2:16" ht="12" customHeight="1">
      <c r="B78" s="173" t="s">
        <v>132</v>
      </c>
      <c r="C78" s="26">
        <f>A!B248</f>
        <v>2072.4450715134722</v>
      </c>
      <c r="D78" s="26">
        <f>A!C248</f>
        <v>1833</v>
      </c>
      <c r="E78" s="26">
        <f>A!D248</f>
        <v>1833</v>
      </c>
      <c r="F78" s="26">
        <f>A!E248</f>
        <v>2121.7133965835774</v>
      </c>
      <c r="G78" s="26">
        <f>A!F248</f>
        <v>2050.855999999997</v>
      </c>
      <c r="H78" s="26">
        <f>A!G248</f>
        <v>2117</v>
      </c>
      <c r="I78" s="440"/>
      <c r="J78" s="201">
        <f t="shared" si="6"/>
        <v>1833</v>
      </c>
      <c r="K78" s="26">
        <f t="shared" si="7"/>
        <v>2121.7133965835774</v>
      </c>
      <c r="L78" s="27">
        <f t="shared" si="8"/>
        <v>0.14402047687057101</v>
      </c>
      <c r="M78" s="35"/>
      <c r="N78" s="673">
        <f>A!H248</f>
        <v>0</v>
      </c>
      <c r="O78" s="201"/>
      <c r="P78" s="201"/>
    </row>
    <row r="79" spans="2:16" ht="12" customHeight="1">
      <c r="B79" s="173" t="s">
        <v>135</v>
      </c>
      <c r="C79" s="26">
        <f>A!B249</f>
        <v>2521.531736717593</v>
      </c>
      <c r="D79" s="26">
        <f>A!C249</f>
        <v>2258</v>
      </c>
      <c r="E79" s="26">
        <f>A!D249</f>
        <v>2258</v>
      </c>
      <c r="F79" s="26">
        <f>A!E249</f>
        <v>2493.7907916854338</v>
      </c>
      <c r="G79" s="26">
        <f>A!F249</f>
        <v>2500.4160000000597</v>
      </c>
      <c r="H79" s="26">
        <f>A!G249</f>
        <v>2573</v>
      </c>
      <c r="I79" s="440"/>
      <c r="J79" s="201">
        <f t="shared" si="6"/>
        <v>2258</v>
      </c>
      <c r="K79" s="26">
        <f t="shared" si="7"/>
        <v>2573</v>
      </c>
      <c r="L79" s="27">
        <f t="shared" si="8"/>
        <v>0.12941005388931512</v>
      </c>
      <c r="M79" s="35"/>
      <c r="N79" s="673">
        <f>A!H249</f>
        <v>0</v>
      </c>
      <c r="O79" s="201"/>
      <c r="P79" s="201"/>
    </row>
    <row r="80" spans="2:16" ht="12" customHeight="1" thickBot="1">
      <c r="B80" s="174" t="s">
        <v>138</v>
      </c>
      <c r="C80" s="151">
        <f>A!B250</f>
        <v>1752.7588105418879</v>
      </c>
      <c r="D80" s="29">
        <f>A!C250</f>
        <v>1501</v>
      </c>
      <c r="E80" s="29">
        <f>A!D250</f>
        <v>1501</v>
      </c>
      <c r="F80" s="29">
        <f>A!E250</f>
        <v>1865.1834311343553</v>
      </c>
      <c r="G80" s="29">
        <f>A!F250</f>
        <v>1738.6670000000074</v>
      </c>
      <c r="H80" s="29">
        <f>A!G250</f>
        <v>1786</v>
      </c>
      <c r="I80" s="441"/>
      <c r="J80" s="29">
        <f t="shared" si="6"/>
        <v>1501</v>
      </c>
      <c r="K80" s="29">
        <f t="shared" si="7"/>
        <v>1865.1834311343553</v>
      </c>
      <c r="L80" s="30">
        <f t="shared" si="8"/>
        <v>0.21539524438548754</v>
      </c>
      <c r="M80" s="35"/>
      <c r="N80" s="673">
        <f>A!H250</f>
        <v>0</v>
      </c>
      <c r="O80" s="201"/>
      <c r="P80" s="201"/>
    </row>
    <row r="81" spans="2:14" ht="12" customHeight="1" thickTop="1">
      <c r="B81" s="31" t="s">
        <v>16</v>
      </c>
      <c r="C81" s="18"/>
      <c r="D81" s="26"/>
      <c r="E81" s="18"/>
      <c r="F81" s="26"/>
      <c r="G81" s="26"/>
      <c r="H81" s="26"/>
      <c r="I81" s="143"/>
      <c r="J81" s="34" t="s">
        <v>24</v>
      </c>
      <c r="K81" s="18"/>
      <c r="L81" s="27"/>
      <c r="M81" s="12"/>
    </row>
    <row r="82" spans="2:14" ht="12" customHeight="1">
      <c r="B82" s="170"/>
      <c r="C82" s="22" t="s">
        <v>245</v>
      </c>
      <c r="D82" s="22" t="s">
        <v>536</v>
      </c>
      <c r="E82" s="22" t="s">
        <v>258</v>
      </c>
      <c r="F82" s="352" t="s">
        <v>433</v>
      </c>
      <c r="G82" s="436" t="s">
        <v>469</v>
      </c>
      <c r="H82" s="437" t="s">
        <v>482</v>
      </c>
      <c r="I82" s="438"/>
      <c r="J82" s="18"/>
      <c r="K82" s="18"/>
      <c r="L82" s="23" t="s">
        <v>25</v>
      </c>
      <c r="M82" s="12"/>
      <c r="N82" s="673" t="s">
        <v>519</v>
      </c>
    </row>
    <row r="83" spans="2:14" ht="12" customHeight="1">
      <c r="B83" s="171"/>
      <c r="C83" s="24" t="s">
        <v>26</v>
      </c>
      <c r="D83" s="24" t="s">
        <v>13</v>
      </c>
      <c r="E83" s="24" t="s">
        <v>13</v>
      </c>
      <c r="F83" s="353" t="s">
        <v>434</v>
      </c>
      <c r="G83" s="353" t="s">
        <v>452</v>
      </c>
      <c r="H83" s="353" t="s">
        <v>483</v>
      </c>
      <c r="I83" s="439"/>
      <c r="J83" s="24" t="s">
        <v>27</v>
      </c>
      <c r="K83" s="24" t="s">
        <v>28</v>
      </c>
      <c r="L83" s="25" t="s">
        <v>259</v>
      </c>
      <c r="M83" s="12"/>
      <c r="N83" s="673" t="s">
        <v>520</v>
      </c>
    </row>
    <row r="84" spans="2:14" ht="12" customHeight="1">
      <c r="B84" s="172" t="s">
        <v>91</v>
      </c>
      <c r="C84" s="26">
        <f>A!B200</f>
        <v>2400.3229434660229</v>
      </c>
      <c r="D84" s="26">
        <f>A!C200</f>
        <v>2301</v>
      </c>
      <c r="E84" s="26">
        <f>A!D200</f>
        <v>2302</v>
      </c>
      <c r="F84" s="26"/>
      <c r="G84" s="26">
        <f>A!F200</f>
        <v>2326.4899999999893</v>
      </c>
      <c r="H84" s="26">
        <f>A!G200</f>
        <v>2323</v>
      </c>
      <c r="I84" s="440"/>
      <c r="J84" s="26">
        <f t="shared" ref="J84:J104" si="9">MINA(C84:I84)</f>
        <v>2301</v>
      </c>
      <c r="K84" s="26">
        <f t="shared" ref="K84:K104" si="10">MAXA(C84:I84)</f>
        <v>2400.3229434660229</v>
      </c>
      <c r="L84" s="27">
        <f t="shared" ref="L84:L104" si="11">(K84-J84)/AVERAGE(C84:I84)</f>
        <v>4.2617582530454806E-2</v>
      </c>
      <c r="M84" s="12"/>
      <c r="N84" s="673">
        <f>A!H200</f>
        <v>0</v>
      </c>
    </row>
    <row r="85" spans="2:14" ht="12" customHeight="1">
      <c r="B85" s="173" t="s">
        <v>96</v>
      </c>
      <c r="C85" s="26">
        <f>A!B201</f>
        <v>2753.8344761363155</v>
      </c>
      <c r="D85" s="26">
        <f>A!C201</f>
        <v>2686</v>
      </c>
      <c r="E85" s="26">
        <f>A!D201</f>
        <v>2687</v>
      </c>
      <c r="F85" s="26"/>
      <c r="G85" s="26">
        <f>A!F201</f>
        <v>2702.828000000005</v>
      </c>
      <c r="H85" s="26">
        <f>A!G201</f>
        <v>2691</v>
      </c>
      <c r="I85" s="440"/>
      <c r="J85" s="26">
        <f t="shared" si="9"/>
        <v>2686</v>
      </c>
      <c r="K85" s="26">
        <f t="shared" si="10"/>
        <v>2753.8344761363155</v>
      </c>
      <c r="L85" s="27">
        <f t="shared" si="11"/>
        <v>2.5085485365839846E-2</v>
      </c>
      <c r="M85" s="12"/>
      <c r="N85" s="673">
        <f>A!H201</f>
        <v>0</v>
      </c>
    </row>
    <row r="86" spans="2:14" ht="12" customHeight="1">
      <c r="B86" s="173" t="s">
        <v>98</v>
      </c>
      <c r="C86" s="26">
        <f>A!B202</f>
        <v>2746.5996438607058</v>
      </c>
      <c r="D86" s="26">
        <f>A!C202</f>
        <v>2615</v>
      </c>
      <c r="E86" s="26">
        <f>A!D202</f>
        <v>2618</v>
      </c>
      <c r="F86" s="26"/>
      <c r="G86" s="26">
        <f>A!F202</f>
        <v>2674.8690000000088</v>
      </c>
      <c r="H86" s="26">
        <f>A!G202</f>
        <v>2681</v>
      </c>
      <c r="I86" s="440"/>
      <c r="J86" s="26">
        <f t="shared" si="9"/>
        <v>2615</v>
      </c>
      <c r="K86" s="26">
        <f t="shared" si="10"/>
        <v>2746.5996438607058</v>
      </c>
      <c r="L86" s="27">
        <f t="shared" si="11"/>
        <v>4.934196441656015E-2</v>
      </c>
      <c r="M86" s="12"/>
      <c r="N86" s="673">
        <f>A!H202</f>
        <v>0</v>
      </c>
    </row>
    <row r="87" spans="2:14" ht="12" customHeight="1">
      <c r="B87" s="173" t="s">
        <v>102</v>
      </c>
      <c r="C87" s="26">
        <f>A!B203</f>
        <v>2783.6483035508809</v>
      </c>
      <c r="D87" s="26">
        <f>A!C203</f>
        <v>2656</v>
      </c>
      <c r="E87" s="26">
        <f>A!D203</f>
        <v>2633</v>
      </c>
      <c r="F87" s="26"/>
      <c r="G87" s="26">
        <f>A!F203</f>
        <v>2727.4839999999936</v>
      </c>
      <c r="H87" s="26">
        <f>A!G203</f>
        <v>2693</v>
      </c>
      <c r="I87" s="440"/>
      <c r="J87" s="26">
        <f t="shared" si="9"/>
        <v>2633</v>
      </c>
      <c r="K87" s="26">
        <f t="shared" si="10"/>
        <v>2783.6483035508809</v>
      </c>
      <c r="L87" s="27">
        <f t="shared" si="11"/>
        <v>5.5824066703635614E-2</v>
      </c>
      <c r="M87" s="12"/>
      <c r="N87" s="673">
        <f>A!H203</f>
        <v>0</v>
      </c>
    </row>
    <row r="88" spans="2:14" ht="12" customHeight="1">
      <c r="B88" s="173" t="s">
        <v>356</v>
      </c>
      <c r="C88" s="26">
        <f>A!B204</f>
        <v>2776.4377847636142</v>
      </c>
      <c r="D88" s="26">
        <f>A!C204</f>
        <v>2649</v>
      </c>
      <c r="E88" s="26">
        <f>A!D204</f>
        <v>2640</v>
      </c>
      <c r="F88" s="26"/>
      <c r="G88" s="26">
        <f>A!F204</f>
        <v>2712.5509999999958</v>
      </c>
      <c r="H88" s="26">
        <f>A!G204</f>
        <v>2684</v>
      </c>
      <c r="I88" s="440"/>
      <c r="J88" s="26">
        <f t="shared" si="9"/>
        <v>2640</v>
      </c>
      <c r="K88" s="26">
        <f t="shared" si="10"/>
        <v>2776.4377847636142</v>
      </c>
      <c r="L88" s="27">
        <f t="shared" si="11"/>
        <v>5.0675196267447362E-2</v>
      </c>
      <c r="M88" s="12"/>
      <c r="N88" s="673">
        <f>A!H204</f>
        <v>0</v>
      </c>
    </row>
    <row r="89" spans="2:14" ht="12" customHeight="1">
      <c r="B89" s="173" t="s">
        <v>105</v>
      </c>
      <c r="C89" s="26">
        <f>A!B205</f>
        <v>2040.2191038522333</v>
      </c>
      <c r="D89" s="26">
        <f>A!C205</f>
        <v>1865</v>
      </c>
      <c r="E89" s="26">
        <f>A!D205</f>
        <v>1867</v>
      </c>
      <c r="F89" s="26"/>
      <c r="G89" s="26">
        <f>A!F205</f>
        <v>1968.617000000002</v>
      </c>
      <c r="H89" s="26">
        <f>A!G205</f>
        <v>1970</v>
      </c>
      <c r="I89" s="440"/>
      <c r="J89" s="26">
        <f t="shared" si="9"/>
        <v>1865</v>
      </c>
      <c r="K89" s="26">
        <f t="shared" si="10"/>
        <v>2040.2191038522333</v>
      </c>
      <c r="L89" s="27">
        <f t="shared" si="11"/>
        <v>9.0218340613701042E-2</v>
      </c>
      <c r="M89" s="12"/>
      <c r="N89" s="673">
        <f>A!H205</f>
        <v>0</v>
      </c>
    </row>
    <row r="90" spans="2:14" ht="12" customHeight="1">
      <c r="B90" s="173" t="s">
        <v>108</v>
      </c>
      <c r="C90" s="26">
        <f>A!B206</f>
        <v>4313.0318409622851</v>
      </c>
      <c r="D90" s="26">
        <f>A!C206</f>
        <v>4185</v>
      </c>
      <c r="E90" s="26">
        <f>A!D206</f>
        <v>4181</v>
      </c>
      <c r="F90" s="26"/>
      <c r="G90" s="26">
        <f>A!F206</f>
        <v>4266.1759999997475</v>
      </c>
      <c r="H90" s="26">
        <f>A!G206</f>
        <v>4272</v>
      </c>
      <c r="I90" s="440"/>
      <c r="J90" s="26">
        <f t="shared" si="9"/>
        <v>4181</v>
      </c>
      <c r="K90" s="26">
        <f t="shared" si="10"/>
        <v>4313.0318409622851</v>
      </c>
      <c r="L90" s="27">
        <f t="shared" si="11"/>
        <v>3.1114329923135273E-2</v>
      </c>
      <c r="M90" s="12"/>
      <c r="N90" s="673">
        <f>A!H206</f>
        <v>0</v>
      </c>
    </row>
    <row r="91" spans="2:14" ht="12" customHeight="1">
      <c r="B91" s="173" t="s">
        <v>109</v>
      </c>
      <c r="C91" s="26">
        <f>A!B207</f>
        <v>1986.2848304670733</v>
      </c>
      <c r="D91" s="26">
        <f>A!C207</f>
        <v>1860</v>
      </c>
      <c r="E91" s="26">
        <f>A!D207</f>
        <v>1865</v>
      </c>
      <c r="F91" s="26"/>
      <c r="G91" s="26"/>
      <c r="H91" s="26">
        <f>A!G207</f>
        <v>1902</v>
      </c>
      <c r="I91" s="440"/>
      <c r="J91" s="26">
        <f t="shared" si="9"/>
        <v>1860</v>
      </c>
      <c r="K91" s="26">
        <f t="shared" si="10"/>
        <v>1986.2848304670733</v>
      </c>
      <c r="L91" s="27">
        <f t="shared" si="11"/>
        <v>6.6349720668115758E-2</v>
      </c>
      <c r="M91" s="12"/>
      <c r="N91" s="673">
        <f>A!H207</f>
        <v>0</v>
      </c>
    </row>
    <row r="92" spans="2:14" ht="12" customHeight="1">
      <c r="B92" s="173" t="s">
        <v>111</v>
      </c>
      <c r="C92" s="26">
        <f>A!B208</f>
        <v>1994.01749804832</v>
      </c>
      <c r="D92" s="26">
        <f>A!C208</f>
        <v>1965</v>
      </c>
      <c r="E92" s="26">
        <f>A!D208</f>
        <v>1969</v>
      </c>
      <c r="F92" s="26"/>
      <c r="G92" s="26"/>
      <c r="H92" s="26">
        <f>A!G208</f>
        <v>1936</v>
      </c>
      <c r="I92" s="440"/>
      <c r="J92" s="26">
        <f t="shared" si="9"/>
        <v>1936</v>
      </c>
      <c r="K92" s="26">
        <f t="shared" si="10"/>
        <v>1994.01749804832</v>
      </c>
      <c r="L92" s="27">
        <f t="shared" si="11"/>
        <v>2.9510360607777751E-2</v>
      </c>
      <c r="M92" s="12"/>
      <c r="N92" s="673">
        <f>A!H208</f>
        <v>0</v>
      </c>
    </row>
    <row r="93" spans="2:14" ht="12" customHeight="1">
      <c r="B93" s="173" t="s">
        <v>112</v>
      </c>
      <c r="C93" s="26">
        <f>A!B209</f>
        <v>2148.5022137105116</v>
      </c>
      <c r="D93" s="26">
        <f>A!C209</f>
        <v>2054</v>
      </c>
      <c r="E93" s="26">
        <f>A!D209</f>
        <v>2096</v>
      </c>
      <c r="F93" s="26"/>
      <c r="G93" s="26"/>
      <c r="H93" s="26">
        <f>A!G209</f>
        <v>2115</v>
      </c>
      <c r="I93" s="440"/>
      <c r="J93" s="26">
        <f t="shared" si="9"/>
        <v>2054</v>
      </c>
      <c r="K93" s="26">
        <f t="shared" si="10"/>
        <v>2148.5022137105116</v>
      </c>
      <c r="L93" s="27">
        <f t="shared" si="11"/>
        <v>4.4928835250800665E-2</v>
      </c>
      <c r="M93" s="12"/>
      <c r="N93" s="673">
        <f>A!H209</f>
        <v>0</v>
      </c>
    </row>
    <row r="94" spans="2:14" ht="12" customHeight="1">
      <c r="B94" s="173" t="s">
        <v>113</v>
      </c>
      <c r="C94" s="26">
        <f>A!B210</f>
        <v>2059.490255706839</v>
      </c>
      <c r="D94" s="26">
        <f>A!C210</f>
        <v>1993</v>
      </c>
      <c r="E94" s="26">
        <f>A!D210</f>
        <v>1980</v>
      </c>
      <c r="F94" s="26"/>
      <c r="G94" s="26"/>
      <c r="H94" s="26">
        <f>A!G210</f>
        <v>1970</v>
      </c>
      <c r="I94" s="440"/>
      <c r="J94" s="26">
        <f t="shared" si="9"/>
        <v>1970</v>
      </c>
      <c r="K94" s="26">
        <f t="shared" si="10"/>
        <v>2059.490255706839</v>
      </c>
      <c r="L94" s="27">
        <f t="shared" si="11"/>
        <v>4.4731203836466046E-2</v>
      </c>
      <c r="M94" s="12"/>
      <c r="N94" s="673">
        <f>A!H210</f>
        <v>0</v>
      </c>
    </row>
    <row r="95" spans="2:14" ht="12" customHeight="1">
      <c r="B95" s="173" t="s">
        <v>114</v>
      </c>
      <c r="C95" s="26">
        <f>A!B211</f>
        <v>2182.2677615890984</v>
      </c>
      <c r="D95" s="26">
        <f>A!C211</f>
        <v>2110</v>
      </c>
      <c r="E95" s="26">
        <f>A!D211</f>
        <v>2104</v>
      </c>
      <c r="F95" s="26"/>
      <c r="G95" s="26"/>
      <c r="H95" s="26">
        <f>A!G211</f>
        <v>2120</v>
      </c>
      <c r="I95" s="440"/>
      <c r="J95" s="26">
        <f t="shared" si="9"/>
        <v>2104</v>
      </c>
      <c r="K95" s="26">
        <f t="shared" si="10"/>
        <v>2182.2677615890984</v>
      </c>
      <c r="L95" s="27">
        <f t="shared" si="11"/>
        <v>3.6761531591155139E-2</v>
      </c>
      <c r="M95" s="12"/>
      <c r="N95" s="673">
        <f>A!H211</f>
        <v>0</v>
      </c>
    </row>
    <row r="96" spans="2:14" ht="12" customHeight="1">
      <c r="B96" s="173" t="s">
        <v>115</v>
      </c>
      <c r="C96" s="26">
        <f>A!B212</f>
        <v>1919.7698233773071</v>
      </c>
      <c r="D96" s="26">
        <f>A!C212</f>
        <v>1975</v>
      </c>
      <c r="E96" s="26">
        <f>A!D212</f>
        <v>1975</v>
      </c>
      <c r="F96" s="26"/>
      <c r="G96" s="26">
        <f>A!F212</f>
        <v>1911.8690000000017</v>
      </c>
      <c r="H96" s="26">
        <f>A!G212</f>
        <v>1976</v>
      </c>
      <c r="I96" s="440"/>
      <c r="J96" s="26">
        <f t="shared" si="9"/>
        <v>1911.8690000000017</v>
      </c>
      <c r="K96" s="26">
        <f t="shared" si="10"/>
        <v>1976</v>
      </c>
      <c r="L96" s="27">
        <f t="shared" si="11"/>
        <v>3.2861945989614567E-2</v>
      </c>
      <c r="M96" s="12"/>
      <c r="N96" s="673">
        <f>A!H212</f>
        <v>0</v>
      </c>
    </row>
    <row r="97" spans="2:16" ht="12" customHeight="1">
      <c r="B97" s="173" t="s">
        <v>120</v>
      </c>
      <c r="C97" s="26">
        <f>A!B213</f>
        <v>1476.6546903521444</v>
      </c>
      <c r="D97" s="26">
        <f>A!C213</f>
        <v>1527</v>
      </c>
      <c r="E97" s="26">
        <f>A!D213</f>
        <v>1527</v>
      </c>
      <c r="F97" s="26"/>
      <c r="G97" s="26">
        <f>A!F213</f>
        <v>1475.5280000000027</v>
      </c>
      <c r="H97" s="26">
        <f>A!G213</f>
        <v>1524</v>
      </c>
      <c r="I97" s="440"/>
      <c r="J97" s="26">
        <f t="shared" si="9"/>
        <v>1475.5280000000027</v>
      </c>
      <c r="K97" s="26">
        <f t="shared" si="10"/>
        <v>1527</v>
      </c>
      <c r="L97" s="27">
        <f t="shared" si="11"/>
        <v>3.417712565323576E-2</v>
      </c>
      <c r="M97" s="12"/>
      <c r="N97" s="673">
        <f>A!H213</f>
        <v>0</v>
      </c>
    </row>
    <row r="98" spans="2:16" ht="12" customHeight="1">
      <c r="B98" s="173" t="s">
        <v>124</v>
      </c>
      <c r="C98" s="26">
        <f>A!B214</f>
        <v>2937.676627832258</v>
      </c>
      <c r="D98" s="26">
        <f>A!C214</f>
        <v>3061</v>
      </c>
      <c r="E98" s="26">
        <f>A!D214</f>
        <v>3061</v>
      </c>
      <c r="F98" s="26"/>
      <c r="G98" s="26">
        <f>A!F214</f>
        <v>2974.4</v>
      </c>
      <c r="H98" s="26">
        <f>A!G214</f>
        <v>3050</v>
      </c>
      <c r="I98" s="440"/>
      <c r="J98" s="26">
        <f t="shared" si="9"/>
        <v>2937.676627832258</v>
      </c>
      <c r="K98" s="26">
        <f t="shared" si="10"/>
        <v>3061</v>
      </c>
      <c r="L98" s="27">
        <f t="shared" si="11"/>
        <v>4.0878661389253668E-2</v>
      </c>
      <c r="M98" s="12"/>
      <c r="N98" s="673">
        <f>A!H214</f>
        <v>0</v>
      </c>
    </row>
    <row r="99" spans="2:16" ht="12" customHeight="1">
      <c r="B99" s="173" t="s">
        <v>125</v>
      </c>
      <c r="C99" s="26">
        <f>A!B215</f>
        <v>2340.1169215021255</v>
      </c>
      <c r="D99" s="26">
        <f>A!C215</f>
        <v>2394</v>
      </c>
      <c r="E99" s="26">
        <f>A!D215</f>
        <v>2393</v>
      </c>
      <c r="F99" s="26"/>
      <c r="G99" s="26">
        <f>A!F215</f>
        <v>2344.8270000000412</v>
      </c>
      <c r="H99" s="26">
        <f>A!G215</f>
        <v>2396</v>
      </c>
      <c r="I99" s="440"/>
      <c r="J99" s="26">
        <f t="shared" si="9"/>
        <v>2340.1169215021255</v>
      </c>
      <c r="K99" s="26">
        <f t="shared" si="10"/>
        <v>2396</v>
      </c>
      <c r="L99" s="27">
        <f t="shared" si="11"/>
        <v>2.3543706840671186E-2</v>
      </c>
      <c r="M99" s="12"/>
      <c r="N99" s="673">
        <f>A!H215</f>
        <v>0</v>
      </c>
    </row>
    <row r="100" spans="2:16" ht="12" customHeight="1">
      <c r="B100" s="173" t="s">
        <v>127</v>
      </c>
      <c r="C100" s="26">
        <f>A!B216</f>
        <v>2108.2782659614504</v>
      </c>
      <c r="D100" s="26">
        <f>A!C216</f>
        <v>2182</v>
      </c>
      <c r="E100" s="26">
        <f>A!D216</f>
        <v>2182</v>
      </c>
      <c r="F100" s="26"/>
      <c r="G100" s="26">
        <f>A!F216</f>
        <v>2110.8329999999924</v>
      </c>
      <c r="H100" s="26">
        <f>A!G216</f>
        <v>2174</v>
      </c>
      <c r="I100" s="440"/>
      <c r="J100" s="26">
        <f t="shared" si="9"/>
        <v>2108.2782659614504</v>
      </c>
      <c r="K100" s="26">
        <f t="shared" si="10"/>
        <v>2182</v>
      </c>
      <c r="L100" s="27">
        <f t="shared" si="11"/>
        <v>3.4266510876310302E-2</v>
      </c>
      <c r="M100" s="12"/>
      <c r="N100" s="673">
        <f>A!H216</f>
        <v>0</v>
      </c>
    </row>
    <row r="101" spans="2:16" ht="12" customHeight="1">
      <c r="B101" s="173" t="s">
        <v>130</v>
      </c>
      <c r="C101" s="26">
        <f>A!B217</f>
        <v>1611.2289106354137</v>
      </c>
      <c r="D101" s="26">
        <f>A!C217</f>
        <v>1642</v>
      </c>
      <c r="E101" s="26">
        <f>A!D217</f>
        <v>1643</v>
      </c>
      <c r="F101" s="26"/>
      <c r="G101" s="26">
        <f>A!F217</f>
        <v>1599.2030000000073</v>
      </c>
      <c r="H101" s="26">
        <f>A!G217</f>
        <v>1663</v>
      </c>
      <c r="I101" s="440"/>
      <c r="J101" s="26">
        <f t="shared" si="9"/>
        <v>1599.2030000000073</v>
      </c>
      <c r="K101" s="26">
        <f t="shared" si="10"/>
        <v>1663</v>
      </c>
      <c r="L101" s="27">
        <f t="shared" si="11"/>
        <v>3.9098812552952902E-2</v>
      </c>
      <c r="M101" s="12"/>
      <c r="N101" s="673">
        <f>A!H217</f>
        <v>0</v>
      </c>
    </row>
    <row r="102" spans="2:16" ht="12" customHeight="1">
      <c r="B102" s="173" t="s">
        <v>132</v>
      </c>
      <c r="C102" s="26">
        <f>A!B218</f>
        <v>1551.8308506501819</v>
      </c>
      <c r="D102" s="26">
        <f>A!C218</f>
        <v>1580</v>
      </c>
      <c r="E102" s="26">
        <f>A!D218</f>
        <v>1580</v>
      </c>
      <c r="F102" s="26"/>
      <c r="G102" s="26">
        <f>A!F218</f>
        <v>1535.684</v>
      </c>
      <c r="H102" s="26">
        <f>A!G218</f>
        <v>1585</v>
      </c>
      <c r="I102" s="440"/>
      <c r="J102" s="26">
        <f t="shared" si="9"/>
        <v>1535.684</v>
      </c>
      <c r="K102" s="26">
        <f t="shared" si="10"/>
        <v>1585</v>
      </c>
      <c r="L102" s="27">
        <f t="shared" si="11"/>
        <v>3.1481587293707002E-2</v>
      </c>
      <c r="M102" s="12"/>
      <c r="N102" s="673">
        <f>A!H218</f>
        <v>0</v>
      </c>
    </row>
    <row r="103" spans="2:16" ht="12" customHeight="1">
      <c r="B103" s="173" t="s">
        <v>135</v>
      </c>
      <c r="C103" s="26">
        <f>A!B219</f>
        <v>1888.1034743537653</v>
      </c>
      <c r="D103" s="26">
        <f>A!C219</f>
        <v>1940</v>
      </c>
      <c r="E103" s="26">
        <f>A!D219</f>
        <v>1939</v>
      </c>
      <c r="F103" s="26"/>
      <c r="G103" s="26">
        <f>A!F219</f>
        <v>1872.3359999999955</v>
      </c>
      <c r="H103" s="26">
        <f>A!G219</f>
        <v>1926</v>
      </c>
      <c r="I103" s="440"/>
      <c r="J103" s="26">
        <f t="shared" si="9"/>
        <v>1872.3359999999955</v>
      </c>
      <c r="K103" s="26">
        <f t="shared" si="10"/>
        <v>1940</v>
      </c>
      <c r="L103" s="27">
        <f t="shared" si="11"/>
        <v>3.5368996992464846E-2</v>
      </c>
      <c r="M103" s="12"/>
      <c r="N103" s="673">
        <f>A!H219</f>
        <v>0</v>
      </c>
    </row>
    <row r="104" spans="2:16" ht="12" customHeight="1" thickBot="1">
      <c r="B104" s="174" t="s">
        <v>138</v>
      </c>
      <c r="C104" s="151">
        <f>A!B220</f>
        <v>1312.4522494395735</v>
      </c>
      <c r="D104" s="29">
        <f>A!C220</f>
        <v>1334</v>
      </c>
      <c r="E104" s="29">
        <f>A!D220</f>
        <v>1333</v>
      </c>
      <c r="F104" s="29"/>
      <c r="G104" s="29">
        <f>A!F220</f>
        <v>1301.7909999999904</v>
      </c>
      <c r="H104" s="29">
        <f>A!G220</f>
        <v>1337</v>
      </c>
      <c r="I104" s="441"/>
      <c r="J104" s="29">
        <f t="shared" si="9"/>
        <v>1301.7909999999904</v>
      </c>
      <c r="K104" s="29">
        <f t="shared" si="10"/>
        <v>1337</v>
      </c>
      <c r="L104" s="30">
        <f t="shared" si="11"/>
        <v>2.6599959137941272E-2</v>
      </c>
      <c r="M104" s="12"/>
      <c r="N104" s="673">
        <f>A!H220</f>
        <v>0</v>
      </c>
    </row>
    <row r="105" spans="2:16" ht="12" customHeight="1" thickTop="1">
      <c r="B105" s="18"/>
      <c r="C105" s="26"/>
      <c r="D105" s="32" t="s">
        <v>546</v>
      </c>
      <c r="E105" s="26"/>
      <c r="F105" s="26"/>
      <c r="G105" s="26"/>
      <c r="H105" s="26"/>
      <c r="I105" s="18"/>
      <c r="J105" s="18"/>
      <c r="K105" s="18"/>
      <c r="L105" s="18"/>
      <c r="M105" s="34"/>
    </row>
    <row r="106" spans="2:16" ht="12" customHeight="1">
      <c r="B106" s="18"/>
      <c r="C106" s="26"/>
      <c r="D106" s="32"/>
      <c r="E106" s="26"/>
      <c r="F106" s="26"/>
      <c r="G106" s="26"/>
      <c r="H106" s="26"/>
      <c r="I106" s="18"/>
      <c r="J106" s="18"/>
      <c r="K106" s="18"/>
      <c r="L106" s="18"/>
      <c r="M106" s="34"/>
    </row>
    <row r="107" spans="2:16" ht="12" customHeight="1">
      <c r="B107" s="18"/>
      <c r="C107" s="26"/>
      <c r="D107" s="32"/>
      <c r="E107" s="26"/>
      <c r="F107" s="26"/>
      <c r="G107" s="26"/>
      <c r="H107" s="26"/>
      <c r="I107" s="18"/>
      <c r="J107" s="18"/>
      <c r="K107" s="18"/>
      <c r="L107" s="18"/>
      <c r="M107" s="34"/>
    </row>
    <row r="108" spans="2:16" ht="12" customHeight="1">
      <c r="B108" s="18"/>
      <c r="C108" s="26"/>
      <c r="D108" s="32"/>
      <c r="E108" s="26"/>
      <c r="F108" s="26"/>
      <c r="G108" s="26"/>
      <c r="H108" s="26"/>
      <c r="I108" s="18"/>
      <c r="J108" s="18"/>
      <c r="K108" s="18"/>
      <c r="L108" s="18"/>
      <c r="M108" s="34"/>
    </row>
    <row r="109" spans="2:16" ht="15" customHeight="1" thickBot="1">
      <c r="B109" s="58" t="s">
        <v>443</v>
      </c>
      <c r="M109" s="34"/>
      <c r="O109" s="2"/>
      <c r="P109" s="11"/>
    </row>
    <row r="110" spans="2:16" ht="12" customHeight="1" thickTop="1">
      <c r="B110" s="204"/>
      <c r="C110" s="144"/>
      <c r="D110" s="145"/>
      <c r="E110" s="144"/>
      <c r="F110" s="145"/>
      <c r="G110" s="145"/>
      <c r="H110" s="145"/>
      <c r="I110" s="20"/>
      <c r="J110" s="147" t="s">
        <v>24</v>
      </c>
      <c r="K110" s="144"/>
      <c r="L110" s="146"/>
      <c r="M110" s="59"/>
      <c r="P110" s="11"/>
    </row>
    <row r="111" spans="2:16" ht="12" customHeight="1">
      <c r="B111" s="170"/>
      <c r="C111" s="205" t="s">
        <v>245</v>
      </c>
      <c r="D111" s="22" t="s">
        <v>536</v>
      </c>
      <c r="E111" s="205" t="s">
        <v>258</v>
      </c>
      <c r="F111" s="352" t="s">
        <v>433</v>
      </c>
      <c r="G111" s="436" t="s">
        <v>469</v>
      </c>
      <c r="H111" s="437" t="s">
        <v>482</v>
      </c>
      <c r="I111" s="436"/>
      <c r="J111" s="148"/>
      <c r="K111" s="200"/>
      <c r="L111" s="23" t="s">
        <v>25</v>
      </c>
      <c r="M111" s="59"/>
      <c r="N111" s="673" t="s">
        <v>519</v>
      </c>
      <c r="O111" s="2"/>
      <c r="P111" s="11"/>
    </row>
    <row r="112" spans="2:16" ht="12" customHeight="1">
      <c r="B112" s="171"/>
      <c r="C112" s="24" t="s">
        <v>26</v>
      </c>
      <c r="D112" s="24" t="s">
        <v>13</v>
      </c>
      <c r="E112" s="24" t="s">
        <v>13</v>
      </c>
      <c r="F112" s="353" t="s">
        <v>434</v>
      </c>
      <c r="G112" s="353" t="s">
        <v>452</v>
      </c>
      <c r="H112" s="353" t="s">
        <v>483</v>
      </c>
      <c r="I112" s="353"/>
      <c r="J112" s="149" t="s">
        <v>27</v>
      </c>
      <c r="K112" s="24" t="s">
        <v>28</v>
      </c>
      <c r="L112" s="25" t="s">
        <v>259</v>
      </c>
      <c r="M112" s="59"/>
      <c r="N112" s="673" t="s">
        <v>520</v>
      </c>
      <c r="O112" s="2"/>
      <c r="P112" s="11"/>
    </row>
    <row r="113" spans="2:16" ht="12" customHeight="1">
      <c r="B113" s="31" t="s">
        <v>444</v>
      </c>
      <c r="C113" s="200"/>
      <c r="D113" s="201"/>
      <c r="E113" s="200"/>
      <c r="F113" s="201"/>
      <c r="G113" s="201"/>
      <c r="H113" s="201"/>
      <c r="I113" s="34"/>
      <c r="J113" s="150"/>
      <c r="K113" s="201"/>
      <c r="L113" s="27"/>
      <c r="M113" s="59"/>
      <c r="O113" s="2"/>
      <c r="P113" s="11"/>
    </row>
    <row r="114" spans="2:16" ht="12" customHeight="1">
      <c r="B114" s="206" t="s">
        <v>151</v>
      </c>
      <c r="C114" s="219">
        <f>A!B470</f>
        <v>19.914452054794491</v>
      </c>
      <c r="D114" s="219">
        <f>A!C470</f>
        <v>19.888888888888886</v>
      </c>
      <c r="E114" s="219">
        <f>A!D470</f>
        <v>19.888888888888886</v>
      </c>
      <c r="F114" s="219">
        <f>A!E470</f>
        <v>19.914143835616347</v>
      </c>
      <c r="G114" s="219">
        <f>A!F470</f>
        <v>19.914452054794427</v>
      </c>
      <c r="H114" s="219">
        <f>A!G470</f>
        <v>19.91</v>
      </c>
      <c r="I114" s="35"/>
      <c r="J114" s="150">
        <f>MINA(C114:I114)</f>
        <v>19.888888888888886</v>
      </c>
      <c r="K114" s="201">
        <f>MAXA(C114:I114)</f>
        <v>19.914452054794491</v>
      </c>
      <c r="L114" s="27">
        <f>(K114-J114)/AVERAGE(C114:I114)</f>
        <v>1.2842496441362061E-3</v>
      </c>
      <c r="M114" s="59"/>
      <c r="N114" s="598">
        <f>A!H470</f>
        <v>0</v>
      </c>
      <c r="O114" s="2"/>
      <c r="P114" s="11"/>
    </row>
    <row r="115" spans="2:16" ht="12" customHeight="1">
      <c r="B115" s="206" t="s">
        <v>223</v>
      </c>
      <c r="C115" s="428">
        <f>A!B471</f>
        <v>1.1642917900684956E-2</v>
      </c>
      <c r="D115" s="428">
        <f>A!C471</f>
        <v>1.1599999999999999E-2</v>
      </c>
      <c r="E115" s="428">
        <f>A!D471</f>
        <v>1.1599999999999999E-2</v>
      </c>
      <c r="F115" s="428">
        <f>A!E471</f>
        <v>1.1607902527993211E-2</v>
      </c>
      <c r="G115" s="428">
        <f>A!F471</f>
        <v>1.1648657534246494E-2</v>
      </c>
      <c r="H115" s="428">
        <f>A!G471</f>
        <v>1.1599999999999999E-2</v>
      </c>
      <c r="I115" s="35"/>
      <c r="J115" s="468">
        <f>MINA(C115:I115)</f>
        <v>1.1599999999999999E-2</v>
      </c>
      <c r="K115" s="428">
        <f>MAXA(C115:I115)</f>
        <v>1.1648657534246494E-2</v>
      </c>
      <c r="L115" s="27">
        <f>(K115-J115)/AVERAGE(C115:I115)</f>
        <v>4.1886282940922998E-3</v>
      </c>
      <c r="M115" s="59"/>
      <c r="N115" s="675">
        <f>A!H471</f>
        <v>0</v>
      </c>
      <c r="O115" s="2"/>
      <c r="P115" s="11"/>
    </row>
    <row r="116" spans="2:16" ht="12" customHeight="1">
      <c r="B116" s="429" t="s">
        <v>445</v>
      </c>
      <c r="C116" s="201"/>
      <c r="D116" s="201"/>
      <c r="E116" s="201"/>
      <c r="F116" s="201"/>
      <c r="G116" s="201"/>
      <c r="H116" s="120"/>
      <c r="I116" s="35"/>
      <c r="J116" s="150"/>
      <c r="K116" s="201"/>
      <c r="L116" s="27"/>
      <c r="M116" s="59"/>
      <c r="N116" s="673"/>
      <c r="O116" s="2"/>
      <c r="P116" s="11"/>
    </row>
    <row r="117" spans="2:16" ht="12" customHeight="1">
      <c r="B117" s="206" t="s">
        <v>151</v>
      </c>
      <c r="C117" s="219">
        <f>A!B1170</f>
        <v>34.700000000000003</v>
      </c>
      <c r="D117" s="219">
        <f>A!E1170</f>
        <v>35</v>
      </c>
      <c r="E117" s="219">
        <f>A!H1170</f>
        <v>35</v>
      </c>
      <c r="F117" s="219">
        <f>A!K1170</f>
        <v>34.774999999999999</v>
      </c>
      <c r="G117" s="219">
        <f>A!N1170</f>
        <v>35</v>
      </c>
      <c r="H117" s="219">
        <f>A!Q1170</f>
        <v>35</v>
      </c>
      <c r="I117" s="35"/>
      <c r="J117" s="150">
        <f>MINA(C117:I117)</f>
        <v>34.700000000000003</v>
      </c>
      <c r="K117" s="201">
        <f>MAXA(C117:I117)</f>
        <v>35</v>
      </c>
      <c r="L117" s="27">
        <f>(K117-J117)/AVERAGE(C117:I117)</f>
        <v>8.5929108485498645E-3</v>
      </c>
      <c r="M117" s="59"/>
      <c r="N117" s="598">
        <f>A!T1170</f>
        <v>0</v>
      </c>
      <c r="O117" s="2"/>
      <c r="P117" s="11"/>
    </row>
    <row r="118" spans="2:16" ht="12" customHeight="1" thickBot="1">
      <c r="B118" s="207" t="s">
        <v>223</v>
      </c>
      <c r="C118" s="430">
        <f>A!B1171</f>
        <v>2.1877500000000001E-2</v>
      </c>
      <c r="D118" s="430">
        <f>A!E1171</f>
        <v>2.2499999999999999E-2</v>
      </c>
      <c r="E118" s="430">
        <f>A!H1171</f>
        <v>2.2499999999999999E-2</v>
      </c>
      <c r="F118" s="430">
        <f>A!K1171</f>
        <v>2.1867908064606201E-2</v>
      </c>
      <c r="G118" s="430">
        <f>A!N1171</f>
        <v>2.2405999999999999E-2</v>
      </c>
      <c r="H118" s="430">
        <f>A!Q1171</f>
        <v>2.23E-2</v>
      </c>
      <c r="I118" s="28"/>
      <c r="J118" s="469">
        <f>MINA(C118:I118)</f>
        <v>2.1867908064606201E-2</v>
      </c>
      <c r="K118" s="430">
        <f>MAXA(C118:I118)</f>
        <v>2.2499999999999999E-2</v>
      </c>
      <c r="L118" s="30">
        <f>(K118-J118)/AVERAGE(C118:I118)</f>
        <v>2.841897037554485E-2</v>
      </c>
      <c r="M118" s="59"/>
      <c r="N118" s="675">
        <f>A!T1171</f>
        <v>0</v>
      </c>
      <c r="O118" s="2"/>
      <c r="P118" s="11"/>
    </row>
    <row r="119" spans="2:16" ht="12" customHeight="1" thickTop="1">
      <c r="D119" s="32" t="s">
        <v>547</v>
      </c>
      <c r="M119" s="59"/>
      <c r="O119" s="2"/>
      <c r="P119" s="11"/>
    </row>
    <row r="120" spans="2:16" ht="12" customHeight="1">
      <c r="M120" s="59"/>
      <c r="O120" s="2"/>
      <c r="P120" s="11"/>
    </row>
    <row r="121" spans="2:16" ht="12" customHeight="1">
      <c r="O121" s="2"/>
      <c r="P121" s="12"/>
    </row>
    <row r="122" spans="2:16" ht="12" customHeight="1">
      <c r="O122" s="2"/>
      <c r="P122" s="12"/>
    </row>
    <row r="123" spans="2:16" ht="12" customHeight="1">
      <c r="M123" s="35"/>
      <c r="O123" s="2"/>
      <c r="P123" s="12"/>
    </row>
    <row r="124" spans="2:16" ht="12" customHeight="1">
      <c r="M124" s="35"/>
      <c r="O124" s="2"/>
      <c r="P124" s="12"/>
    </row>
    <row r="125" spans="2:16" ht="15" customHeight="1" thickBot="1">
      <c r="B125" s="192" t="s">
        <v>260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O125" s="2"/>
      <c r="P125" s="12"/>
    </row>
    <row r="126" spans="2:16" ht="12" customHeight="1" thickTop="1">
      <c r="B126" s="19" t="s">
        <v>261</v>
      </c>
      <c r="C126" s="20"/>
      <c r="D126" s="20"/>
      <c r="E126" s="20"/>
      <c r="F126" s="20"/>
      <c r="G126" s="20"/>
      <c r="H126" s="20"/>
      <c r="I126" s="140"/>
      <c r="J126" s="20" t="s">
        <v>24</v>
      </c>
      <c r="K126" s="20"/>
      <c r="L126" s="21"/>
      <c r="O126" s="2"/>
      <c r="P126" s="12"/>
    </row>
    <row r="127" spans="2:16" ht="12" customHeight="1">
      <c r="B127" s="170"/>
      <c r="C127" s="22" t="s">
        <v>245</v>
      </c>
      <c r="D127" s="22" t="s">
        <v>536</v>
      </c>
      <c r="E127" s="22" t="s">
        <v>258</v>
      </c>
      <c r="F127" s="352" t="s">
        <v>433</v>
      </c>
      <c r="G127" s="436" t="s">
        <v>469</v>
      </c>
      <c r="H127" s="437" t="s">
        <v>482</v>
      </c>
      <c r="I127" s="436"/>
      <c r="J127" s="148"/>
      <c r="K127" s="18"/>
      <c r="L127" s="23" t="s">
        <v>25</v>
      </c>
      <c r="N127" s="673" t="s">
        <v>519</v>
      </c>
      <c r="O127" s="2"/>
      <c r="P127" s="12"/>
    </row>
    <row r="128" spans="2:16" ht="12" customHeight="1">
      <c r="B128" s="171"/>
      <c r="C128" s="24" t="s">
        <v>26</v>
      </c>
      <c r="D128" s="24" t="s">
        <v>13</v>
      </c>
      <c r="E128" s="24" t="s">
        <v>13</v>
      </c>
      <c r="F128" s="353" t="s">
        <v>434</v>
      </c>
      <c r="G128" s="353" t="s">
        <v>452</v>
      </c>
      <c r="H128" s="353" t="s">
        <v>483</v>
      </c>
      <c r="I128" s="353"/>
      <c r="J128" s="149" t="s">
        <v>27</v>
      </c>
      <c r="K128" s="24" t="s">
        <v>28</v>
      </c>
      <c r="L128" s="25" t="s">
        <v>259</v>
      </c>
      <c r="N128" s="673" t="s">
        <v>520</v>
      </c>
      <c r="O128" s="2"/>
      <c r="P128" s="12"/>
    </row>
    <row r="129" spans="2:16" ht="12" customHeight="1">
      <c r="B129" s="172" t="s">
        <v>91</v>
      </c>
      <c r="C129" s="26">
        <f>A!B260</f>
        <v>80426.867481742112</v>
      </c>
      <c r="D129" s="26">
        <f>A!C260</f>
        <v>77283.435600000012</v>
      </c>
      <c r="E129" s="26">
        <f>A!D260</f>
        <v>77291.935500000007</v>
      </c>
      <c r="F129" s="26">
        <f>A!E260</f>
        <v>78329.997540555065</v>
      </c>
      <c r="G129" s="26">
        <f>A!F260</f>
        <v>77744.589000000124</v>
      </c>
      <c r="H129" s="26">
        <f>A!G260</f>
        <v>78257</v>
      </c>
      <c r="I129" s="677"/>
      <c r="J129" s="150">
        <f t="shared" ref="J129:J149" si="12">MINA(C129:I129)</f>
        <v>77283.435600000012</v>
      </c>
      <c r="K129" s="26">
        <f t="shared" ref="K129:K149" si="13">MAXA(C129:I129)</f>
        <v>80426.867481742112</v>
      </c>
      <c r="L129" s="27">
        <f t="shared" ref="L129:L149" si="14">(K129-J129)/AVERAGE(C129:I129)</f>
        <v>4.0185876834123294E-2</v>
      </c>
      <c r="N129" s="673">
        <f>A!H260</f>
        <v>0</v>
      </c>
      <c r="O129" s="2"/>
      <c r="P129" s="12"/>
    </row>
    <row r="130" spans="2:16" ht="12" customHeight="1">
      <c r="B130" s="173" t="s">
        <v>96</v>
      </c>
      <c r="C130" s="26">
        <f>A!B261</f>
        <v>99342.131564849216</v>
      </c>
      <c r="D130" s="26">
        <f>A!C261</f>
        <v>97394.785200000013</v>
      </c>
      <c r="E130" s="26">
        <f>A!D261</f>
        <v>97412.078100000013</v>
      </c>
      <c r="F130" s="26">
        <f>A!E261</f>
        <v>97347.66090722708</v>
      </c>
      <c r="G130" s="26">
        <f>A!F261</f>
        <v>97295.865999999718</v>
      </c>
      <c r="H130" s="26">
        <f>A!G261</f>
        <v>97261</v>
      </c>
      <c r="I130" s="443"/>
      <c r="J130" s="26">
        <f t="shared" si="12"/>
        <v>97261</v>
      </c>
      <c r="K130" s="26">
        <f t="shared" si="13"/>
        <v>99342.131564849216</v>
      </c>
      <c r="L130" s="27">
        <f t="shared" si="14"/>
        <v>2.1306568300005158E-2</v>
      </c>
      <c r="N130" s="673">
        <f>A!H261</f>
        <v>0</v>
      </c>
      <c r="O130" s="2"/>
      <c r="P130" s="12"/>
    </row>
    <row r="131" spans="2:16" ht="12" customHeight="1">
      <c r="B131" s="173" t="s">
        <v>98</v>
      </c>
      <c r="C131" s="26">
        <f>A!B262</f>
        <v>99791.677967264899</v>
      </c>
      <c r="D131" s="26">
        <f>A!C262</f>
        <v>96356.331900000005</v>
      </c>
      <c r="E131" s="26">
        <f>A!D262</f>
        <v>96493.209600000002</v>
      </c>
      <c r="F131" s="26">
        <f>A!E262</f>
        <v>97434.838325451346</v>
      </c>
      <c r="G131" s="26">
        <f>A!F262</f>
        <v>97141.307000000001</v>
      </c>
      <c r="H131" s="26">
        <f>A!G262</f>
        <v>96957</v>
      </c>
      <c r="I131" s="443"/>
      <c r="J131" s="26">
        <f t="shared" si="12"/>
        <v>96356.331900000005</v>
      </c>
      <c r="K131" s="26">
        <f t="shared" si="13"/>
        <v>99791.677967264899</v>
      </c>
      <c r="L131" s="27">
        <f t="shared" si="14"/>
        <v>3.5284116602588664E-2</v>
      </c>
      <c r="N131" s="673">
        <f>A!H262</f>
        <v>0</v>
      </c>
      <c r="O131" s="2"/>
      <c r="P131" s="12"/>
    </row>
    <row r="132" spans="2:16" ht="12" customHeight="1">
      <c r="B132" s="173" t="s">
        <v>102</v>
      </c>
      <c r="C132" s="26">
        <f>A!B263</f>
        <v>105012.87148956976</v>
      </c>
      <c r="D132" s="26">
        <f>A!C263</f>
        <v>100729.97010000001</v>
      </c>
      <c r="E132" s="26">
        <f>A!D263</f>
        <v>100993.467</v>
      </c>
      <c r="F132" s="26">
        <f>A!E263</f>
        <v>103810.92900120793</v>
      </c>
      <c r="G132" s="26">
        <f>A!F263</f>
        <v>103712.91500000004</v>
      </c>
      <c r="H132" s="26">
        <f>A!G263</f>
        <v>102008</v>
      </c>
      <c r="I132" s="443"/>
      <c r="J132" s="26">
        <f t="shared" si="12"/>
        <v>100729.97010000001</v>
      </c>
      <c r="K132" s="26">
        <f t="shared" si="13"/>
        <v>105012.87148956976</v>
      </c>
      <c r="L132" s="27">
        <f t="shared" si="14"/>
        <v>4.1698420126672464E-2</v>
      </c>
      <c r="N132" s="673">
        <f>A!H263</f>
        <v>0</v>
      </c>
      <c r="O132" s="2"/>
      <c r="P132" s="12"/>
    </row>
    <row r="133" spans="2:16" ht="12" customHeight="1">
      <c r="B133" s="173" t="s">
        <v>356</v>
      </c>
      <c r="C133" s="26">
        <f>A!B264</f>
        <v>102727.97891432175</v>
      </c>
      <c r="D133" s="26">
        <f>A!C264</f>
        <v>99027.645300000004</v>
      </c>
      <c r="E133" s="26">
        <f>A!D264</f>
        <v>99223.143000000011</v>
      </c>
      <c r="F133" s="26">
        <f>A!E264</f>
        <v>101133.52775017772</v>
      </c>
      <c r="G133" s="26">
        <f>A!F264</f>
        <v>100676.21</v>
      </c>
      <c r="H133" s="26">
        <f>A!G264</f>
        <v>99753</v>
      </c>
      <c r="I133" s="443"/>
      <c r="J133" s="26">
        <f>MINA(C133:I133)</f>
        <v>99027.645300000004</v>
      </c>
      <c r="K133" s="26">
        <f>MAXA(C133:I133)</f>
        <v>102727.97891432175</v>
      </c>
      <c r="L133" s="27">
        <f>(K133-J133)/AVERAGE(C133:I133)</f>
        <v>3.6847256998899305E-2</v>
      </c>
      <c r="N133" s="673">
        <f>A!H264</f>
        <v>0</v>
      </c>
      <c r="O133" s="2"/>
      <c r="P133" s="12"/>
    </row>
    <row r="134" spans="2:16" ht="12" customHeight="1">
      <c r="B134" s="173" t="s">
        <v>105</v>
      </c>
      <c r="C134" s="26">
        <f>A!B265</f>
        <v>69387.997605120792</v>
      </c>
      <c r="D134" s="26">
        <f>A!C265</f>
        <v>63736.353600000009</v>
      </c>
      <c r="E134" s="26">
        <f>A!D265</f>
        <v>63634.647900000004</v>
      </c>
      <c r="F134" s="26">
        <f>A!E265</f>
        <v>66594.547200499786</v>
      </c>
      <c r="G134" s="26">
        <f>A!F265</f>
        <v>66860.163000000059</v>
      </c>
      <c r="H134" s="26">
        <f>A!G265</f>
        <v>67389</v>
      </c>
      <c r="I134" s="443"/>
      <c r="J134" s="26">
        <f t="shared" si="12"/>
        <v>63634.647900000004</v>
      </c>
      <c r="K134" s="26">
        <f t="shared" si="13"/>
        <v>69387.997605120792</v>
      </c>
      <c r="L134" s="27">
        <f t="shared" si="14"/>
        <v>8.6820581004116285E-2</v>
      </c>
      <c r="N134" s="673">
        <f>A!H265</f>
        <v>0</v>
      </c>
      <c r="O134" s="2"/>
      <c r="P134" s="12"/>
    </row>
    <row r="135" spans="2:16" ht="12" customHeight="1">
      <c r="B135" s="173" t="s">
        <v>108</v>
      </c>
      <c r="C135" s="26">
        <f>A!B266</f>
        <v>162974.06257335175</v>
      </c>
      <c r="D135" s="26">
        <f>A!C266</f>
        <v>159807.20610000001</v>
      </c>
      <c r="E135" s="26">
        <f>A!D266</f>
        <v>159853.80900000001</v>
      </c>
      <c r="F135" s="26">
        <f>A!E266</f>
        <v>162207.68653318047</v>
      </c>
      <c r="G135" s="26">
        <f>A!F266</f>
        <v>161200.17900000018</v>
      </c>
      <c r="H135" s="26">
        <f>A!G266</f>
        <v>162168</v>
      </c>
      <c r="I135" s="443"/>
      <c r="J135" s="26">
        <f t="shared" si="12"/>
        <v>159807.20610000001</v>
      </c>
      <c r="K135" s="26">
        <f t="shared" si="13"/>
        <v>162974.06257335175</v>
      </c>
      <c r="L135" s="27">
        <f t="shared" si="14"/>
        <v>1.9624999049465658E-2</v>
      </c>
      <c r="N135" s="673">
        <f>A!H266</f>
        <v>0</v>
      </c>
      <c r="O135" s="2"/>
      <c r="P135" s="12"/>
    </row>
    <row r="136" spans="2:16" ht="12" customHeight="1">
      <c r="B136" s="173" t="s">
        <v>109</v>
      </c>
      <c r="C136" s="26">
        <f>A!B267</f>
        <v>68792.822126469924</v>
      </c>
      <c r="D136" s="26">
        <f>A!C267</f>
        <v>64917.546600000009</v>
      </c>
      <c r="E136" s="26">
        <f>A!D267</f>
        <v>65025.114300000008</v>
      </c>
      <c r="F136" s="26">
        <f>A!E267</f>
        <v>66490.499195532233</v>
      </c>
      <c r="G136" s="26"/>
      <c r="H136" s="26">
        <f>A!G267</f>
        <v>66898</v>
      </c>
      <c r="I136" s="443"/>
      <c r="J136" s="26">
        <f t="shared" si="12"/>
        <v>64917.546600000009</v>
      </c>
      <c r="K136" s="26">
        <f t="shared" si="13"/>
        <v>68792.822126469924</v>
      </c>
      <c r="L136" s="27">
        <f t="shared" si="14"/>
        <v>5.8340796418000898E-2</v>
      </c>
      <c r="N136" s="673">
        <f>A!H267</f>
        <v>0</v>
      </c>
      <c r="O136" s="2"/>
      <c r="P136" s="12"/>
    </row>
    <row r="137" spans="2:16" ht="12" customHeight="1">
      <c r="B137" s="173" t="s">
        <v>111</v>
      </c>
      <c r="C137" s="26">
        <f>A!B268</f>
        <v>68672.853832539928</v>
      </c>
      <c r="D137" s="26">
        <f>A!C268</f>
        <v>66779.6109</v>
      </c>
      <c r="E137" s="26">
        <f>A!D268</f>
        <v>66843.506700000013</v>
      </c>
      <c r="F137" s="26">
        <f>A!E268</f>
        <v>68071.421886632073</v>
      </c>
      <c r="G137" s="26"/>
      <c r="H137" s="26">
        <f>A!G268</f>
        <v>66175</v>
      </c>
      <c r="I137" s="443"/>
      <c r="J137" s="26">
        <f t="shared" si="12"/>
        <v>66175</v>
      </c>
      <c r="K137" s="26">
        <f t="shared" si="13"/>
        <v>68672.853832539928</v>
      </c>
      <c r="L137" s="27">
        <f t="shared" si="14"/>
        <v>3.7110537663690393E-2</v>
      </c>
      <c r="N137" s="673">
        <f>A!H268</f>
        <v>0</v>
      </c>
      <c r="O137" s="2"/>
      <c r="P137" s="12"/>
    </row>
    <row r="138" spans="2:16" ht="12" customHeight="1">
      <c r="B138" s="173" t="s">
        <v>112</v>
      </c>
      <c r="C138" s="26">
        <f>A!B269</f>
        <v>72609.307406750057</v>
      </c>
      <c r="D138" s="26">
        <f>A!C269</f>
        <v>69610.956900000005</v>
      </c>
      <c r="E138" s="26">
        <f>A!D269</f>
        <v>70882.131600000008</v>
      </c>
      <c r="F138" s="26">
        <f>A!E269</f>
        <v>71248.090397460735</v>
      </c>
      <c r="G138" s="26"/>
      <c r="H138" s="26">
        <f>A!G269</f>
        <v>71803</v>
      </c>
      <c r="I138" s="443"/>
      <c r="J138" s="26">
        <f t="shared" si="12"/>
        <v>69610.956900000005</v>
      </c>
      <c r="K138" s="26">
        <f t="shared" si="13"/>
        <v>72609.307406750057</v>
      </c>
      <c r="L138" s="27">
        <f t="shared" si="14"/>
        <v>4.2093516167198086E-2</v>
      </c>
      <c r="N138" s="673">
        <f>A!H269</f>
        <v>0</v>
      </c>
      <c r="O138" s="2"/>
      <c r="P138" s="12"/>
    </row>
    <row r="139" spans="2:16" ht="12" customHeight="1">
      <c r="B139" s="173" t="s">
        <v>113</v>
      </c>
      <c r="C139" s="26">
        <f>A!B270</f>
        <v>69756.311989893147</v>
      </c>
      <c r="D139" s="26">
        <f>A!C270</f>
        <v>67640.738700000002</v>
      </c>
      <c r="E139" s="26">
        <f>A!D270</f>
        <v>67219.260900000008</v>
      </c>
      <c r="F139" s="26">
        <f>A!E270</f>
        <v>68287.754447713814</v>
      </c>
      <c r="G139" s="26"/>
      <c r="H139" s="26">
        <f>A!G270</f>
        <v>67200</v>
      </c>
      <c r="I139" s="443"/>
      <c r="J139" s="26">
        <f t="shared" si="12"/>
        <v>67200</v>
      </c>
      <c r="K139" s="26">
        <f t="shared" si="13"/>
        <v>69756.311989893147</v>
      </c>
      <c r="L139" s="27">
        <f t="shared" si="14"/>
        <v>3.7581320618649765E-2</v>
      </c>
      <c r="N139" s="673">
        <f>A!H270</f>
        <v>0</v>
      </c>
      <c r="O139" s="2"/>
      <c r="P139" s="12"/>
    </row>
    <row r="140" spans="2:16" ht="12" customHeight="1">
      <c r="B140" s="173" t="s">
        <v>114</v>
      </c>
      <c r="C140" s="26">
        <f>A!B271</f>
        <v>73711.363480827218</v>
      </c>
      <c r="D140" s="26">
        <f>A!C271</f>
        <v>71380.108500000002</v>
      </c>
      <c r="E140" s="26">
        <f>A!D271</f>
        <v>71181.093600000007</v>
      </c>
      <c r="F140" s="26">
        <f>A!E271</f>
        <v>72362.101155627257</v>
      </c>
      <c r="G140" s="26"/>
      <c r="H140" s="26">
        <f>A!G271</f>
        <v>72029</v>
      </c>
      <c r="I140" s="443"/>
      <c r="J140" s="26">
        <f t="shared" si="12"/>
        <v>71181.093600000007</v>
      </c>
      <c r="K140" s="26">
        <f t="shared" si="13"/>
        <v>73711.363480827218</v>
      </c>
      <c r="L140" s="27">
        <f t="shared" si="14"/>
        <v>3.5077970338999231E-2</v>
      </c>
      <c r="N140" s="673">
        <f>A!H271</f>
        <v>0</v>
      </c>
      <c r="O140" s="2"/>
      <c r="P140" s="12"/>
    </row>
    <row r="141" spans="2:16" ht="12" customHeight="1">
      <c r="B141" s="173" t="s">
        <v>115</v>
      </c>
      <c r="C141" s="26">
        <f>A!B272</f>
        <v>63357.106250000092</v>
      </c>
      <c r="D141" s="26">
        <f>A!C272</f>
        <v>65995.861499999999</v>
      </c>
      <c r="E141" s="26">
        <f>A!D272</f>
        <v>65992.344300000012</v>
      </c>
      <c r="F141" s="26">
        <f>A!E272</f>
        <v>65589.356347818946</v>
      </c>
      <c r="G141" s="26">
        <f>A!F272</f>
        <v>63105.366000000147</v>
      </c>
      <c r="H141" s="26">
        <f>A!G272</f>
        <v>65614</v>
      </c>
      <c r="I141" s="443"/>
      <c r="J141" s="26">
        <f t="shared" si="12"/>
        <v>63105.366000000147</v>
      </c>
      <c r="K141" s="26">
        <f t="shared" si="13"/>
        <v>65995.861499999999</v>
      </c>
      <c r="L141" s="27">
        <f t="shared" si="14"/>
        <v>4.4508644769459045E-2</v>
      </c>
      <c r="N141" s="673">
        <f>A!H272</f>
        <v>0</v>
      </c>
      <c r="O141" s="2"/>
      <c r="P141" s="12"/>
    </row>
    <row r="142" spans="2:16" ht="12" customHeight="1">
      <c r="B142" s="173" t="s">
        <v>120</v>
      </c>
      <c r="C142" s="26">
        <f>A!B273</f>
        <v>48443.43080000006</v>
      </c>
      <c r="D142" s="26">
        <f>A!C273</f>
        <v>50692.817400000007</v>
      </c>
      <c r="E142" s="26">
        <f>A!D273</f>
        <v>50690.472600000008</v>
      </c>
      <c r="F142" s="26">
        <f>A!E273</f>
        <v>50355.674104136109</v>
      </c>
      <c r="G142" s="26">
        <f>A!F273</f>
        <v>48439.57</v>
      </c>
      <c r="H142" s="26">
        <f>A!G273</f>
        <v>50357</v>
      </c>
      <c r="I142" s="443"/>
      <c r="J142" s="26">
        <f t="shared" si="12"/>
        <v>48439.57</v>
      </c>
      <c r="K142" s="26">
        <f t="shared" si="13"/>
        <v>50692.817400000007</v>
      </c>
      <c r="L142" s="27">
        <f t="shared" si="14"/>
        <v>4.5218848103025892E-2</v>
      </c>
      <c r="N142" s="673">
        <f>A!H273</f>
        <v>0</v>
      </c>
      <c r="O142" s="2"/>
      <c r="P142" s="12"/>
    </row>
    <row r="143" spans="2:16" ht="12" customHeight="1">
      <c r="B143" s="173" t="s">
        <v>124</v>
      </c>
      <c r="C143" s="26">
        <f>A!B274</f>
        <v>108974.30994000004</v>
      </c>
      <c r="D143" s="26">
        <f>A!C274</f>
        <v>114017.95170000001</v>
      </c>
      <c r="E143" s="26">
        <f>A!D274</f>
        <v>114015.3138</v>
      </c>
      <c r="F143" s="26">
        <f>A!E274</f>
        <v>112794.87725401894</v>
      </c>
      <c r="G143" s="26">
        <f>A!F274</f>
        <v>108979.01299999964</v>
      </c>
      <c r="H143" s="26">
        <f>A!G274</f>
        <v>112781</v>
      </c>
      <c r="I143" s="443"/>
      <c r="J143" s="26">
        <f t="shared" si="12"/>
        <v>108974.30994000004</v>
      </c>
      <c r="K143" s="26">
        <f t="shared" si="13"/>
        <v>114017.95170000001</v>
      </c>
      <c r="L143" s="27">
        <f t="shared" si="14"/>
        <v>4.5061855160005188E-2</v>
      </c>
      <c r="N143" s="673">
        <f>A!H274</f>
        <v>0</v>
      </c>
      <c r="O143" s="2"/>
      <c r="P143" s="11"/>
    </row>
    <row r="144" spans="2:16" ht="12" customHeight="1">
      <c r="B144" s="173" t="s">
        <v>125</v>
      </c>
      <c r="C144" s="26">
        <f>A!B275</f>
        <v>63421.544428999987</v>
      </c>
      <c r="D144" s="26">
        <f>A!C275</f>
        <v>66571.216800000009</v>
      </c>
      <c r="E144" s="26">
        <f>A!D275</f>
        <v>66565.354800000001</v>
      </c>
      <c r="F144" s="26">
        <f>A!E275</f>
        <v>66213.276898262688</v>
      </c>
      <c r="G144" s="26">
        <f>A!F275</f>
        <v>63212.101999999744</v>
      </c>
      <c r="H144" s="26">
        <f>A!G275</f>
        <v>66146</v>
      </c>
      <c r="I144" s="443"/>
      <c r="J144" s="26">
        <f t="shared" si="12"/>
        <v>63212.101999999744</v>
      </c>
      <c r="K144" s="26">
        <f t="shared" si="13"/>
        <v>66571.216800000009</v>
      </c>
      <c r="L144" s="27">
        <f t="shared" si="14"/>
        <v>5.1398043403340928E-2</v>
      </c>
      <c r="N144" s="673">
        <f>A!H275</f>
        <v>0</v>
      </c>
      <c r="O144" s="2"/>
      <c r="P144" s="11"/>
    </row>
    <row r="145" spans="2:16" ht="12" customHeight="1">
      <c r="B145" s="173" t="s">
        <v>127</v>
      </c>
      <c r="C145" s="26">
        <f>A!B276</f>
        <v>63389.22280399999</v>
      </c>
      <c r="D145" s="26">
        <f>A!C276</f>
        <v>66373.081200000001</v>
      </c>
      <c r="E145" s="26">
        <f>A!D276</f>
        <v>66371.908800000005</v>
      </c>
      <c r="F145" s="26">
        <f>A!E276</f>
        <v>65893.870640899928</v>
      </c>
      <c r="G145" s="26">
        <f>A!F276</f>
        <v>63157.029999999759</v>
      </c>
      <c r="H145" s="26">
        <f>A!G276</f>
        <v>65900</v>
      </c>
      <c r="I145" s="443"/>
      <c r="J145" s="26">
        <f t="shared" si="12"/>
        <v>63157.029999999759</v>
      </c>
      <c r="K145" s="26">
        <f t="shared" si="13"/>
        <v>66373.081200000001</v>
      </c>
      <c r="L145" s="27">
        <f t="shared" si="14"/>
        <v>4.9340428813637587E-2</v>
      </c>
      <c r="N145" s="673">
        <f>A!H276</f>
        <v>0</v>
      </c>
      <c r="O145" s="2"/>
      <c r="P145" s="12"/>
    </row>
    <row r="146" spans="2:16" ht="12" customHeight="1">
      <c r="B146" s="173" t="s">
        <v>130</v>
      </c>
      <c r="C146" s="26">
        <f>A!B277</f>
        <v>63292.945401999998</v>
      </c>
      <c r="D146" s="26">
        <f>A!C277</f>
        <v>65399.109900000003</v>
      </c>
      <c r="E146" s="26">
        <f>A!D277</f>
        <v>65395.006500000003</v>
      </c>
      <c r="F146" s="26">
        <f>A!E277</f>
        <v>65028.317172362673</v>
      </c>
      <c r="G146" s="26">
        <f>A!F277</f>
        <v>63001.558000000026</v>
      </c>
      <c r="H146" s="26">
        <f>A!G277</f>
        <v>65155</v>
      </c>
      <c r="I146" s="443"/>
      <c r="J146" s="26">
        <f t="shared" si="12"/>
        <v>63001.558000000026</v>
      </c>
      <c r="K146" s="26">
        <f t="shared" si="13"/>
        <v>65399.109900000003</v>
      </c>
      <c r="L146" s="27">
        <f t="shared" si="14"/>
        <v>3.71452460831216E-2</v>
      </c>
      <c r="N146" s="673">
        <f>A!H277</f>
        <v>0</v>
      </c>
      <c r="O146" s="2"/>
      <c r="P146" s="12"/>
    </row>
    <row r="147" spans="2:16" ht="12" customHeight="1">
      <c r="B147" s="173" t="s">
        <v>132</v>
      </c>
      <c r="C147" s="26">
        <f>A!B278</f>
        <v>45045.847950000098</v>
      </c>
      <c r="D147" s="26">
        <f>A!C278</f>
        <v>46634.261700000003</v>
      </c>
      <c r="E147" s="26">
        <f>A!D278</f>
        <v>46630.744500000001</v>
      </c>
      <c r="F147" s="26">
        <f>A!E278</f>
        <v>46988.552083493028</v>
      </c>
      <c r="G147" s="26">
        <f>A!F278</f>
        <v>44875.413999999641</v>
      </c>
      <c r="H147" s="26">
        <f>A!G278</f>
        <v>47002</v>
      </c>
      <c r="I147" s="443"/>
      <c r="J147" s="26">
        <f t="shared" si="12"/>
        <v>44875.413999999641</v>
      </c>
      <c r="K147" s="26">
        <f t="shared" si="13"/>
        <v>47002</v>
      </c>
      <c r="L147" s="27">
        <f t="shared" si="14"/>
        <v>4.6033849400731228E-2</v>
      </c>
      <c r="N147" s="673">
        <f>A!H278</f>
        <v>0</v>
      </c>
      <c r="O147" s="2"/>
      <c r="P147" s="12"/>
    </row>
    <row r="148" spans="2:16" ht="12" customHeight="1">
      <c r="B148" s="173" t="s">
        <v>135</v>
      </c>
      <c r="C148" s="26">
        <f>A!B279</f>
        <v>45112.827029195018</v>
      </c>
      <c r="D148" s="26">
        <f>A!C279</f>
        <v>47129.893800000005</v>
      </c>
      <c r="E148" s="26">
        <f>A!D279</f>
        <v>47126.083500000008</v>
      </c>
      <c r="F148" s="26">
        <f>A!E279</f>
        <v>47482.085498379194</v>
      </c>
      <c r="G148" s="26">
        <f>A!F279</f>
        <v>44979.841999999706</v>
      </c>
      <c r="H148" s="26">
        <f>A!G279</f>
        <v>47462</v>
      </c>
      <c r="I148" s="443"/>
      <c r="J148" s="26">
        <f t="shared" si="12"/>
        <v>44979.841999999706</v>
      </c>
      <c r="K148" s="26">
        <f t="shared" si="13"/>
        <v>47482.085498379194</v>
      </c>
      <c r="L148" s="27">
        <f t="shared" si="14"/>
        <v>5.3755287121276543E-2</v>
      </c>
      <c r="N148" s="673">
        <f>A!H279</f>
        <v>0</v>
      </c>
      <c r="O148" s="2"/>
      <c r="P148" s="12"/>
    </row>
    <row r="149" spans="2:16" ht="12" customHeight="1" thickBot="1">
      <c r="B149" s="174" t="s">
        <v>138</v>
      </c>
      <c r="C149" s="29">
        <f>A!B280</f>
        <v>44981.351736000026</v>
      </c>
      <c r="D149" s="29">
        <f>A!C280</f>
        <v>46239.749100000001</v>
      </c>
      <c r="E149" s="29">
        <f>A!D280</f>
        <v>46235.938800000004</v>
      </c>
      <c r="F149" s="29">
        <f>A!E280</f>
        <v>46635.695062279076</v>
      </c>
      <c r="G149" s="444">
        <f>A!F280</f>
        <v>44775.109999999899</v>
      </c>
      <c r="H149" s="444">
        <f>A!G280</f>
        <v>46668</v>
      </c>
      <c r="I149" s="445"/>
      <c r="J149" s="29">
        <f t="shared" si="12"/>
        <v>44775.109999999899</v>
      </c>
      <c r="K149" s="29">
        <f t="shared" si="13"/>
        <v>46668</v>
      </c>
      <c r="L149" s="30">
        <f t="shared" si="14"/>
        <v>4.1219101683257486E-2</v>
      </c>
      <c r="N149" s="673">
        <f>A!H280</f>
        <v>0</v>
      </c>
      <c r="O149" s="2"/>
      <c r="P149" s="12"/>
    </row>
    <row r="150" spans="2:16" ht="12" customHeight="1" thickTop="1">
      <c r="B150" s="31" t="s">
        <v>263</v>
      </c>
      <c r="C150" s="18"/>
      <c r="D150" s="26"/>
      <c r="E150" s="18"/>
      <c r="F150" s="26"/>
      <c r="G150" s="26"/>
      <c r="H150" s="26"/>
      <c r="I150" s="143"/>
      <c r="J150" s="34" t="s">
        <v>24</v>
      </c>
      <c r="K150" s="18"/>
      <c r="L150" s="27"/>
      <c r="O150" s="2"/>
      <c r="P150" s="12"/>
    </row>
    <row r="151" spans="2:16" ht="12" customHeight="1">
      <c r="B151" s="170"/>
      <c r="C151" s="22" t="s">
        <v>245</v>
      </c>
      <c r="D151" s="22" t="s">
        <v>536</v>
      </c>
      <c r="E151" s="22" t="s">
        <v>258</v>
      </c>
      <c r="F151" s="352" t="s">
        <v>433</v>
      </c>
      <c r="G151" s="436" t="s">
        <v>469</v>
      </c>
      <c r="H151" s="437" t="s">
        <v>482</v>
      </c>
      <c r="I151" s="436"/>
      <c r="J151" s="148"/>
      <c r="K151" s="18"/>
      <c r="L151" s="23" t="s">
        <v>25</v>
      </c>
      <c r="N151" s="673" t="s">
        <v>519</v>
      </c>
      <c r="O151" s="2"/>
      <c r="P151" s="12"/>
    </row>
    <row r="152" spans="2:16" ht="12" customHeight="1">
      <c r="B152" s="171"/>
      <c r="C152" s="24" t="s">
        <v>26</v>
      </c>
      <c r="D152" s="24" t="s">
        <v>13</v>
      </c>
      <c r="E152" s="24" t="s">
        <v>13</v>
      </c>
      <c r="F152" s="353" t="s">
        <v>434</v>
      </c>
      <c r="G152" s="353" t="s">
        <v>452</v>
      </c>
      <c r="H152" s="353" t="s">
        <v>483</v>
      </c>
      <c r="I152" s="353"/>
      <c r="J152" s="149" t="s">
        <v>27</v>
      </c>
      <c r="K152" s="24" t="s">
        <v>28</v>
      </c>
      <c r="L152" s="25" t="s">
        <v>259</v>
      </c>
      <c r="N152" s="673" t="s">
        <v>520</v>
      </c>
      <c r="O152" s="2"/>
      <c r="P152" s="12"/>
    </row>
    <row r="153" spans="2:16" ht="12" customHeight="1">
      <c r="B153" s="172" t="s">
        <v>91</v>
      </c>
      <c r="C153" s="26">
        <f>A!B290</f>
        <v>56661.748439000134</v>
      </c>
      <c r="D153" s="26">
        <f>A!C290</f>
        <v>55796.860800000009</v>
      </c>
      <c r="E153" s="26">
        <f>A!D290</f>
        <v>55804.7745</v>
      </c>
      <c r="F153" s="26">
        <f>A!E290</f>
        <v>55166.063457298224</v>
      </c>
      <c r="G153" s="26">
        <f>A!F290</f>
        <v>55209.465000000047</v>
      </c>
      <c r="H153" s="26">
        <f>A!G290</f>
        <v>55191</v>
      </c>
      <c r="I153" s="442"/>
      <c r="J153" s="26">
        <f t="shared" ref="J153:J173" si="15">MINA(C153:I153)</f>
        <v>55166.063457298224</v>
      </c>
      <c r="K153" s="26">
        <f t="shared" ref="K153:K173" si="16">MAXA(C153:I153)</f>
        <v>56661.748439000134</v>
      </c>
      <c r="L153" s="27">
        <f t="shared" ref="L153:L173" si="17">(K153-J153)/AVERAGE(C153:I153)</f>
        <v>2.6882282151320561E-2</v>
      </c>
      <c r="N153" s="676">
        <f>A!H290</f>
        <v>0</v>
      </c>
      <c r="O153" s="2"/>
      <c r="P153" s="12"/>
    </row>
    <row r="154" spans="2:16" ht="12" customHeight="1">
      <c r="B154" s="173" t="s">
        <v>96</v>
      </c>
      <c r="C154" s="26">
        <f>A!B291</f>
        <v>56256.3774670001</v>
      </c>
      <c r="D154" s="26">
        <f>A!C291</f>
        <v>56300.992800000007</v>
      </c>
      <c r="E154" s="26">
        <f>A!D291</f>
        <v>56312.716800000009</v>
      </c>
      <c r="F154" s="26">
        <f>A!E291</f>
        <v>55065.627854736507</v>
      </c>
      <c r="G154" s="26">
        <f>A!F291</f>
        <v>55185.072000000029</v>
      </c>
      <c r="H154" s="26">
        <f>A!G291</f>
        <v>55083</v>
      </c>
      <c r="I154" s="443"/>
      <c r="J154" s="26">
        <f t="shared" si="15"/>
        <v>55065.627854736507</v>
      </c>
      <c r="K154" s="26">
        <f t="shared" si="16"/>
        <v>56312.716800000009</v>
      </c>
      <c r="L154" s="27">
        <f t="shared" si="17"/>
        <v>2.2389134906281777E-2</v>
      </c>
      <c r="N154" s="676">
        <f>A!H291</f>
        <v>0</v>
      </c>
      <c r="O154" s="2"/>
      <c r="P154" s="12"/>
    </row>
    <row r="155" spans="2:16" ht="12" customHeight="1">
      <c r="B155" s="173" t="s">
        <v>98</v>
      </c>
      <c r="C155" s="26">
        <f>A!B292</f>
        <v>62859.205321999878</v>
      </c>
      <c r="D155" s="26">
        <f>A!C292</f>
        <v>62697.021000000001</v>
      </c>
      <c r="E155" s="26">
        <f>A!D292</f>
        <v>62746.847999999998</v>
      </c>
      <c r="F155" s="26">
        <f>A!E292</f>
        <v>61751.654819920572</v>
      </c>
      <c r="G155" s="26">
        <f>A!F292</f>
        <v>62008.804000000193</v>
      </c>
      <c r="H155" s="26">
        <f>A!G292</f>
        <v>62734</v>
      </c>
      <c r="I155" s="443"/>
      <c r="J155" s="26">
        <f t="shared" si="15"/>
        <v>61751.654819920572</v>
      </c>
      <c r="K155" s="26">
        <f t="shared" si="16"/>
        <v>62859.205321999878</v>
      </c>
      <c r="L155" s="27">
        <f t="shared" si="17"/>
        <v>1.7730380871956088E-2</v>
      </c>
      <c r="N155" s="676">
        <f>A!H292</f>
        <v>0</v>
      </c>
      <c r="O155" s="2"/>
      <c r="P155" s="12"/>
    </row>
    <row r="156" spans="2:16" ht="12" customHeight="1">
      <c r="B156" s="173" t="s">
        <v>102</v>
      </c>
      <c r="C156" s="26">
        <f>A!B293</f>
        <v>63083.376498999918</v>
      </c>
      <c r="D156" s="26">
        <f>A!C293</f>
        <v>63311.065500000004</v>
      </c>
      <c r="E156" s="26">
        <f>A!D293</f>
        <v>63327.772199999999</v>
      </c>
      <c r="F156" s="26">
        <f>A!E293</f>
        <v>63074.075770542782</v>
      </c>
      <c r="G156" s="26">
        <f>A!F293</f>
        <v>62649.459000000192</v>
      </c>
      <c r="H156" s="26">
        <f>A!G293</f>
        <v>61822</v>
      </c>
      <c r="I156" s="443"/>
      <c r="J156" s="26">
        <f t="shared" si="15"/>
        <v>61822</v>
      </c>
      <c r="K156" s="26">
        <f t="shared" si="16"/>
        <v>63327.772199999999</v>
      </c>
      <c r="L156" s="27">
        <f t="shared" si="17"/>
        <v>2.3947536529896622E-2</v>
      </c>
      <c r="N156" s="676">
        <f>A!H293</f>
        <v>0</v>
      </c>
      <c r="O156" s="2"/>
      <c r="P156" s="12"/>
    </row>
    <row r="157" spans="2:16" ht="12" customHeight="1">
      <c r="B157" s="173" t="s">
        <v>356</v>
      </c>
      <c r="C157" s="26">
        <f>A!B294</f>
        <v>63032.606061999933</v>
      </c>
      <c r="D157" s="26">
        <f>A!C294</f>
        <v>63053.4306</v>
      </c>
      <c r="E157" s="26">
        <f>A!D294</f>
        <v>63110.585100000011</v>
      </c>
      <c r="F157" s="26">
        <f>A!E294</f>
        <v>62391.380396752473</v>
      </c>
      <c r="G157" s="26">
        <f>A!F294</f>
        <v>62380.560000000289</v>
      </c>
      <c r="H157" s="26">
        <f>A!G294</f>
        <v>61406</v>
      </c>
      <c r="I157" s="443"/>
      <c r="J157" s="26">
        <f t="shared" si="15"/>
        <v>61406</v>
      </c>
      <c r="K157" s="26">
        <f t="shared" si="16"/>
        <v>63110.585100000011</v>
      </c>
      <c r="L157" s="27">
        <f t="shared" si="17"/>
        <v>2.7246147264701086E-2</v>
      </c>
      <c r="N157" s="676">
        <f>A!H294</f>
        <v>0</v>
      </c>
      <c r="O157" s="2"/>
      <c r="P157" s="12"/>
    </row>
    <row r="158" spans="2:16" ht="12" customHeight="1">
      <c r="B158" s="173" t="s">
        <v>105</v>
      </c>
      <c r="C158" s="26">
        <f>A!B295</f>
        <v>50370.830375999802</v>
      </c>
      <c r="D158" s="26">
        <f>A!C295</f>
        <v>47684.439000000006</v>
      </c>
      <c r="E158" s="26">
        <f>A!D295</f>
        <v>47676.525300000001</v>
      </c>
      <c r="F158" s="26">
        <f>A!E295</f>
        <v>48335.589054318843</v>
      </c>
      <c r="G158" s="26">
        <f>A!F295</f>
        <v>48588.801999999836</v>
      </c>
      <c r="H158" s="26">
        <f>A!G295</f>
        <v>48768</v>
      </c>
      <c r="I158" s="443"/>
      <c r="J158" s="26">
        <f t="shared" si="15"/>
        <v>47676.525300000001</v>
      </c>
      <c r="K158" s="26">
        <f t="shared" si="16"/>
        <v>50370.830375999802</v>
      </c>
      <c r="L158" s="27">
        <f t="shared" si="17"/>
        <v>5.5471821652299406E-2</v>
      </c>
      <c r="N158" s="676">
        <f>A!H295</f>
        <v>0</v>
      </c>
      <c r="O158" s="2"/>
      <c r="P158" s="12"/>
    </row>
    <row r="159" spans="2:16" ht="12" customHeight="1">
      <c r="B159" s="173" t="s">
        <v>108</v>
      </c>
      <c r="C159" s="26">
        <f>A!B296</f>
        <v>134976.83514699971</v>
      </c>
      <c r="D159" s="26">
        <f>A!C296</f>
        <v>134919.79200000002</v>
      </c>
      <c r="E159" s="26">
        <f>A!D296</f>
        <v>134939.72280000002</v>
      </c>
      <c r="F159" s="26">
        <f>A!E296</f>
        <v>134711.11686674133</v>
      </c>
      <c r="G159" s="26">
        <f>A!F296</f>
        <v>134205.70700000084</v>
      </c>
      <c r="H159" s="26">
        <f>A!G296</f>
        <v>134697</v>
      </c>
      <c r="I159" s="443"/>
      <c r="J159" s="26">
        <f t="shared" si="15"/>
        <v>134205.70700000084</v>
      </c>
      <c r="K159" s="26">
        <f t="shared" si="16"/>
        <v>134976.83514699971</v>
      </c>
      <c r="L159" s="27">
        <f t="shared" si="17"/>
        <v>5.7230105600289093E-3</v>
      </c>
      <c r="N159" s="676">
        <f>A!H296</f>
        <v>0</v>
      </c>
      <c r="O159" s="2"/>
      <c r="P159" s="12"/>
    </row>
    <row r="160" spans="2:16" ht="12" customHeight="1">
      <c r="B160" s="173" t="s">
        <v>109</v>
      </c>
      <c r="C160" s="26">
        <f>A!B297</f>
        <v>41952.359514999953</v>
      </c>
      <c r="D160" s="26">
        <f>A!C297</f>
        <v>41419.133400000006</v>
      </c>
      <c r="E160" s="26">
        <f>A!D297</f>
        <v>41437.012500000004</v>
      </c>
      <c r="F160" s="26">
        <f>A!E297</f>
        <v>40599.219218286213</v>
      </c>
      <c r="G160" s="26"/>
      <c r="H160" s="26">
        <f>A!G297</f>
        <v>41181</v>
      </c>
      <c r="I160" s="443"/>
      <c r="J160" s="26">
        <f t="shared" si="15"/>
        <v>40599.219218286213</v>
      </c>
      <c r="K160" s="26">
        <f t="shared" si="16"/>
        <v>41952.359514999953</v>
      </c>
      <c r="L160" s="27">
        <f t="shared" si="17"/>
        <v>3.2749616396434207E-2</v>
      </c>
      <c r="N160" s="676">
        <f>A!H297</f>
        <v>0</v>
      </c>
      <c r="O160" s="2"/>
      <c r="P160" s="12"/>
    </row>
    <row r="161" spans="2:16" ht="12" customHeight="1">
      <c r="B161" s="173" t="s">
        <v>111</v>
      </c>
      <c r="C161" s="26">
        <f>A!B298</f>
        <v>45676.645576999981</v>
      </c>
      <c r="D161" s="26">
        <f>A!C298</f>
        <v>47658.646200000003</v>
      </c>
      <c r="E161" s="26">
        <f>A!D298</f>
        <v>47659.818600000013</v>
      </c>
      <c r="F161" s="26">
        <f>A!E298</f>
        <v>47103.208562697931</v>
      </c>
      <c r="G161" s="26"/>
      <c r="H161" s="26">
        <f>A!G298</f>
        <v>45585</v>
      </c>
      <c r="I161" s="443"/>
      <c r="J161" s="26">
        <f t="shared" si="15"/>
        <v>45585</v>
      </c>
      <c r="K161" s="26">
        <f t="shared" si="16"/>
        <v>47659.818600000013</v>
      </c>
      <c r="L161" s="27">
        <f t="shared" si="17"/>
        <v>4.4393810594059155E-2</v>
      </c>
      <c r="N161" s="676">
        <f>A!H298</f>
        <v>0</v>
      </c>
      <c r="O161" s="2"/>
      <c r="P161" s="12"/>
    </row>
    <row r="162" spans="2:16" ht="12" customHeight="1">
      <c r="B162" s="173" t="s">
        <v>112</v>
      </c>
      <c r="C162" s="26">
        <f>A!B299</f>
        <v>50389.824659000034</v>
      </c>
      <c r="D162" s="26">
        <f>A!C299</f>
        <v>49666.088100000008</v>
      </c>
      <c r="E162" s="26">
        <f>A!D299</f>
        <v>50612.214900000006</v>
      </c>
      <c r="F162" s="26">
        <f>A!E299</f>
        <v>49444.639083137168</v>
      </c>
      <c r="G162" s="26"/>
      <c r="H162" s="26">
        <f>A!G299</f>
        <v>49984</v>
      </c>
      <c r="I162" s="443"/>
      <c r="J162" s="26">
        <f t="shared" si="15"/>
        <v>49444.639083137168</v>
      </c>
      <c r="K162" s="26">
        <f t="shared" si="16"/>
        <v>50612.214900000006</v>
      </c>
      <c r="L162" s="27">
        <f t="shared" si="17"/>
        <v>2.3342481233807187E-2</v>
      </c>
      <c r="N162" s="676">
        <f>A!H299</f>
        <v>0</v>
      </c>
      <c r="O162" s="2"/>
      <c r="P162" s="12"/>
    </row>
    <row r="163" spans="2:16" ht="12" customHeight="1">
      <c r="B163" s="173" t="s">
        <v>113</v>
      </c>
      <c r="C163" s="26">
        <f>A!B300</f>
        <v>47863.346245000044</v>
      </c>
      <c r="D163" s="26">
        <f>A!C300</f>
        <v>47731.334999999999</v>
      </c>
      <c r="E163" s="26">
        <f>A!D300</f>
        <v>47454.06240000001</v>
      </c>
      <c r="F163" s="26">
        <f>A!E300</f>
        <v>46911.710036851502</v>
      </c>
      <c r="G163" s="26"/>
      <c r="H163" s="26">
        <f>A!G300</f>
        <v>46143</v>
      </c>
      <c r="I163" s="443"/>
      <c r="J163" s="26">
        <f t="shared" si="15"/>
        <v>46143</v>
      </c>
      <c r="K163" s="26">
        <f t="shared" si="16"/>
        <v>47863.346245000044</v>
      </c>
      <c r="L163" s="27">
        <f t="shared" si="17"/>
        <v>3.6432043203362116E-2</v>
      </c>
      <c r="N163" s="676">
        <f>A!H300</f>
        <v>0</v>
      </c>
      <c r="O163" s="2"/>
      <c r="P163" s="12"/>
    </row>
    <row r="164" spans="2:16" ht="12" customHeight="1">
      <c r="B164" s="173" t="s">
        <v>114</v>
      </c>
      <c r="C164" s="26">
        <f>A!B301</f>
        <v>50876.072483000105</v>
      </c>
      <c r="D164" s="26">
        <f>A!C301</f>
        <v>50592.5772</v>
      </c>
      <c r="E164" s="26">
        <f>A!D301</f>
        <v>50492.043900000004</v>
      </c>
      <c r="F164" s="26">
        <f>A!E301</f>
        <v>50001.032811128229</v>
      </c>
      <c r="G164" s="26"/>
      <c r="H164" s="26">
        <f>A!G301</f>
        <v>49785</v>
      </c>
      <c r="I164" s="443"/>
      <c r="J164" s="26">
        <f t="shared" si="15"/>
        <v>49785</v>
      </c>
      <c r="K164" s="26">
        <f t="shared" si="16"/>
        <v>50876.072483000105</v>
      </c>
      <c r="L164" s="27">
        <f t="shared" si="17"/>
        <v>2.1670043114919196E-2</v>
      </c>
      <c r="N164" s="676">
        <f>A!H301</f>
        <v>0</v>
      </c>
      <c r="O164" s="2"/>
      <c r="P164" s="12"/>
    </row>
    <row r="165" spans="2:16" ht="12" customHeight="1">
      <c r="B165" s="173" t="s">
        <v>115</v>
      </c>
      <c r="C165" s="26">
        <f>A!B302</f>
        <v>45043.800000000097</v>
      </c>
      <c r="D165" s="26">
        <f>A!C302</f>
        <v>47649.853199999998</v>
      </c>
      <c r="E165" s="26">
        <f>A!D302</f>
        <v>47646.042900000015</v>
      </c>
      <c r="F165" s="26">
        <f>A!E302</f>
        <v>47357.440343089511</v>
      </c>
      <c r="G165" s="26">
        <f>A!F302</f>
        <v>44874.224999999649</v>
      </c>
      <c r="H165" s="26">
        <f>A!G302</f>
        <v>47530</v>
      </c>
      <c r="I165" s="443"/>
      <c r="J165" s="26">
        <f t="shared" si="15"/>
        <v>44874.224999999649</v>
      </c>
      <c r="K165" s="26">
        <f t="shared" si="16"/>
        <v>47649.853199999998</v>
      </c>
      <c r="L165" s="27">
        <f t="shared" si="17"/>
        <v>5.9456223683460332E-2</v>
      </c>
      <c r="N165" s="676">
        <f>A!H302</f>
        <v>0</v>
      </c>
      <c r="O165" s="2"/>
      <c r="P165" s="12"/>
    </row>
    <row r="166" spans="2:16" ht="12" customHeight="1">
      <c r="B166" s="173" t="s">
        <v>120</v>
      </c>
      <c r="C166" s="26">
        <f>A!B303</f>
        <v>34443.234380000074</v>
      </c>
      <c r="D166" s="26">
        <f>A!C303</f>
        <v>36595.586700000007</v>
      </c>
      <c r="E166" s="26">
        <f>A!D303</f>
        <v>36593.241900000008</v>
      </c>
      <c r="F166" s="26">
        <f>A!E303</f>
        <v>36365.086563318095</v>
      </c>
      <c r="G166" s="26">
        <f>A!F303</f>
        <v>34448.150999999525</v>
      </c>
      <c r="H166" s="26">
        <f>A!G303</f>
        <v>36480</v>
      </c>
      <c r="I166" s="443"/>
      <c r="J166" s="26">
        <f t="shared" si="15"/>
        <v>34443.234380000074</v>
      </c>
      <c r="K166" s="26">
        <f t="shared" si="16"/>
        <v>36595.586700000007</v>
      </c>
      <c r="L166" s="27">
        <f t="shared" si="17"/>
        <v>6.0086522560878243E-2</v>
      </c>
      <c r="N166" s="676">
        <f>A!H303</f>
        <v>0</v>
      </c>
      <c r="O166" s="2"/>
      <c r="P166" s="12"/>
    </row>
    <row r="167" spans="2:16" ht="12" customHeight="1">
      <c r="B167" s="173" t="s">
        <v>124</v>
      </c>
      <c r="C167" s="26">
        <f>A!B304</f>
        <v>77489.432099999991</v>
      </c>
      <c r="D167" s="26">
        <f>A!C304</f>
        <v>82305.704100000003</v>
      </c>
      <c r="E167" s="26">
        <f>A!D304</f>
        <v>82303.066200000001</v>
      </c>
      <c r="F167" s="26">
        <f>A!E304</f>
        <v>81315.442213475908</v>
      </c>
      <c r="G167" s="26">
        <f>A!F304</f>
        <v>77498.985000000306</v>
      </c>
      <c r="H167" s="26">
        <f>A!G304</f>
        <v>81563</v>
      </c>
      <c r="I167" s="443"/>
      <c r="J167" s="26">
        <f t="shared" si="15"/>
        <v>77489.432099999991</v>
      </c>
      <c r="K167" s="26">
        <f t="shared" si="16"/>
        <v>82305.704100000003</v>
      </c>
      <c r="L167" s="27">
        <f t="shared" si="17"/>
        <v>5.9894490470224819E-2</v>
      </c>
      <c r="N167" s="676">
        <f>A!H304</f>
        <v>0</v>
      </c>
      <c r="O167" s="2"/>
      <c r="P167" s="12"/>
    </row>
    <row r="168" spans="2:16" ht="12" customHeight="1">
      <c r="B168" s="173" t="s">
        <v>125</v>
      </c>
      <c r="C168" s="26">
        <f>A!B305</f>
        <v>45109.614089999988</v>
      </c>
      <c r="D168" s="26">
        <f>A!C305</f>
        <v>48101.520300000004</v>
      </c>
      <c r="E168" s="26">
        <f>A!D305</f>
        <v>48095.658299999996</v>
      </c>
      <c r="F168" s="26">
        <f>A!E305</f>
        <v>47983.748355173033</v>
      </c>
      <c r="G168" s="26">
        <f>A!F305</f>
        <v>44976.723999999696</v>
      </c>
      <c r="H168" s="26">
        <f>A!G305</f>
        <v>48059</v>
      </c>
      <c r="I168" s="443"/>
      <c r="J168" s="26">
        <f t="shared" si="15"/>
        <v>44976.723999999696</v>
      </c>
      <c r="K168" s="26">
        <f t="shared" si="16"/>
        <v>48101.520300000004</v>
      </c>
      <c r="L168" s="27">
        <f t="shared" si="17"/>
        <v>6.6408195486176269E-2</v>
      </c>
      <c r="N168" s="676">
        <f>A!H305</f>
        <v>0</v>
      </c>
      <c r="O168" s="2"/>
      <c r="P168" s="12"/>
    </row>
    <row r="169" spans="2:16" ht="12" customHeight="1">
      <c r="B169" s="173" t="s">
        <v>127</v>
      </c>
      <c r="C169" s="26">
        <f>A!B306</f>
        <v>45076.031247999977</v>
      </c>
      <c r="D169" s="26">
        <f>A!C306</f>
        <v>47962.2978</v>
      </c>
      <c r="E169" s="26">
        <f>A!D306</f>
        <v>47961.4185</v>
      </c>
      <c r="F169" s="26">
        <f>A!E306</f>
        <v>47663.108975250296</v>
      </c>
      <c r="G169" s="26">
        <f>A!F306</f>
        <v>44924.113000000318</v>
      </c>
      <c r="H169" s="26">
        <f>A!G306</f>
        <v>47795</v>
      </c>
      <c r="I169" s="443"/>
      <c r="J169" s="26">
        <f t="shared" si="15"/>
        <v>44924.113000000318</v>
      </c>
      <c r="K169" s="26">
        <f t="shared" si="16"/>
        <v>47962.2978</v>
      </c>
      <c r="L169" s="27">
        <f t="shared" si="17"/>
        <v>6.4784210697238095E-2</v>
      </c>
      <c r="N169" s="676">
        <f>A!H306</f>
        <v>0</v>
      </c>
      <c r="O169" s="2"/>
      <c r="P169" s="12"/>
    </row>
    <row r="170" spans="2:16" ht="12" customHeight="1">
      <c r="B170" s="173" t="s">
        <v>130</v>
      </c>
      <c r="C170" s="26">
        <f>A!B307</f>
        <v>44979.010342000052</v>
      </c>
      <c r="D170" s="26">
        <f>A!C307</f>
        <v>47217.530700000003</v>
      </c>
      <c r="E170" s="26">
        <f>A!D307</f>
        <v>47213.427300000003</v>
      </c>
      <c r="F170" s="26">
        <f>A!E307</f>
        <v>46796.309837248911</v>
      </c>
      <c r="G170" s="26">
        <f>A!F307</f>
        <v>44775.104999999901</v>
      </c>
      <c r="H170" s="26">
        <f>A!G307</f>
        <v>47110</v>
      </c>
      <c r="I170" s="443"/>
      <c r="J170" s="26">
        <f t="shared" si="15"/>
        <v>44775.104999999901</v>
      </c>
      <c r="K170" s="26">
        <f t="shared" si="16"/>
        <v>47217.530700000003</v>
      </c>
      <c r="L170" s="27">
        <f t="shared" si="17"/>
        <v>5.2696901401489124E-2</v>
      </c>
      <c r="N170" s="676">
        <f>A!H307</f>
        <v>0</v>
      </c>
      <c r="O170" s="2"/>
      <c r="P170" s="2"/>
    </row>
    <row r="171" spans="2:16" ht="12" customHeight="1">
      <c r="B171" s="173" t="s">
        <v>132</v>
      </c>
      <c r="C171" s="26">
        <f>A!B308</f>
        <v>45045.847950000098</v>
      </c>
      <c r="D171" s="26">
        <f>A!C308</f>
        <v>46573.590000000004</v>
      </c>
      <c r="E171" s="26">
        <f>A!D308</f>
        <v>46570.072800000002</v>
      </c>
      <c r="F171" s="26">
        <f>A!E308</f>
        <v>46988.310253457523</v>
      </c>
      <c r="G171" s="26">
        <f>A!F308</f>
        <v>44874.224999999649</v>
      </c>
      <c r="H171" s="26">
        <f>A!G308</f>
        <v>47002</v>
      </c>
      <c r="I171" s="443"/>
      <c r="J171" s="26">
        <f t="shared" si="15"/>
        <v>44874.224999999649</v>
      </c>
      <c r="K171" s="26">
        <f t="shared" si="16"/>
        <v>47002</v>
      </c>
      <c r="L171" s="27">
        <f t="shared" si="17"/>
        <v>4.6079998412449794E-2</v>
      </c>
      <c r="N171" s="676">
        <f>A!H308</f>
        <v>0</v>
      </c>
      <c r="O171" s="2"/>
      <c r="P171" s="2"/>
    </row>
    <row r="172" spans="2:16" ht="12" customHeight="1">
      <c r="B172" s="173" t="s">
        <v>135</v>
      </c>
      <c r="C172" s="26">
        <f>A!B309</f>
        <v>45111.847271000021</v>
      </c>
      <c r="D172" s="26">
        <f>A!C309</f>
        <v>47022.912300000004</v>
      </c>
      <c r="E172" s="26">
        <f>A!D309</f>
        <v>47019.102000000006</v>
      </c>
      <c r="F172" s="26">
        <f>A!E309</f>
        <v>47473.21834090534</v>
      </c>
      <c r="G172" s="26">
        <f>A!F309</f>
        <v>44976.746999999705</v>
      </c>
      <c r="H172" s="26">
        <f>A!G309</f>
        <v>47460</v>
      </c>
      <c r="I172" s="443"/>
      <c r="J172" s="26">
        <f t="shared" si="15"/>
        <v>44976.746999999705</v>
      </c>
      <c r="K172" s="26">
        <f t="shared" si="16"/>
        <v>47473.21834090534</v>
      </c>
      <c r="L172" s="27">
        <f t="shared" si="17"/>
        <v>5.3675276409659245E-2</v>
      </c>
      <c r="N172" s="676">
        <f>A!H309</f>
        <v>0</v>
      </c>
      <c r="O172" s="12"/>
      <c r="P172" s="12"/>
    </row>
    <row r="173" spans="2:16" ht="12" customHeight="1" thickBot="1">
      <c r="B173" s="174" t="s">
        <v>138</v>
      </c>
      <c r="C173" s="29">
        <f>A!B310</f>
        <v>44981.351736000026</v>
      </c>
      <c r="D173" s="29">
        <f>A!C310</f>
        <v>46214.249400000001</v>
      </c>
      <c r="E173" s="29">
        <f>A!D310</f>
        <v>46210.439100000003</v>
      </c>
      <c r="F173" s="29">
        <f>A!E310</f>
        <v>46635.695062279068</v>
      </c>
      <c r="G173" s="444">
        <f>A!F310</f>
        <v>44775.104999999901</v>
      </c>
      <c r="H173" s="444">
        <f>A!G310</f>
        <v>46668</v>
      </c>
      <c r="I173" s="445"/>
      <c r="J173" s="29">
        <f t="shared" si="15"/>
        <v>44775.104999999901</v>
      </c>
      <c r="K173" s="29">
        <f t="shared" si="16"/>
        <v>46668</v>
      </c>
      <c r="L173" s="30">
        <f t="shared" si="17"/>
        <v>4.1226842056729843E-2</v>
      </c>
      <c r="N173" s="676">
        <f>A!H310</f>
        <v>0</v>
      </c>
      <c r="O173" s="12"/>
      <c r="P173" s="12"/>
    </row>
    <row r="174" spans="2:16" ht="12" customHeight="1" thickTop="1">
      <c r="B174" s="31" t="s">
        <v>262</v>
      </c>
      <c r="C174" s="18"/>
      <c r="D174" s="26"/>
      <c r="E174" s="18"/>
      <c r="F174" s="26"/>
      <c r="G174" s="26"/>
      <c r="H174" s="26"/>
      <c r="I174" s="143"/>
      <c r="J174" s="34" t="s">
        <v>24</v>
      </c>
      <c r="K174" s="18"/>
      <c r="L174" s="27"/>
      <c r="O174" s="12"/>
      <c r="P174" s="12"/>
    </row>
    <row r="175" spans="2:16" ht="12" customHeight="1">
      <c r="B175" s="170"/>
      <c r="C175" s="22" t="s">
        <v>245</v>
      </c>
      <c r="D175" s="22" t="s">
        <v>536</v>
      </c>
      <c r="E175" s="22" t="s">
        <v>258</v>
      </c>
      <c r="F175" s="352" t="s">
        <v>433</v>
      </c>
      <c r="G175" s="436" t="s">
        <v>469</v>
      </c>
      <c r="H175" s="437" t="s">
        <v>482</v>
      </c>
      <c r="I175" s="436"/>
      <c r="J175" s="148"/>
      <c r="K175" s="18"/>
      <c r="L175" s="23" t="s">
        <v>25</v>
      </c>
      <c r="N175" s="673" t="s">
        <v>519</v>
      </c>
      <c r="O175" s="12"/>
      <c r="P175" s="12"/>
    </row>
    <row r="176" spans="2:16" ht="12" customHeight="1">
      <c r="B176" s="171"/>
      <c r="C176" s="24" t="s">
        <v>26</v>
      </c>
      <c r="D176" s="24" t="s">
        <v>13</v>
      </c>
      <c r="E176" s="24" t="s">
        <v>13</v>
      </c>
      <c r="F176" s="353" t="s">
        <v>434</v>
      </c>
      <c r="G176" s="353" t="s">
        <v>452</v>
      </c>
      <c r="H176" s="353" t="s">
        <v>483</v>
      </c>
      <c r="I176" s="353"/>
      <c r="J176" s="149" t="s">
        <v>27</v>
      </c>
      <c r="K176" s="24" t="s">
        <v>28</v>
      </c>
      <c r="L176" s="25" t="s">
        <v>259</v>
      </c>
      <c r="N176" s="673" t="s">
        <v>520</v>
      </c>
      <c r="O176" s="12"/>
      <c r="P176" s="12"/>
    </row>
    <row r="177" spans="2:16" ht="12" customHeight="1">
      <c r="B177" s="172" t="s">
        <v>91</v>
      </c>
      <c r="C177" s="26">
        <f>A!B320</f>
        <v>23765.119042741982</v>
      </c>
      <c r="D177" s="26">
        <f>A!C320</f>
        <v>21486.574800000002</v>
      </c>
      <c r="E177" s="26">
        <f>A!D320</f>
        <v>21487.161000000004</v>
      </c>
      <c r="F177" s="26">
        <f>A!E320</f>
        <v>23163.934083256911</v>
      </c>
      <c r="G177" s="26">
        <f>A!F320</f>
        <v>22535.143000000036</v>
      </c>
      <c r="H177" s="26">
        <f>A!G320</f>
        <v>23067</v>
      </c>
      <c r="I177" s="442"/>
      <c r="J177" s="26">
        <f t="shared" ref="J177:J197" si="18">MINA(C177:I177)</f>
        <v>21486.574800000002</v>
      </c>
      <c r="K177" s="26">
        <f t="shared" ref="K177:K197" si="19">MAXA(C177:I177)</f>
        <v>23765.119042741982</v>
      </c>
      <c r="L177" s="27">
        <f t="shared" ref="L177:L197" si="20">(K177-J177)/AVERAGE(C177:I177)</f>
        <v>0.10089127577967379</v>
      </c>
      <c r="N177" s="676">
        <f>A!H320</f>
        <v>0</v>
      </c>
      <c r="O177" s="12"/>
      <c r="P177" s="12"/>
    </row>
    <row r="178" spans="2:16" ht="12" customHeight="1">
      <c r="B178" s="173" t="s">
        <v>96</v>
      </c>
      <c r="C178" s="26">
        <f>A!B321</f>
        <v>43085.754097849116</v>
      </c>
      <c r="D178" s="26">
        <f>A!C321</f>
        <v>41093.792400000006</v>
      </c>
      <c r="E178" s="26">
        <f>A!D321</f>
        <v>41099.361300000004</v>
      </c>
      <c r="F178" s="26">
        <f>A!E321</f>
        <v>42282.033052490835</v>
      </c>
      <c r="G178" s="26">
        <f>A!F321</f>
        <v>42110.836000000032</v>
      </c>
      <c r="H178" s="26">
        <f>A!G321</f>
        <v>42178</v>
      </c>
      <c r="I178" s="443"/>
      <c r="J178" s="26">
        <f t="shared" si="18"/>
        <v>41093.792400000006</v>
      </c>
      <c r="K178" s="26">
        <f t="shared" si="19"/>
        <v>43085.754097849116</v>
      </c>
      <c r="L178" s="27">
        <f t="shared" si="20"/>
        <v>4.7455949084270664E-2</v>
      </c>
      <c r="N178" s="676">
        <f>A!H321</f>
        <v>0</v>
      </c>
      <c r="O178" s="12"/>
      <c r="P178" s="12"/>
    </row>
    <row r="179" spans="2:16" ht="12" customHeight="1">
      <c r="B179" s="173" t="s">
        <v>98</v>
      </c>
      <c r="C179" s="26">
        <f>A!B322</f>
        <v>36932.472645265028</v>
      </c>
      <c r="D179" s="26">
        <f>A!C322</f>
        <v>33659.310900000004</v>
      </c>
      <c r="E179" s="26">
        <f>A!D322</f>
        <v>33746.361600000004</v>
      </c>
      <c r="F179" s="26">
        <f>A!E322</f>
        <v>35683.183505530906</v>
      </c>
      <c r="G179" s="26">
        <f>A!F322</f>
        <v>35132.592000000026</v>
      </c>
      <c r="H179" s="26">
        <f>A!G322</f>
        <v>34224</v>
      </c>
      <c r="I179" s="443"/>
      <c r="J179" s="26">
        <f t="shared" si="18"/>
        <v>33659.310900000004</v>
      </c>
      <c r="K179" s="26">
        <f t="shared" si="19"/>
        <v>36932.472645265028</v>
      </c>
      <c r="L179" s="27">
        <f t="shared" si="20"/>
        <v>9.3796759517658757E-2</v>
      </c>
      <c r="N179" s="676">
        <f>A!H322</f>
        <v>0</v>
      </c>
      <c r="O179" s="12"/>
      <c r="P179" s="12"/>
    </row>
    <row r="180" spans="2:16" ht="12" customHeight="1">
      <c r="B180" s="173" t="s">
        <v>102</v>
      </c>
      <c r="C180" s="26">
        <f>A!B323</f>
        <v>41929.494990569845</v>
      </c>
      <c r="D180" s="26">
        <f>A!C323</f>
        <v>37418.904600000002</v>
      </c>
      <c r="E180" s="26">
        <f>A!D323</f>
        <v>37665.694800000005</v>
      </c>
      <c r="F180" s="26">
        <f>A!E323</f>
        <v>40736.853230665321</v>
      </c>
      <c r="G180" s="26">
        <f>A!F323</f>
        <v>41063.372999999883</v>
      </c>
      <c r="H180" s="26">
        <f>A!G323</f>
        <v>40186</v>
      </c>
      <c r="I180" s="443"/>
      <c r="J180" s="26">
        <f t="shared" si="18"/>
        <v>37418.904600000002</v>
      </c>
      <c r="K180" s="26">
        <f t="shared" si="19"/>
        <v>41929.494990569845</v>
      </c>
      <c r="L180" s="27">
        <f t="shared" si="20"/>
        <v>0.11323642693479499</v>
      </c>
      <c r="N180" s="676">
        <f>A!H323</f>
        <v>0</v>
      </c>
      <c r="O180" s="12"/>
      <c r="P180" s="12"/>
    </row>
    <row r="181" spans="2:16" ht="12" customHeight="1">
      <c r="B181" s="173" t="s">
        <v>356</v>
      </c>
      <c r="C181" s="26">
        <f>A!B324</f>
        <v>39695.372852321809</v>
      </c>
      <c r="D181" s="26">
        <f>A!C324</f>
        <v>35974.214700000004</v>
      </c>
      <c r="E181" s="26">
        <f>A!D324</f>
        <v>36112.5579</v>
      </c>
      <c r="F181" s="26">
        <f>A!E324</f>
        <v>38742.147353425389</v>
      </c>
      <c r="G181" s="26">
        <f>A!F324</f>
        <v>38295.623999999953</v>
      </c>
      <c r="H181" s="26">
        <f>A!G324</f>
        <v>38346</v>
      </c>
      <c r="I181" s="443"/>
      <c r="J181" s="26">
        <f t="shared" si="18"/>
        <v>35974.214700000004</v>
      </c>
      <c r="K181" s="26">
        <f t="shared" si="19"/>
        <v>39695.372852321809</v>
      </c>
      <c r="L181" s="27">
        <f t="shared" si="20"/>
        <v>9.828476572488172E-2</v>
      </c>
      <c r="N181" s="676">
        <f>A!H324</f>
        <v>0</v>
      </c>
      <c r="O181" s="12"/>
      <c r="P181" s="12"/>
    </row>
    <row r="182" spans="2:16" ht="12" customHeight="1">
      <c r="B182" s="173" t="s">
        <v>105</v>
      </c>
      <c r="C182" s="26">
        <f>A!B325</f>
        <v>19017.167229120987</v>
      </c>
      <c r="D182" s="26">
        <f>A!C325</f>
        <v>16051.914600000002</v>
      </c>
      <c r="E182" s="26">
        <f>A!D325</f>
        <v>15958.122600000001</v>
      </c>
      <c r="F182" s="26">
        <f>A!E325</f>
        <v>18258.95814618079</v>
      </c>
      <c r="G182" s="26">
        <f>A!F325</f>
        <v>18271.393999999975</v>
      </c>
      <c r="H182" s="26">
        <f>A!G325</f>
        <v>18621</v>
      </c>
      <c r="I182" s="443"/>
      <c r="J182" s="26">
        <f t="shared" si="18"/>
        <v>15958.122600000001</v>
      </c>
      <c r="K182" s="26">
        <f t="shared" si="19"/>
        <v>19017.167229120987</v>
      </c>
      <c r="L182" s="27">
        <f t="shared" si="20"/>
        <v>0.17286228374849952</v>
      </c>
      <c r="N182" s="676">
        <f>A!H325</f>
        <v>0</v>
      </c>
      <c r="O182" s="12"/>
      <c r="P182" s="12"/>
    </row>
    <row r="183" spans="2:16" ht="12" customHeight="1">
      <c r="B183" s="173" t="s">
        <v>108</v>
      </c>
      <c r="C183" s="26">
        <f>A!B326</f>
        <v>27997.227426352034</v>
      </c>
      <c r="D183" s="26">
        <f>A!C326</f>
        <v>24887.414100000002</v>
      </c>
      <c r="E183" s="26">
        <f>A!D326</f>
        <v>24914.086200000002</v>
      </c>
      <c r="F183" s="26">
        <f>A!E326</f>
        <v>27496.569666439973</v>
      </c>
      <c r="G183" s="26">
        <f>A!F326</f>
        <v>26994.481999999978</v>
      </c>
      <c r="H183" s="26">
        <f>A!G326</f>
        <v>27470</v>
      </c>
      <c r="I183" s="443"/>
      <c r="J183" s="26">
        <f t="shared" si="18"/>
        <v>24887.414100000002</v>
      </c>
      <c r="K183" s="26">
        <f t="shared" si="19"/>
        <v>27997.227426352034</v>
      </c>
      <c r="L183" s="27">
        <f t="shared" si="20"/>
        <v>0.1167933507984929</v>
      </c>
      <c r="N183" s="676">
        <f>A!H326</f>
        <v>0</v>
      </c>
      <c r="O183" s="12"/>
      <c r="P183" s="12"/>
    </row>
    <row r="184" spans="2:16" ht="12" customHeight="1">
      <c r="B184" s="173" t="s">
        <v>109</v>
      </c>
      <c r="C184" s="26">
        <f>A!B327</f>
        <v>26840.462611469979</v>
      </c>
      <c r="D184" s="26">
        <f>A!C327</f>
        <v>23498.413200000003</v>
      </c>
      <c r="E184" s="26">
        <f>A!D327</f>
        <v>23588.101800000004</v>
      </c>
      <c r="F184" s="26">
        <f>A!E327</f>
        <v>25891.279977246446</v>
      </c>
      <c r="G184" s="26"/>
      <c r="H184" s="26">
        <f>A!G327</f>
        <v>25717</v>
      </c>
      <c r="I184" s="443"/>
      <c r="J184" s="26">
        <f t="shared" si="18"/>
        <v>23498.413200000003</v>
      </c>
      <c r="K184" s="26">
        <f t="shared" si="19"/>
        <v>26840.462611469979</v>
      </c>
      <c r="L184" s="27">
        <f t="shared" si="20"/>
        <v>0.13311198286696993</v>
      </c>
      <c r="N184" s="676">
        <f>A!H327</f>
        <v>0</v>
      </c>
      <c r="O184" s="12"/>
      <c r="P184" s="12"/>
    </row>
    <row r="185" spans="2:16" ht="12" customHeight="1">
      <c r="B185" s="173" t="s">
        <v>111</v>
      </c>
      <c r="C185" s="26">
        <f>A!B328</f>
        <v>22996.208255539954</v>
      </c>
      <c r="D185" s="26">
        <f>A!C328</f>
        <v>19120.9647</v>
      </c>
      <c r="E185" s="26">
        <f>A!D328</f>
        <v>19183.688100000003</v>
      </c>
      <c r="F185" s="26">
        <f>A!E328</f>
        <v>20968.213323934026</v>
      </c>
      <c r="G185" s="26"/>
      <c r="H185" s="26">
        <f>A!G328</f>
        <v>20590</v>
      </c>
      <c r="I185" s="443"/>
      <c r="J185" s="26">
        <f t="shared" si="18"/>
        <v>19120.9647</v>
      </c>
      <c r="K185" s="26">
        <f t="shared" si="19"/>
        <v>22996.208255539954</v>
      </c>
      <c r="L185" s="27">
        <f t="shared" si="20"/>
        <v>0.1883763575998734</v>
      </c>
      <c r="N185" s="676">
        <f>A!H328</f>
        <v>0</v>
      </c>
      <c r="O185" s="12"/>
      <c r="P185" s="12"/>
    </row>
    <row r="186" spans="2:16" ht="12" customHeight="1">
      <c r="B186" s="173" t="s">
        <v>112</v>
      </c>
      <c r="C186" s="26">
        <f>A!B329</f>
        <v>22219.482747750022</v>
      </c>
      <c r="D186" s="26">
        <f>A!C329</f>
        <v>19944.8688</v>
      </c>
      <c r="E186" s="26">
        <f>A!D329</f>
        <v>20269.916700000002</v>
      </c>
      <c r="F186" s="26">
        <f>A!E329</f>
        <v>21803.451314323509</v>
      </c>
      <c r="G186" s="26"/>
      <c r="H186" s="26">
        <f>A!G329</f>
        <v>21855</v>
      </c>
      <c r="I186" s="443"/>
      <c r="J186" s="26">
        <f t="shared" si="18"/>
        <v>19944.8688</v>
      </c>
      <c r="K186" s="26">
        <f t="shared" si="19"/>
        <v>22219.482747750022</v>
      </c>
      <c r="L186" s="27">
        <f t="shared" si="20"/>
        <v>0.10719934210090513</v>
      </c>
      <c r="N186" s="676">
        <f>A!H329</f>
        <v>0</v>
      </c>
      <c r="O186" s="12"/>
      <c r="P186" s="12"/>
    </row>
    <row r="187" spans="2:16" ht="12" customHeight="1">
      <c r="B187" s="173" t="s">
        <v>113</v>
      </c>
      <c r="C187" s="26">
        <f>A!B330</f>
        <v>21892.965744893096</v>
      </c>
      <c r="D187" s="26">
        <f>A!C330</f>
        <v>19909.403700000003</v>
      </c>
      <c r="E187" s="26">
        <f>A!D330</f>
        <v>19765.198500000002</v>
      </c>
      <c r="F187" s="26">
        <f>A!E330</f>
        <v>21376.044410862422</v>
      </c>
      <c r="G187" s="26"/>
      <c r="H187" s="26">
        <f>A!G330</f>
        <v>21057</v>
      </c>
      <c r="I187" s="443"/>
      <c r="J187" s="26">
        <f t="shared" si="18"/>
        <v>19765.198500000002</v>
      </c>
      <c r="K187" s="26">
        <f t="shared" si="19"/>
        <v>21892.965744893096</v>
      </c>
      <c r="L187" s="27">
        <f t="shared" si="20"/>
        <v>0.10229589983636957</v>
      </c>
      <c r="N187" s="676">
        <f>A!H330</f>
        <v>0</v>
      </c>
      <c r="O187" s="2"/>
      <c r="P187" s="12"/>
    </row>
    <row r="188" spans="2:16" ht="12" customHeight="1">
      <c r="B188" s="173" t="s">
        <v>114</v>
      </c>
      <c r="C188" s="26">
        <f>A!B331</f>
        <v>22835.290997827113</v>
      </c>
      <c r="D188" s="26">
        <f>A!C331</f>
        <v>20787.531300000002</v>
      </c>
      <c r="E188" s="26">
        <f>A!D331</f>
        <v>20689.049700000003</v>
      </c>
      <c r="F188" s="26">
        <f>A!E331</f>
        <v>22361.068344499032</v>
      </c>
      <c r="G188" s="26"/>
      <c r="H188" s="26">
        <f>A!G331</f>
        <v>22244</v>
      </c>
      <c r="I188" s="443"/>
      <c r="J188" s="26">
        <f t="shared" si="18"/>
        <v>20689.049700000003</v>
      </c>
      <c r="K188" s="26">
        <f t="shared" si="19"/>
        <v>22835.290997827113</v>
      </c>
      <c r="L188" s="27">
        <f t="shared" si="20"/>
        <v>9.852651438249499E-2</v>
      </c>
      <c r="N188" s="676">
        <f>A!H331</f>
        <v>0</v>
      </c>
      <c r="O188" s="2"/>
      <c r="P188" s="2"/>
    </row>
    <row r="189" spans="2:16" ht="12" customHeight="1">
      <c r="B189" s="173" t="s">
        <v>115</v>
      </c>
      <c r="C189" s="26">
        <f>A!B332</f>
        <v>18313.306249999994</v>
      </c>
      <c r="D189" s="26">
        <f>A!C332</f>
        <v>18346.008300000001</v>
      </c>
      <c r="E189" s="26">
        <f>A!D332</f>
        <v>18346.3014</v>
      </c>
      <c r="F189" s="26">
        <f>A!E332</f>
        <v>18231.91600472945</v>
      </c>
      <c r="G189" s="26">
        <f>A!F332</f>
        <v>18231.140999999938</v>
      </c>
      <c r="H189" s="26">
        <f>A!G332</f>
        <v>18084</v>
      </c>
      <c r="I189" s="443"/>
      <c r="J189" s="26">
        <f t="shared" si="18"/>
        <v>18084</v>
      </c>
      <c r="K189" s="26">
        <f t="shared" si="19"/>
        <v>18346.3014</v>
      </c>
      <c r="L189" s="27">
        <f t="shared" si="20"/>
        <v>1.4365769063894487E-2</v>
      </c>
      <c r="N189" s="676">
        <f>A!H332</f>
        <v>0</v>
      </c>
      <c r="O189" s="2"/>
      <c r="P189" s="2"/>
    </row>
    <row r="190" spans="2:16" ht="12" customHeight="1">
      <c r="B190" s="173" t="s">
        <v>120</v>
      </c>
      <c r="C190" s="26">
        <f>A!B333</f>
        <v>14000.196419999986</v>
      </c>
      <c r="D190" s="26">
        <f>A!C333</f>
        <v>14097.230700000002</v>
      </c>
      <c r="E190" s="26">
        <f>A!D333</f>
        <v>14097.230700000002</v>
      </c>
      <c r="F190" s="26">
        <f>A!E333</f>
        <v>13990.587540818167</v>
      </c>
      <c r="G190" s="26">
        <f>A!F333</f>
        <v>13991.417999999976</v>
      </c>
      <c r="H190" s="26">
        <f>A!G333</f>
        <v>13877</v>
      </c>
      <c r="I190" s="443"/>
      <c r="J190" s="26">
        <f t="shared" si="18"/>
        <v>13877</v>
      </c>
      <c r="K190" s="26">
        <f t="shared" si="19"/>
        <v>14097.230700000002</v>
      </c>
      <c r="L190" s="27">
        <f t="shared" si="20"/>
        <v>1.5720721110366008E-2</v>
      </c>
      <c r="N190" s="676">
        <f>A!H333</f>
        <v>0</v>
      </c>
      <c r="O190" s="12"/>
      <c r="P190" s="12"/>
    </row>
    <row r="191" spans="2:16" ht="12" customHeight="1">
      <c r="B191" s="173" t="s">
        <v>124</v>
      </c>
      <c r="C191" s="26">
        <f>A!B334</f>
        <v>31484.877840000041</v>
      </c>
      <c r="D191" s="26">
        <f>A!C334</f>
        <v>31712.247600000002</v>
      </c>
      <c r="E191" s="26">
        <f>A!D334</f>
        <v>31712.247600000002</v>
      </c>
      <c r="F191" s="26">
        <f>A!E334</f>
        <v>31479.435040542758</v>
      </c>
      <c r="G191" s="26">
        <f>A!F334</f>
        <v>31479.855999999923</v>
      </c>
      <c r="H191" s="26">
        <f>A!G334</f>
        <v>31217</v>
      </c>
      <c r="I191" s="443"/>
      <c r="J191" s="26">
        <f t="shared" si="18"/>
        <v>31217</v>
      </c>
      <c r="K191" s="26">
        <f t="shared" si="19"/>
        <v>31712.247600000002</v>
      </c>
      <c r="L191" s="27">
        <f t="shared" si="20"/>
        <v>1.5715023211565544E-2</v>
      </c>
      <c r="N191" s="676">
        <f>A!H334</f>
        <v>0</v>
      </c>
      <c r="O191" s="12"/>
      <c r="P191" s="12"/>
    </row>
    <row r="192" spans="2:16" ht="12" customHeight="1">
      <c r="B192" s="173" t="s">
        <v>125</v>
      </c>
      <c r="C192" s="26">
        <f>A!B335</f>
        <v>18311.930338999995</v>
      </c>
      <c r="D192" s="26">
        <f>A!C335</f>
        <v>18469.696500000002</v>
      </c>
      <c r="E192" s="26">
        <f>A!D335</f>
        <v>18469.696500000002</v>
      </c>
      <c r="F192" s="26">
        <f>A!E335</f>
        <v>18229.528543089771</v>
      </c>
      <c r="G192" s="26">
        <f>A!F335</f>
        <v>18235.133000000213</v>
      </c>
      <c r="H192" s="26">
        <f>A!G335</f>
        <v>18087</v>
      </c>
      <c r="I192" s="443"/>
      <c r="J192" s="26">
        <f t="shared" si="18"/>
        <v>18087</v>
      </c>
      <c r="K192" s="26">
        <f t="shared" si="19"/>
        <v>18469.696500000002</v>
      </c>
      <c r="L192" s="27">
        <f t="shared" si="20"/>
        <v>2.0911808567551444E-2</v>
      </c>
      <c r="N192" s="676">
        <f>A!H335</f>
        <v>0</v>
      </c>
      <c r="O192" s="12"/>
      <c r="P192" s="12"/>
    </row>
    <row r="193" spans="2:16" ht="12" customHeight="1">
      <c r="B193" s="173" t="s">
        <v>127</v>
      </c>
      <c r="C193" s="26">
        <f>A!B336</f>
        <v>18313.191556000009</v>
      </c>
      <c r="D193" s="26">
        <f>A!C336</f>
        <v>18410.7834</v>
      </c>
      <c r="E193" s="26">
        <f>A!D336</f>
        <v>18410.490300000001</v>
      </c>
      <c r="F193" s="26">
        <f>A!E336</f>
        <v>18230.761665649527</v>
      </c>
      <c r="G193" s="26">
        <f>A!F336</f>
        <v>18233.150999999987</v>
      </c>
      <c r="H193" s="26">
        <f>A!G336</f>
        <v>18104</v>
      </c>
      <c r="I193" s="443"/>
      <c r="J193" s="26">
        <f t="shared" si="18"/>
        <v>18104</v>
      </c>
      <c r="K193" s="26">
        <f t="shared" si="19"/>
        <v>18410.7834</v>
      </c>
      <c r="L193" s="27">
        <f t="shared" si="20"/>
        <v>1.6779038293177631E-2</v>
      </c>
      <c r="N193" s="676">
        <f>A!H336</f>
        <v>0</v>
      </c>
      <c r="O193" s="12"/>
      <c r="P193" s="12"/>
    </row>
    <row r="194" spans="2:16" ht="12" customHeight="1">
      <c r="B194" s="173" t="s">
        <v>130</v>
      </c>
      <c r="C194" s="26">
        <f>A!B337</f>
        <v>18313.935059999949</v>
      </c>
      <c r="D194" s="26">
        <f>A!C337</f>
        <v>18181.5792</v>
      </c>
      <c r="E194" s="26">
        <f>A!D337</f>
        <v>18181.5792</v>
      </c>
      <c r="F194" s="26">
        <f>A!E337</f>
        <v>18232.007335113853</v>
      </c>
      <c r="G194" s="26">
        <f>A!F337</f>
        <v>18226.508999999944</v>
      </c>
      <c r="H194" s="26">
        <f>A!G337</f>
        <v>18045</v>
      </c>
      <c r="I194" s="443"/>
      <c r="J194" s="26">
        <f t="shared" si="18"/>
        <v>18045</v>
      </c>
      <c r="K194" s="26">
        <f t="shared" si="19"/>
        <v>18313.935059999949</v>
      </c>
      <c r="L194" s="27">
        <f t="shared" si="20"/>
        <v>1.4779275944948135E-2</v>
      </c>
      <c r="N194" s="676">
        <f>A!H337</f>
        <v>0</v>
      </c>
      <c r="O194" s="12"/>
      <c r="P194" s="12"/>
    </row>
    <row r="195" spans="2:16" ht="12" customHeight="1">
      <c r="B195" s="173" t="s">
        <v>132</v>
      </c>
      <c r="C195" s="26">
        <f>A!B338</f>
        <v>5.6052956319999936E-13</v>
      </c>
      <c r="D195" s="26">
        <f>A!C338</f>
        <v>60.671700000000008</v>
      </c>
      <c r="E195" s="26">
        <f>A!D338</f>
        <v>60.671700000000008</v>
      </c>
      <c r="F195" s="26">
        <f>A!E338</f>
        <v>0.24183003551432733</v>
      </c>
      <c r="G195" s="26">
        <f>A!F338</f>
        <v>1.1859999999999984</v>
      </c>
      <c r="H195" s="26">
        <f>A!G338</f>
        <v>0</v>
      </c>
      <c r="I195" s="443"/>
      <c r="J195" s="26">
        <f t="shared" si="18"/>
        <v>0</v>
      </c>
      <c r="K195" s="26">
        <f t="shared" si="19"/>
        <v>60.671700000000008</v>
      </c>
      <c r="L195" s="27">
        <f t="shared" si="20"/>
        <v>2.9651099846005819</v>
      </c>
      <c r="N195" s="676">
        <f>A!H338</f>
        <v>0</v>
      </c>
      <c r="O195" s="12"/>
      <c r="P195" s="12"/>
    </row>
    <row r="196" spans="2:16" ht="12" customHeight="1">
      <c r="B196" s="173" t="s">
        <v>135</v>
      </c>
      <c r="C196" s="26">
        <f>A!B339</f>
        <v>0.97975819500045036</v>
      </c>
      <c r="D196" s="26">
        <f>A!C339</f>
        <v>106.98150000000001</v>
      </c>
      <c r="E196" s="26">
        <f>A!D339</f>
        <v>106.98150000000001</v>
      </c>
      <c r="F196" s="26">
        <f>A!E339</f>
        <v>8.8671574738760111</v>
      </c>
      <c r="G196" s="26">
        <f>A!F339</f>
        <v>3.09</v>
      </c>
      <c r="H196" s="26">
        <f>A!G339</f>
        <v>2</v>
      </c>
      <c r="I196" s="443"/>
      <c r="J196" s="26">
        <f t="shared" si="18"/>
        <v>0.97975819500045036</v>
      </c>
      <c r="K196" s="26">
        <f t="shared" si="19"/>
        <v>106.98150000000001</v>
      </c>
      <c r="L196" s="27">
        <f t="shared" si="20"/>
        <v>2.7785525781933509</v>
      </c>
      <c r="N196" s="676">
        <f>A!H339</f>
        <v>0</v>
      </c>
      <c r="O196" s="12"/>
      <c r="P196" s="12"/>
    </row>
    <row r="197" spans="2:16" ht="12" customHeight="1" thickBot="1">
      <c r="B197" s="174" t="s">
        <v>138</v>
      </c>
      <c r="C197" s="29">
        <f>A!B340</f>
        <v>-3.3573323999999783E-14</v>
      </c>
      <c r="D197" s="29">
        <f>A!C340</f>
        <v>25.499700000000001</v>
      </c>
      <c r="E197" s="29">
        <f>A!D340</f>
        <v>25.499700000000001</v>
      </c>
      <c r="F197" s="29">
        <f>A!E340</f>
        <v>3.5427769439087969E-12</v>
      </c>
      <c r="G197" s="444">
        <f>A!F340</f>
        <v>4.0000000000000001E-3</v>
      </c>
      <c r="H197" s="444">
        <f>A!G340</f>
        <v>0</v>
      </c>
      <c r="I197" s="445"/>
      <c r="J197" s="29">
        <f t="shared" si="18"/>
        <v>-3.3573323999999783E-14</v>
      </c>
      <c r="K197" s="29">
        <f t="shared" si="19"/>
        <v>25.499700000000001</v>
      </c>
      <c r="L197" s="30">
        <f t="shared" si="20"/>
        <v>2.9997647215673791</v>
      </c>
      <c r="N197" s="676">
        <f>A!H340</f>
        <v>0</v>
      </c>
      <c r="O197" s="12"/>
      <c r="P197" s="12"/>
    </row>
    <row r="198" spans="2:16" ht="12" customHeight="1" thickTop="1">
      <c r="B198" s="2"/>
      <c r="C198" s="12"/>
      <c r="D198" s="12"/>
      <c r="E198" s="32" t="s">
        <v>548</v>
      </c>
      <c r="F198" s="12"/>
      <c r="G198" s="12"/>
      <c r="H198" s="12"/>
      <c r="I198" s="2"/>
      <c r="J198" s="12"/>
      <c r="K198" s="12"/>
      <c r="L198" s="17"/>
      <c r="O198" s="12"/>
      <c r="P198" s="12"/>
    </row>
    <row r="199" spans="2:16" ht="12" customHeight="1">
      <c r="B199" s="2"/>
      <c r="C199" s="12"/>
      <c r="D199" s="12"/>
      <c r="E199" s="12"/>
      <c r="F199" s="12"/>
      <c r="G199" s="12"/>
      <c r="H199" s="12"/>
      <c r="I199" s="2"/>
      <c r="J199" s="12"/>
      <c r="K199" s="12"/>
      <c r="L199" s="17"/>
      <c r="M199" s="2"/>
      <c r="N199" s="2"/>
      <c r="O199" s="12"/>
      <c r="P199" s="12"/>
    </row>
    <row r="200" spans="2:16" ht="12" customHeight="1">
      <c r="B200" s="2"/>
      <c r="C200" s="12"/>
      <c r="D200" s="12"/>
      <c r="E200" s="12"/>
      <c r="F200" s="12"/>
      <c r="G200" s="12"/>
      <c r="H200" s="12"/>
      <c r="I200" s="2"/>
      <c r="J200" s="12"/>
      <c r="K200" s="12"/>
      <c r="L200" s="17"/>
      <c r="M200" s="2"/>
      <c r="N200" s="2"/>
      <c r="O200" s="12"/>
      <c r="P200" s="12"/>
    </row>
    <row r="201" spans="2:16" ht="12" customHeight="1">
      <c r="B201" s="2"/>
      <c r="C201" s="12"/>
      <c r="D201" s="12"/>
      <c r="E201" s="12"/>
      <c r="F201" s="12"/>
      <c r="G201" s="12"/>
      <c r="H201" s="12"/>
      <c r="I201" s="2"/>
      <c r="J201" s="12"/>
      <c r="K201" s="12"/>
      <c r="L201" s="17"/>
      <c r="M201" s="2"/>
      <c r="N201" s="2"/>
      <c r="O201" s="12"/>
      <c r="P201" s="12"/>
    </row>
    <row r="202" spans="2:16" ht="12" customHeight="1">
      <c r="B202" s="2"/>
      <c r="C202" s="12"/>
      <c r="D202" s="12"/>
      <c r="E202" s="12"/>
      <c r="F202" s="12"/>
      <c r="G202" s="12"/>
      <c r="H202" s="12"/>
      <c r="I202" s="2"/>
      <c r="J202" s="12"/>
      <c r="K202" s="12"/>
      <c r="L202" s="17"/>
      <c r="M202" s="2"/>
      <c r="N202" s="2"/>
      <c r="O202" s="12"/>
      <c r="P202" s="12"/>
    </row>
    <row r="203" spans="2:16" ht="12" customHeight="1">
      <c r="B203" s="2"/>
      <c r="C203" s="12"/>
      <c r="D203" s="12"/>
      <c r="E203" s="12"/>
      <c r="F203" s="12"/>
      <c r="G203" s="12"/>
      <c r="H203" s="12"/>
      <c r="I203" s="2"/>
      <c r="J203" s="12"/>
      <c r="K203" s="12"/>
      <c r="L203" s="17"/>
      <c r="M203" s="2"/>
      <c r="N203" s="2"/>
      <c r="O203" s="12"/>
      <c r="P203" s="12"/>
    </row>
    <row r="204" spans="2:16" ht="12" customHeight="1">
      <c r="C204" s="12"/>
      <c r="D204" s="12"/>
      <c r="E204" s="12"/>
      <c r="F204" s="12"/>
      <c r="G204" s="12"/>
      <c r="H204" s="12"/>
      <c r="I204" s="2"/>
      <c r="J204" s="2"/>
      <c r="K204" s="2"/>
      <c r="L204" s="17"/>
      <c r="M204" s="2"/>
      <c r="N204" s="2"/>
      <c r="O204" s="2"/>
      <c r="P204" s="12"/>
    </row>
    <row r="205" spans="2:16" ht="15.75" customHeight="1" thickBot="1">
      <c r="B205" s="1" t="s">
        <v>521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  <c r="P205" s="2"/>
    </row>
    <row r="206" spans="2:16" ht="12" customHeight="1" thickTop="1">
      <c r="B206" s="19" t="s">
        <v>86</v>
      </c>
      <c r="C206" s="144"/>
      <c r="D206" s="145"/>
      <c r="E206" s="144"/>
      <c r="F206" s="145"/>
      <c r="G206" s="145"/>
      <c r="H206" s="145"/>
      <c r="I206" s="140"/>
      <c r="J206" s="20" t="s">
        <v>24</v>
      </c>
      <c r="K206" s="144"/>
      <c r="L206" s="146"/>
    </row>
    <row r="207" spans="2:16" ht="12" customHeight="1">
      <c r="B207" s="170"/>
      <c r="C207" s="22" t="s">
        <v>245</v>
      </c>
      <c r="D207" s="22" t="s">
        <v>536</v>
      </c>
      <c r="E207" s="22" t="s">
        <v>258</v>
      </c>
      <c r="F207" s="352" t="s">
        <v>433</v>
      </c>
      <c r="G207" s="436" t="s">
        <v>469</v>
      </c>
      <c r="H207" s="437" t="s">
        <v>482</v>
      </c>
      <c r="I207" s="438"/>
      <c r="J207" s="18"/>
      <c r="K207" s="18"/>
      <c r="L207" s="23" t="s">
        <v>25</v>
      </c>
      <c r="N207" s="673" t="s">
        <v>519</v>
      </c>
    </row>
    <row r="208" spans="2:16" ht="12" customHeight="1">
      <c r="B208" s="171"/>
      <c r="C208" s="24" t="s">
        <v>26</v>
      </c>
      <c r="D208" s="24" t="s">
        <v>13</v>
      </c>
      <c r="E208" s="24" t="s">
        <v>13</v>
      </c>
      <c r="F208" s="353" t="s">
        <v>434</v>
      </c>
      <c r="G208" s="353" t="s">
        <v>452</v>
      </c>
      <c r="H208" s="353" t="s">
        <v>483</v>
      </c>
      <c r="I208" s="439"/>
      <c r="J208" s="24" t="s">
        <v>27</v>
      </c>
      <c r="K208" s="24" t="s">
        <v>28</v>
      </c>
      <c r="L208" s="25" t="s">
        <v>259</v>
      </c>
      <c r="N208" s="673" t="s">
        <v>520</v>
      </c>
    </row>
    <row r="209" spans="2:14" ht="12" customHeight="1">
      <c r="B209" s="172" t="s">
        <v>91</v>
      </c>
      <c r="C209" s="152">
        <f>A!B350</f>
        <v>3.2490640412357039</v>
      </c>
      <c r="D209" s="152">
        <f>A!C350</f>
        <v>3.2376805865102645</v>
      </c>
      <c r="E209" s="152">
        <f>A!D350</f>
        <v>3.2373585549738224</v>
      </c>
      <c r="F209" s="152">
        <f>A!E350</f>
        <v>3.2419158791607874</v>
      </c>
      <c r="G209" s="152">
        <f>A!F350</f>
        <v>3.2263863232202681</v>
      </c>
      <c r="H209" s="152">
        <f>A!G350</f>
        <v>3.23</v>
      </c>
      <c r="I209" s="446"/>
      <c r="J209" s="152">
        <f t="shared" ref="J209:J229" si="21">MINA(C209:I209)</f>
        <v>3.2263863232202681</v>
      </c>
      <c r="K209" s="152">
        <f t="shared" ref="K209:K229" si="22">MAXA(C209:I209)</f>
        <v>3.2490640412357039</v>
      </c>
      <c r="L209" s="27">
        <f t="shared" ref="L209:L229" si="23">(K209-J209)/AVERAGE(C209:I209)</f>
        <v>7.0056362945133989E-3</v>
      </c>
      <c r="N209" s="222">
        <f>A!H350</f>
        <v>0</v>
      </c>
    </row>
    <row r="210" spans="2:14" ht="12" customHeight="1">
      <c r="B210" s="173" t="s">
        <v>96</v>
      </c>
      <c r="C210" s="152">
        <f>A!B351</f>
        <v>3.4145863740610052</v>
      </c>
      <c r="D210" s="152">
        <f>A!C351</f>
        <v>3.4174807958173976</v>
      </c>
      <c r="E210" s="152">
        <f>A!D351</f>
        <v>3.4174880051922543</v>
      </c>
      <c r="F210" s="152">
        <f>A!E351</f>
        <v>3.4070913231146287</v>
      </c>
      <c r="G210" s="152">
        <f>A!F351</f>
        <v>3.3972436603535132</v>
      </c>
      <c r="H210" s="152">
        <f>A!G351</f>
        <v>3.38</v>
      </c>
      <c r="I210" s="446"/>
      <c r="J210" s="152">
        <f t="shared" si="21"/>
        <v>3.38</v>
      </c>
      <c r="K210" s="152">
        <f t="shared" si="22"/>
        <v>3.4174880051922543</v>
      </c>
      <c r="L210" s="27">
        <f t="shared" si="23"/>
        <v>1.1007597153963098E-2</v>
      </c>
      <c r="N210" s="222">
        <f>A!H351</f>
        <v>0</v>
      </c>
    </row>
    <row r="211" spans="2:14" ht="12" customHeight="1">
      <c r="B211" s="173" t="s">
        <v>98</v>
      </c>
      <c r="C211" s="152">
        <f>A!B352</f>
        <v>3.419896411537986</v>
      </c>
      <c r="D211" s="152">
        <f>A!C352</f>
        <v>3.4579699228422753</v>
      </c>
      <c r="E211" s="152">
        <f>A!D352</f>
        <v>3.4570510748065351</v>
      </c>
      <c r="F211" s="152">
        <f>A!E352</f>
        <v>3.4172143760694511</v>
      </c>
      <c r="G211" s="152">
        <f>A!F352</f>
        <v>3.4059697986335884</v>
      </c>
      <c r="H211" s="152">
        <f>A!G352</f>
        <v>3.39</v>
      </c>
      <c r="I211" s="446"/>
      <c r="J211" s="152">
        <f t="shared" si="21"/>
        <v>3.39</v>
      </c>
      <c r="K211" s="152">
        <f t="shared" si="22"/>
        <v>3.4579699228422753</v>
      </c>
      <c r="L211" s="27">
        <f t="shared" si="23"/>
        <v>1.9847066425513038E-2</v>
      </c>
      <c r="N211" s="222">
        <f>A!H352</f>
        <v>0</v>
      </c>
    </row>
    <row r="212" spans="2:14" ht="12" customHeight="1">
      <c r="B212" s="173" t="s">
        <v>102</v>
      </c>
      <c r="C212" s="152">
        <f>A!B353</f>
        <v>3.4907271114537237</v>
      </c>
      <c r="D212" s="152">
        <f>A!C353</f>
        <v>3.4941712952684894</v>
      </c>
      <c r="E212" s="152">
        <f>A!D353</f>
        <v>3.5364334687303032</v>
      </c>
      <c r="F212" s="152">
        <f>A!E353</f>
        <v>3.50633197407124</v>
      </c>
      <c r="G212" s="152">
        <f>A!F353</f>
        <v>3.4972907127943231</v>
      </c>
      <c r="H212" s="152">
        <f>A!G353</f>
        <v>3.46</v>
      </c>
      <c r="I212" s="446"/>
      <c r="J212" s="152">
        <f t="shared" si="21"/>
        <v>3.46</v>
      </c>
      <c r="K212" s="152">
        <f t="shared" si="22"/>
        <v>3.5364334687303032</v>
      </c>
      <c r="L212" s="27">
        <f t="shared" si="23"/>
        <v>2.1853791058728908E-2</v>
      </c>
      <c r="N212" s="222">
        <f>A!H353</f>
        <v>0</v>
      </c>
    </row>
    <row r="213" spans="2:14" ht="12" customHeight="1">
      <c r="B213" s="173" t="s">
        <v>356</v>
      </c>
      <c r="C213" s="152">
        <f>A!B354</f>
        <v>3.4542749634926753</v>
      </c>
      <c r="D213" s="152">
        <f>A!C354</f>
        <v>3.4773384823372431</v>
      </c>
      <c r="E213" s="152">
        <f>A!D354</f>
        <v>3.4956189184428399</v>
      </c>
      <c r="F213" s="152">
        <f>A!E354</f>
        <v>3.46237083759975</v>
      </c>
      <c r="G213" s="152">
        <f>A!F354</f>
        <v>3.4495471545115888</v>
      </c>
      <c r="H213" s="152">
        <f>A!G354</f>
        <v>3.42</v>
      </c>
      <c r="I213" s="446"/>
      <c r="J213" s="152">
        <f>MINA(C213:I213)</f>
        <v>3.42</v>
      </c>
      <c r="K213" s="152">
        <f>MAXA(C213:I213)</f>
        <v>3.4956189184428399</v>
      </c>
      <c r="L213" s="27">
        <f>(K213-J213)/AVERAGE(C213:I213)</f>
        <v>2.185607324326299E-2</v>
      </c>
      <c r="N213" s="222">
        <f>A!H354</f>
        <v>0</v>
      </c>
    </row>
    <row r="214" spans="2:14" ht="12" customHeight="1">
      <c r="B214" s="173" t="s">
        <v>105</v>
      </c>
      <c r="C214" s="152">
        <f>A!B355</f>
        <v>3.2489490281954185</v>
      </c>
      <c r="D214" s="152">
        <f>A!C355</f>
        <v>3.240776610565923</v>
      </c>
      <c r="E214" s="152">
        <f>A!D355</f>
        <v>3.235440710799268</v>
      </c>
      <c r="F214" s="152">
        <f>A!E355</f>
        <v>3.2462793787828992</v>
      </c>
      <c r="G214" s="152">
        <f>A!F355</f>
        <v>3.2289188238457793</v>
      </c>
      <c r="H214" s="152">
        <f>A!G355</f>
        <v>3.23</v>
      </c>
      <c r="I214" s="446"/>
      <c r="J214" s="152">
        <f t="shared" si="21"/>
        <v>3.2289188238457793</v>
      </c>
      <c r="K214" s="152">
        <f t="shared" si="22"/>
        <v>3.2489490281954185</v>
      </c>
      <c r="L214" s="27">
        <f t="shared" si="23"/>
        <v>6.1852275481004276E-3</v>
      </c>
      <c r="N214" s="222">
        <f>A!H355</f>
        <v>0</v>
      </c>
    </row>
    <row r="215" spans="2:14" ht="12" customHeight="1">
      <c r="B215" s="173" t="s">
        <v>108</v>
      </c>
      <c r="C215" s="152">
        <f>A!B356</f>
        <v>3.6690275159907122</v>
      </c>
      <c r="D215" s="152">
        <f>A!C356</f>
        <v>3.7006114787884403</v>
      </c>
      <c r="E215" s="152">
        <f>A!D356</f>
        <v>3.705809741283383</v>
      </c>
      <c r="F215" s="152">
        <f>A!E356</f>
        <v>3.6796675326478208</v>
      </c>
      <c r="G215" s="152">
        <f>A!F356</f>
        <v>3.6666956226117398</v>
      </c>
      <c r="H215" s="152">
        <f>A!G356</f>
        <v>3.66</v>
      </c>
      <c r="I215" s="446"/>
      <c r="J215" s="152">
        <f t="shared" si="21"/>
        <v>3.66</v>
      </c>
      <c r="K215" s="152">
        <f t="shared" si="22"/>
        <v>3.705809741283383</v>
      </c>
      <c r="L215" s="27">
        <f t="shared" si="23"/>
        <v>1.2447277834492993E-2</v>
      </c>
      <c r="N215" s="222">
        <f>A!H356</f>
        <v>0</v>
      </c>
    </row>
    <row r="216" spans="2:14" ht="12" customHeight="1">
      <c r="B216" s="173" t="s">
        <v>109</v>
      </c>
      <c r="C216" s="152">
        <f>A!B357</f>
        <v>3.2502746499298332</v>
      </c>
      <c r="D216" s="152">
        <f>A!C357</f>
        <v>3.2514047180206354</v>
      </c>
      <c r="E216" s="152">
        <f>A!D357</f>
        <v>3.2519060962192441</v>
      </c>
      <c r="F216" s="152">
        <f>A!E357</f>
        <v>3.2587708895217808</v>
      </c>
      <c r="G216" s="152"/>
      <c r="H216" s="152">
        <f>A!G357</f>
        <v>3.26</v>
      </c>
      <c r="I216" s="446"/>
      <c r="J216" s="152">
        <f t="shared" si="21"/>
        <v>3.2502746499298332</v>
      </c>
      <c r="K216" s="152">
        <f t="shared" si="22"/>
        <v>3.26</v>
      </c>
      <c r="L216" s="27">
        <f t="shared" si="23"/>
        <v>2.9883041702071489E-3</v>
      </c>
      <c r="N216" s="222">
        <f>A!H357</f>
        <v>0</v>
      </c>
    </row>
    <row r="217" spans="2:14" ht="12" customHeight="1">
      <c r="B217" s="173" t="s">
        <v>111</v>
      </c>
      <c r="C217" s="152">
        <f>A!B358</f>
        <v>3.2395129561133276</v>
      </c>
      <c r="D217" s="152">
        <f>A!C358</f>
        <v>3.2124115306907832</v>
      </c>
      <c r="E217" s="152">
        <f>A!D358</f>
        <v>3.2106972813295553</v>
      </c>
      <c r="F217" s="152">
        <f>A!E358</f>
        <v>3.2187482875465139</v>
      </c>
      <c r="G217" s="152"/>
      <c r="H217" s="152">
        <f>A!G358</f>
        <v>3.21</v>
      </c>
      <c r="I217" s="446"/>
      <c r="J217" s="152">
        <f t="shared" si="21"/>
        <v>3.21</v>
      </c>
      <c r="K217" s="152">
        <f t="shared" si="22"/>
        <v>3.2395129561133276</v>
      </c>
      <c r="L217" s="27">
        <f t="shared" si="23"/>
        <v>9.170429867439928E-3</v>
      </c>
      <c r="N217" s="222">
        <f>A!H358</f>
        <v>0</v>
      </c>
    </row>
    <row r="218" spans="2:14" ht="12" customHeight="1">
      <c r="B218" s="173" t="s">
        <v>112</v>
      </c>
      <c r="C218" s="152">
        <f>A!B359</f>
        <v>3.2260641035937025</v>
      </c>
      <c r="D218" s="152">
        <f>A!C359</f>
        <v>3.2152866928406469</v>
      </c>
      <c r="E218" s="152">
        <f>A!D359</f>
        <v>3.2175275351793013</v>
      </c>
      <c r="F218" s="152">
        <f>A!E359</f>
        <v>3.2214971063565341</v>
      </c>
      <c r="G218" s="152"/>
      <c r="H218" s="152">
        <f>A!G359</f>
        <v>3.21</v>
      </c>
      <c r="I218" s="446"/>
      <c r="J218" s="152">
        <f t="shared" si="21"/>
        <v>3.21</v>
      </c>
      <c r="K218" s="152">
        <f t="shared" si="22"/>
        <v>3.2260641035937025</v>
      </c>
      <c r="L218" s="27">
        <f t="shared" si="23"/>
        <v>4.9918361618195668E-3</v>
      </c>
      <c r="N218" s="222">
        <f>A!H359</f>
        <v>0</v>
      </c>
    </row>
    <row r="219" spans="2:14" ht="12" customHeight="1">
      <c r="B219" s="173" t="s">
        <v>113</v>
      </c>
      <c r="C219" s="152">
        <f>A!B360</f>
        <v>3.2207938616310492</v>
      </c>
      <c r="D219" s="152">
        <f>A!C360</f>
        <v>3.2130314791943757</v>
      </c>
      <c r="E219" s="152">
        <f>A!D360</f>
        <v>3.2114691557976212</v>
      </c>
      <c r="F219" s="152">
        <f>A!E360</f>
        <v>3.2175650685425263</v>
      </c>
      <c r="G219" s="152"/>
      <c r="H219" s="152">
        <f>A!G360</f>
        <v>3.21</v>
      </c>
      <c r="I219" s="446"/>
      <c r="J219" s="152">
        <f t="shared" si="21"/>
        <v>3.21</v>
      </c>
      <c r="K219" s="152">
        <f t="shared" si="22"/>
        <v>3.2207938616310492</v>
      </c>
      <c r="L219" s="27">
        <f t="shared" si="23"/>
        <v>3.3577913087857051E-3</v>
      </c>
      <c r="N219" s="222">
        <f>A!H360</f>
        <v>0</v>
      </c>
    </row>
    <row r="220" spans="2:14" ht="12" customHeight="1">
      <c r="B220" s="173" t="s">
        <v>114</v>
      </c>
      <c r="C220" s="152">
        <f>A!B361</f>
        <v>3.2313387251007555</v>
      </c>
      <c r="D220" s="152">
        <f>A!C361</f>
        <v>3.2222873104008669</v>
      </c>
      <c r="E220" s="152">
        <f>A!D361</f>
        <v>3.2218844701941793</v>
      </c>
      <c r="F220" s="152">
        <f>A!E361</f>
        <v>3.2271755662385644</v>
      </c>
      <c r="G220" s="152"/>
      <c r="H220" s="152">
        <f>A!G361</f>
        <v>3.22</v>
      </c>
      <c r="I220" s="446"/>
      <c r="J220" s="152">
        <f t="shared" si="21"/>
        <v>3.22</v>
      </c>
      <c r="K220" s="152">
        <f t="shared" si="22"/>
        <v>3.2313387251007555</v>
      </c>
      <c r="L220" s="27">
        <f t="shared" si="23"/>
        <v>3.5163883518433137E-3</v>
      </c>
      <c r="N220" s="222">
        <f>A!H361</f>
        <v>0</v>
      </c>
    </row>
    <row r="221" spans="2:14" ht="12" customHeight="1">
      <c r="B221" s="173" t="s">
        <v>115</v>
      </c>
      <c r="C221" s="152">
        <f>A!B362</f>
        <v>3.2040506101569686</v>
      </c>
      <c r="D221" s="152">
        <f>A!C362</f>
        <v>3.2274971390845071</v>
      </c>
      <c r="E221" s="152">
        <f>A!D362</f>
        <v>3.2265361707329006</v>
      </c>
      <c r="F221" s="152">
        <f>A!E362</f>
        <v>3.208044447110225</v>
      </c>
      <c r="G221" s="152">
        <f>A!F362</f>
        <v>3.1920210710105641</v>
      </c>
      <c r="H221" s="152">
        <f>A!G362</f>
        <v>3.2</v>
      </c>
      <c r="I221" s="446"/>
      <c r="J221" s="152">
        <f t="shared" si="21"/>
        <v>3.1920210710105641</v>
      </c>
      <c r="K221" s="152">
        <f t="shared" si="22"/>
        <v>3.2274971390845071</v>
      </c>
      <c r="L221" s="27">
        <f t="shared" si="23"/>
        <v>1.1052796590237264E-2</v>
      </c>
      <c r="N221" s="222">
        <f>A!H362</f>
        <v>0</v>
      </c>
    </row>
    <row r="222" spans="2:14" ht="12" customHeight="1">
      <c r="B222" s="173" t="s">
        <v>120</v>
      </c>
      <c r="C222" s="152">
        <f>A!B363</f>
        <v>3.1418413089454327</v>
      </c>
      <c r="D222" s="152">
        <f>A!C363</f>
        <v>3.1613855565949489</v>
      </c>
      <c r="E222" s="152">
        <f>A!D363</f>
        <v>3.1616336680596278</v>
      </c>
      <c r="F222" s="152">
        <f>A!E363</f>
        <v>3.1472396390899418</v>
      </c>
      <c r="G222" s="152">
        <f>A!F363</f>
        <v>3.132400718052974</v>
      </c>
      <c r="H222" s="152">
        <f>A!G363</f>
        <v>3.14</v>
      </c>
      <c r="I222" s="446"/>
      <c r="J222" s="152">
        <f t="shared" si="21"/>
        <v>3.132400718052974</v>
      </c>
      <c r="K222" s="152">
        <f t="shared" si="22"/>
        <v>3.1616336680596278</v>
      </c>
      <c r="L222" s="27">
        <f t="shared" si="23"/>
        <v>9.287918227476228E-3</v>
      </c>
      <c r="N222" s="222">
        <f>A!H363</f>
        <v>0</v>
      </c>
    </row>
    <row r="223" spans="2:14" ht="12" customHeight="1">
      <c r="B223" s="173" t="s">
        <v>124</v>
      </c>
      <c r="C223" s="152">
        <f>A!B364</f>
        <v>3.5513226917289793</v>
      </c>
      <c r="D223" s="152">
        <f>A!C364</f>
        <v>3.5773704725150606</v>
      </c>
      <c r="E223" s="152">
        <f>A!D364</f>
        <v>3.5773999497976217</v>
      </c>
      <c r="F223" s="152">
        <f>A!E364</f>
        <v>3.5553754078702928</v>
      </c>
      <c r="G223" s="152">
        <f>A!F364</f>
        <v>3.529529503755886</v>
      </c>
      <c r="H223" s="152">
        <f>A!G364</f>
        <v>3.55</v>
      </c>
      <c r="I223" s="446"/>
      <c r="J223" s="152">
        <f t="shared" si="21"/>
        <v>3.529529503755886</v>
      </c>
      <c r="K223" s="152">
        <f t="shared" si="22"/>
        <v>3.5773999497976217</v>
      </c>
      <c r="L223" s="27">
        <f t="shared" si="23"/>
        <v>1.3458727464617976E-2</v>
      </c>
      <c r="N223" s="222">
        <f>A!H364</f>
        <v>0</v>
      </c>
    </row>
    <row r="224" spans="2:14" ht="12" customHeight="1">
      <c r="B224" s="173" t="s">
        <v>125</v>
      </c>
      <c r="C224" s="152">
        <f>A!B365</f>
        <v>2.9010750931291152</v>
      </c>
      <c r="D224" s="152">
        <f>A!C365</f>
        <v>2.9567495802798138</v>
      </c>
      <c r="E224" s="152">
        <f>A!D365</f>
        <v>2.9559640658999067</v>
      </c>
      <c r="F224" s="152">
        <f>A!E365</f>
        <v>2.9204616418745704</v>
      </c>
      <c r="G224" s="152">
        <f>A!F365</f>
        <v>2.8733036151829876</v>
      </c>
      <c r="H224" s="152">
        <f>A!G365</f>
        <v>2.92</v>
      </c>
      <c r="I224" s="446"/>
      <c r="J224" s="152">
        <f t="shared" si="21"/>
        <v>2.8733036151829876</v>
      </c>
      <c r="K224" s="152">
        <f t="shared" si="22"/>
        <v>2.9567495802798138</v>
      </c>
      <c r="L224" s="27">
        <f t="shared" si="23"/>
        <v>2.8565069072658489E-2</v>
      </c>
      <c r="N224" s="222">
        <f>A!H365</f>
        <v>0</v>
      </c>
    </row>
    <row r="225" spans="2:16" ht="12" customHeight="1">
      <c r="B225" s="173" t="s">
        <v>127</v>
      </c>
      <c r="C225" s="152">
        <f>A!B366</f>
        <v>3.0580577666203514</v>
      </c>
      <c r="D225" s="152">
        <f>A!C366</f>
        <v>3.0743934966881281</v>
      </c>
      <c r="E225" s="152">
        <f>A!D366</f>
        <v>3.072773555555556</v>
      </c>
      <c r="F225" s="152">
        <f>A!E366</f>
        <v>3.0638799308877736</v>
      </c>
      <c r="G225" s="152">
        <f>A!F366</f>
        <v>3.0363034161654276</v>
      </c>
      <c r="H225" s="152">
        <f>A!G366</f>
        <v>3.07</v>
      </c>
      <c r="I225" s="446"/>
      <c r="J225" s="152">
        <f t="shared" si="21"/>
        <v>3.0363034161654276</v>
      </c>
      <c r="K225" s="152">
        <f t="shared" si="22"/>
        <v>3.0743934966881281</v>
      </c>
      <c r="L225" s="27">
        <f t="shared" si="23"/>
        <v>1.2437301042384484E-2</v>
      </c>
      <c r="N225" s="222">
        <f>A!H366</f>
        <v>0</v>
      </c>
    </row>
    <row r="226" spans="2:16" ht="12" customHeight="1">
      <c r="B226" s="173" t="s">
        <v>130</v>
      </c>
      <c r="C226" s="152">
        <f>A!B367</f>
        <v>3.4835480223015232</v>
      </c>
      <c r="D226" s="152">
        <f>A!C367</f>
        <v>3.5308881276320054</v>
      </c>
      <c r="E226" s="152">
        <f>A!D367</f>
        <v>3.5279999190763922</v>
      </c>
      <c r="F226" s="152">
        <f>A!E367</f>
        <v>3.4981954262230528</v>
      </c>
      <c r="G226" s="152">
        <f>A!F367</f>
        <v>3.4795946427718336</v>
      </c>
      <c r="H226" s="152">
        <f>A!G367</f>
        <v>3.41</v>
      </c>
      <c r="I226" s="446"/>
      <c r="J226" s="152">
        <f t="shared" si="21"/>
        <v>3.41</v>
      </c>
      <c r="K226" s="152">
        <f t="shared" si="22"/>
        <v>3.5308881276320054</v>
      </c>
      <c r="L226" s="27">
        <f t="shared" si="23"/>
        <v>3.4654607217787778E-2</v>
      </c>
      <c r="N226" s="222">
        <f>A!H367</f>
        <v>0</v>
      </c>
    </row>
    <row r="227" spans="2:16" ht="12" customHeight="1">
      <c r="B227" s="173" t="s">
        <v>132</v>
      </c>
      <c r="C227" s="152">
        <f>A!B368</f>
        <v>2.961822827530562</v>
      </c>
      <c r="D227" s="152">
        <f>A!C368</f>
        <v>2.969011377093016</v>
      </c>
      <c r="E227" s="152">
        <f>A!D368</f>
        <v>2.969354591186959</v>
      </c>
      <c r="F227" s="152">
        <f>A!E368</f>
        <v>2.9604219306766106</v>
      </c>
      <c r="G227" s="152">
        <f>A!F368</f>
        <v>2.91557596436289</v>
      </c>
      <c r="H227" s="152">
        <f>A!G368</f>
        <v>2.98</v>
      </c>
      <c r="I227" s="446"/>
      <c r="J227" s="152">
        <f t="shared" si="21"/>
        <v>2.91557596436289</v>
      </c>
      <c r="K227" s="152">
        <f t="shared" si="22"/>
        <v>2.98</v>
      </c>
      <c r="L227" s="27">
        <f t="shared" si="23"/>
        <v>2.1769551117743677E-2</v>
      </c>
      <c r="N227" s="222">
        <f>A!H368</f>
        <v>0</v>
      </c>
    </row>
    <row r="228" spans="2:16" ht="12" customHeight="1">
      <c r="B228" s="173" t="s">
        <v>135</v>
      </c>
      <c r="C228" s="152">
        <f>A!B369</f>
        <v>2.6680014143975166</v>
      </c>
      <c r="D228" s="152">
        <f>A!C369</f>
        <v>2.6747953348467655</v>
      </c>
      <c r="E228" s="152">
        <f>A!D369</f>
        <v>2.6751863930517716</v>
      </c>
      <c r="F228" s="152">
        <f>A!E369</f>
        <v>2.6934164262744402</v>
      </c>
      <c r="G228" s="152">
        <f>A!F369</f>
        <v>2.6402576966306008</v>
      </c>
      <c r="H228" s="152">
        <f>A!G369</f>
        <v>2.69</v>
      </c>
      <c r="I228" s="446"/>
      <c r="J228" s="152">
        <f t="shared" si="21"/>
        <v>2.6402576966306008</v>
      </c>
      <c r="K228" s="152">
        <f t="shared" si="22"/>
        <v>2.6934164262744402</v>
      </c>
      <c r="L228" s="27">
        <f t="shared" si="23"/>
        <v>1.9882757285616275E-2</v>
      </c>
      <c r="N228" s="222">
        <f>A!H369</f>
        <v>0</v>
      </c>
    </row>
    <row r="229" spans="2:16" ht="12" customHeight="1" thickBot="1">
      <c r="B229" s="174" t="s">
        <v>138</v>
      </c>
      <c r="C229" s="153">
        <f>A!B370</f>
        <v>3.2280979090130502</v>
      </c>
      <c r="D229" s="153">
        <f>A!C370</f>
        <v>3.2333227816236629</v>
      </c>
      <c r="E229" s="153">
        <f>A!D370</f>
        <v>3.2355450524842548</v>
      </c>
      <c r="F229" s="153">
        <f>A!E370</f>
        <v>3.1631536330233647</v>
      </c>
      <c r="G229" s="153">
        <f>A!F370</f>
        <v>3.186293116613272</v>
      </c>
      <c r="H229" s="152">
        <f>A!G370</f>
        <v>3.2</v>
      </c>
      <c r="I229" s="447"/>
      <c r="J229" s="153">
        <f t="shared" si="21"/>
        <v>3.1631536330233647</v>
      </c>
      <c r="K229" s="153">
        <f t="shared" si="22"/>
        <v>3.2355450524842548</v>
      </c>
      <c r="L229" s="30">
        <f t="shared" si="23"/>
        <v>2.256776513175042E-2</v>
      </c>
      <c r="N229" s="222">
        <f>A!H370</f>
        <v>0</v>
      </c>
    </row>
    <row r="230" spans="2:16" ht="12" customHeight="1" thickTop="1">
      <c r="B230" s="19" t="s">
        <v>264</v>
      </c>
      <c r="C230" s="144"/>
      <c r="D230" s="145"/>
      <c r="E230" s="144"/>
      <c r="F230" s="145"/>
      <c r="G230" s="145"/>
      <c r="H230" s="145"/>
      <c r="I230" s="140"/>
      <c r="J230" s="20" t="s">
        <v>24</v>
      </c>
      <c r="K230" s="144"/>
      <c r="L230" s="146"/>
      <c r="O230" s="219"/>
      <c r="P230" s="219"/>
    </row>
    <row r="231" spans="2:16" ht="12" customHeight="1">
      <c r="B231" s="170"/>
      <c r="C231" s="22" t="s">
        <v>245</v>
      </c>
      <c r="D231" s="22" t="s">
        <v>536</v>
      </c>
      <c r="E231" s="22" t="s">
        <v>258</v>
      </c>
      <c r="F231" s="352" t="s">
        <v>433</v>
      </c>
      <c r="G231" s="436" t="s">
        <v>469</v>
      </c>
      <c r="H231" s="437" t="s">
        <v>482</v>
      </c>
      <c r="I231" s="438"/>
      <c r="J231" s="18"/>
      <c r="K231" s="18"/>
      <c r="L231" s="23" t="s">
        <v>25</v>
      </c>
      <c r="N231" s="673" t="s">
        <v>519</v>
      </c>
      <c r="O231" s="219"/>
      <c r="P231" s="219"/>
    </row>
    <row r="232" spans="2:16" ht="12" customHeight="1">
      <c r="B232" s="171"/>
      <c r="C232" s="24" t="s">
        <v>26</v>
      </c>
      <c r="D232" s="24" t="s">
        <v>13</v>
      </c>
      <c r="E232" s="24" t="s">
        <v>13</v>
      </c>
      <c r="F232" s="353" t="s">
        <v>434</v>
      </c>
      <c r="G232" s="353" t="s">
        <v>452</v>
      </c>
      <c r="H232" s="353" t="s">
        <v>483</v>
      </c>
      <c r="I232" s="439"/>
      <c r="J232" s="24" t="s">
        <v>27</v>
      </c>
      <c r="K232" s="24" t="s">
        <v>28</v>
      </c>
      <c r="L232" s="25" t="s">
        <v>259</v>
      </c>
      <c r="N232" s="673" t="s">
        <v>520</v>
      </c>
      <c r="O232" s="219"/>
      <c r="P232" s="219"/>
    </row>
    <row r="233" spans="2:16" ht="12" customHeight="1">
      <c r="B233" s="172" t="s">
        <v>91</v>
      </c>
      <c r="C233" s="154">
        <f>A!B380</f>
        <v>23.624274631278602</v>
      </c>
      <c r="D233" s="154">
        <f>A!C380</f>
        <v>24.055555555555554</v>
      </c>
      <c r="E233" s="154">
        <f>A!D380</f>
        <v>24.055555555555554</v>
      </c>
      <c r="F233" s="154">
        <f>A!E380</f>
        <v>24.089100588595329</v>
      </c>
      <c r="G233" s="154">
        <f>A!F380</f>
        <v>24.081647260274028</v>
      </c>
      <c r="H233" s="154">
        <f>A!G380</f>
        <v>23.99</v>
      </c>
      <c r="I233" s="450"/>
      <c r="J233" s="154">
        <f t="shared" ref="J233:J253" si="24">MINA(C233:I233)</f>
        <v>23.624274631278602</v>
      </c>
      <c r="K233" s="154">
        <f t="shared" ref="K233:K253" si="25">MAXA(C233:I233)</f>
        <v>24.089100588595329</v>
      </c>
      <c r="L233" s="27">
        <f t="shared" ref="L233:L253" si="26">(K233-J233)/AVERAGE(C233:I233)</f>
        <v>1.9381728155549095E-2</v>
      </c>
      <c r="N233" s="598">
        <f>A!H380</f>
        <v>0</v>
      </c>
      <c r="O233" s="219"/>
      <c r="P233" s="219"/>
    </row>
    <row r="234" spans="2:16" ht="12" customHeight="1">
      <c r="B234" s="173" t="s">
        <v>96</v>
      </c>
      <c r="C234" s="154">
        <f>A!B381</f>
        <v>23.755573192922416</v>
      </c>
      <c r="D234" s="154">
        <f>A!C381</f>
        <v>24.111111111111114</v>
      </c>
      <c r="E234" s="154">
        <f>A!D381</f>
        <v>24.055555555555554</v>
      </c>
      <c r="F234" s="154">
        <f>A!E381</f>
        <v>24.091465255790009</v>
      </c>
      <c r="G234" s="154">
        <f>A!F381</f>
        <v>24.089708904109656</v>
      </c>
      <c r="H234" s="154">
        <f>A!G381</f>
        <v>24.01</v>
      </c>
      <c r="I234" s="450"/>
      <c r="J234" s="154">
        <f t="shared" si="24"/>
        <v>23.755573192922416</v>
      </c>
      <c r="K234" s="154">
        <f t="shared" si="25"/>
        <v>24.111111111111114</v>
      </c>
      <c r="L234" s="27">
        <f t="shared" si="26"/>
        <v>1.4802421576410018E-2</v>
      </c>
      <c r="N234" s="598">
        <f>A!H381</f>
        <v>0</v>
      </c>
      <c r="O234" s="219"/>
      <c r="P234" s="219"/>
    </row>
    <row r="235" spans="2:16" ht="12" customHeight="1">
      <c r="B235" s="173" t="s">
        <v>98</v>
      </c>
      <c r="C235" s="154">
        <f>A!B382</f>
        <v>23.90049940753422</v>
      </c>
      <c r="D235" s="154">
        <f>A!C382</f>
        <v>24.388888888888893</v>
      </c>
      <c r="E235" s="154">
        <f>A!D382</f>
        <v>24.388888888888893</v>
      </c>
      <c r="F235" s="154">
        <f>A!E382</f>
        <v>24.232151722430519</v>
      </c>
      <c r="G235" s="154">
        <f>A!F382</f>
        <v>24.327353881278576</v>
      </c>
      <c r="H235" s="154">
        <f>A!G382</f>
        <v>24.53</v>
      </c>
      <c r="I235" s="450"/>
      <c r="J235" s="154">
        <f t="shared" si="24"/>
        <v>23.90049940753422</v>
      </c>
      <c r="K235" s="154">
        <f t="shared" si="25"/>
        <v>24.53</v>
      </c>
      <c r="L235" s="27">
        <f t="shared" si="26"/>
        <v>2.591109971303731E-2</v>
      </c>
      <c r="N235" s="598">
        <f>A!H382</f>
        <v>0</v>
      </c>
      <c r="O235" s="219"/>
      <c r="P235" s="219"/>
    </row>
    <row r="236" spans="2:16" ht="12" customHeight="1">
      <c r="B236" s="173" t="s">
        <v>102</v>
      </c>
      <c r="C236" s="154">
        <f>A!B383</f>
        <v>23.879729368721453</v>
      </c>
      <c r="D236" s="154">
        <f>A!C383</f>
        <v>24.277777777777779</v>
      </c>
      <c r="E236" s="154">
        <f>A!D383</f>
        <v>24.277777777777779</v>
      </c>
      <c r="F236" s="154">
        <f>A!E383</f>
        <v>24.295252404737674</v>
      </c>
      <c r="G236" s="154">
        <f>A!F383</f>
        <v>24.2954691780822</v>
      </c>
      <c r="H236" s="154">
        <f>A!G383</f>
        <v>24.18</v>
      </c>
      <c r="I236" s="450"/>
      <c r="J236" s="154">
        <f t="shared" si="24"/>
        <v>23.879729368721453</v>
      </c>
      <c r="K236" s="154">
        <f t="shared" si="25"/>
        <v>24.2954691780822</v>
      </c>
      <c r="L236" s="27">
        <f t="shared" si="26"/>
        <v>1.7178620335120718E-2</v>
      </c>
      <c r="N236" s="598">
        <f>A!H383</f>
        <v>0</v>
      </c>
      <c r="O236" s="219"/>
      <c r="P236" s="219"/>
    </row>
    <row r="237" spans="2:16" ht="12" customHeight="1">
      <c r="B237" s="173" t="s">
        <v>356</v>
      </c>
      <c r="C237" s="154">
        <f>A!B384</f>
        <v>23.875627816210084</v>
      </c>
      <c r="D237" s="154">
        <f>A!C384</f>
        <v>24.277777777777779</v>
      </c>
      <c r="E237" s="154">
        <f>A!D384</f>
        <v>24.277777777777779</v>
      </c>
      <c r="F237" s="154">
        <f>A!E384</f>
        <v>24.31049385776663</v>
      </c>
      <c r="G237" s="154">
        <f>A!F384</f>
        <v>24.308863013698669</v>
      </c>
      <c r="H237" s="154">
        <f>A!G384</f>
        <v>24.21</v>
      </c>
      <c r="I237" s="450"/>
      <c r="J237" s="154">
        <f>MINA(C237:I237)</f>
        <v>23.875627816210084</v>
      </c>
      <c r="K237" s="154">
        <f>MAXA(C237:I237)</f>
        <v>24.31049385776663</v>
      </c>
      <c r="L237" s="27">
        <f>(K237-J237)/AVERAGE(C237:I237)</f>
        <v>1.7962181917885744E-2</v>
      </c>
      <c r="N237" s="598">
        <f>A!H384</f>
        <v>0</v>
      </c>
      <c r="O237" s="219"/>
      <c r="P237" s="219"/>
    </row>
    <row r="238" spans="2:16" ht="12" customHeight="1">
      <c r="B238" s="173" t="s">
        <v>105</v>
      </c>
      <c r="C238" s="154">
        <f>A!B385</f>
        <v>25.659465613013619</v>
      </c>
      <c r="D238" s="154">
        <f>A!C385</f>
        <v>26.166666666666664</v>
      </c>
      <c r="E238" s="154">
        <f>A!D385</f>
        <v>26.166666666666664</v>
      </c>
      <c r="F238" s="154">
        <f>A!E385</f>
        <v>26.236826283362589</v>
      </c>
      <c r="G238" s="154">
        <f>A!F385</f>
        <v>26.268599315068546</v>
      </c>
      <c r="H238" s="154">
        <f>A!G385</f>
        <v>26.15</v>
      </c>
      <c r="I238" s="450"/>
      <c r="J238" s="154">
        <f t="shared" si="24"/>
        <v>25.659465613013619</v>
      </c>
      <c r="K238" s="154">
        <f t="shared" si="25"/>
        <v>26.268599315068546</v>
      </c>
      <c r="L238" s="27">
        <f t="shared" si="26"/>
        <v>2.3331271215811494E-2</v>
      </c>
      <c r="N238" s="598">
        <f>A!H385</f>
        <v>0</v>
      </c>
      <c r="O238" s="219"/>
      <c r="P238" s="219"/>
    </row>
    <row r="239" spans="2:16" ht="12" customHeight="1">
      <c r="B239" s="173" t="s">
        <v>108</v>
      </c>
      <c r="C239" s="154">
        <f>A!B386</f>
        <v>25.364948660958916</v>
      </c>
      <c r="D239" s="154">
        <f>A!C386</f>
        <v>25.611111111111107</v>
      </c>
      <c r="E239" s="154">
        <f>A!D386</f>
        <v>25.555555555555554</v>
      </c>
      <c r="F239" s="154">
        <f>A!E386</f>
        <v>25.431118171998271</v>
      </c>
      <c r="G239" s="154">
        <f>A!F386</f>
        <v>25.480876712328794</v>
      </c>
      <c r="H239" s="154">
        <f>A!G386</f>
        <v>25.37</v>
      </c>
      <c r="I239" s="450"/>
      <c r="J239" s="154">
        <f t="shared" si="24"/>
        <v>25.364948660958916</v>
      </c>
      <c r="K239" s="154">
        <f t="shared" si="25"/>
        <v>25.611111111111107</v>
      </c>
      <c r="L239" s="27">
        <f t="shared" si="26"/>
        <v>9.6652038968556599E-3</v>
      </c>
      <c r="N239" s="598">
        <f>A!H386</f>
        <v>0</v>
      </c>
      <c r="O239" s="219"/>
      <c r="P239" s="219"/>
    </row>
    <row r="240" spans="2:16" ht="12" customHeight="1">
      <c r="B240" s="173" t="s">
        <v>109</v>
      </c>
      <c r="C240" s="154">
        <f>A!B387</f>
        <v>24.126294471461257</v>
      </c>
      <c r="D240" s="154">
        <f>A!C387</f>
        <v>24.055555555555554</v>
      </c>
      <c r="E240" s="154">
        <f>A!D387</f>
        <v>24.055555555555554</v>
      </c>
      <c r="F240" s="154">
        <f>A!E387</f>
        <v>24.090459328599369</v>
      </c>
      <c r="G240" s="154"/>
      <c r="H240" s="154">
        <f>A!G387</f>
        <v>23.99</v>
      </c>
      <c r="I240" s="450"/>
      <c r="J240" s="154">
        <f t="shared" si="24"/>
        <v>23.99</v>
      </c>
      <c r="K240" s="154">
        <f t="shared" si="25"/>
        <v>24.126294471461257</v>
      </c>
      <c r="L240" s="27">
        <f t="shared" si="26"/>
        <v>5.6639332638541385E-3</v>
      </c>
      <c r="N240" s="598">
        <f>A!H387</f>
        <v>0</v>
      </c>
      <c r="O240" s="219"/>
      <c r="P240" s="219"/>
    </row>
    <row r="241" spans="2:16" ht="12" customHeight="1">
      <c r="B241" s="173" t="s">
        <v>111</v>
      </c>
      <c r="C241" s="154">
        <f>A!B388</f>
        <v>24.122146412100513</v>
      </c>
      <c r="D241" s="154">
        <f>A!C388</f>
        <v>24.055555555555554</v>
      </c>
      <c r="E241" s="154">
        <f>A!D388</f>
        <v>24.055555555555554</v>
      </c>
      <c r="F241" s="154">
        <f>A!E388</f>
        <v>24.088989264750246</v>
      </c>
      <c r="G241" s="154"/>
      <c r="H241" s="154">
        <f>A!G388</f>
        <v>23.99</v>
      </c>
      <c r="I241" s="450"/>
      <c r="J241" s="154">
        <f t="shared" si="24"/>
        <v>23.99</v>
      </c>
      <c r="K241" s="154">
        <f t="shared" si="25"/>
        <v>24.122146412100513</v>
      </c>
      <c r="L241" s="27">
        <f t="shared" si="26"/>
        <v>5.4918105026086376E-3</v>
      </c>
      <c r="N241" s="598">
        <f>A!H388</f>
        <v>0</v>
      </c>
      <c r="O241" s="219"/>
      <c r="P241" s="219"/>
    </row>
    <row r="242" spans="2:16" ht="12" customHeight="1">
      <c r="B242" s="173" t="s">
        <v>112</v>
      </c>
      <c r="C242" s="154">
        <f>A!B389</f>
        <v>23.926173912100584</v>
      </c>
      <c r="D242" s="154">
        <f>A!C389</f>
        <v>24.055555555555554</v>
      </c>
      <c r="E242" s="154">
        <f>A!D389</f>
        <v>24.055555555555554</v>
      </c>
      <c r="F242" s="154">
        <f>A!E389</f>
        <v>24.089038062089866</v>
      </c>
      <c r="G242" s="154"/>
      <c r="H242" s="154">
        <f>A!G389</f>
        <v>23.99</v>
      </c>
      <c r="I242" s="450"/>
      <c r="J242" s="154">
        <f t="shared" si="24"/>
        <v>23.926173912100584</v>
      </c>
      <c r="K242" s="154">
        <f t="shared" si="25"/>
        <v>24.089038062089866</v>
      </c>
      <c r="L242" s="27">
        <f t="shared" si="26"/>
        <v>6.7794345433643917E-3</v>
      </c>
      <c r="N242" s="598">
        <f>A!H389</f>
        <v>0</v>
      </c>
      <c r="O242" s="219"/>
      <c r="P242" s="219"/>
    </row>
    <row r="243" spans="2:16" ht="12" customHeight="1">
      <c r="B243" s="173" t="s">
        <v>113</v>
      </c>
      <c r="C243" s="154">
        <f>A!B390</f>
        <v>23.991582428082271</v>
      </c>
      <c r="D243" s="154">
        <f>A!C390</f>
        <v>24.055555555555554</v>
      </c>
      <c r="E243" s="154">
        <f>A!D390</f>
        <v>24.055555555555554</v>
      </c>
      <c r="F243" s="154">
        <f>A!E390</f>
        <v>24.089030863511095</v>
      </c>
      <c r="G243" s="154"/>
      <c r="H243" s="154">
        <f>A!G390</f>
        <v>23.99</v>
      </c>
      <c r="I243" s="450"/>
      <c r="J243" s="154">
        <f t="shared" si="24"/>
        <v>23.99</v>
      </c>
      <c r="K243" s="154">
        <f t="shared" si="25"/>
        <v>24.089030863511095</v>
      </c>
      <c r="L243" s="27">
        <f t="shared" si="26"/>
        <v>4.1200467044084053E-3</v>
      </c>
      <c r="N243" s="598">
        <f>A!H390</f>
        <v>0</v>
      </c>
      <c r="O243" s="219"/>
      <c r="P243" s="219"/>
    </row>
    <row r="244" spans="2:16" ht="12" customHeight="1">
      <c r="B244" s="173" t="s">
        <v>114</v>
      </c>
      <c r="C244" s="154">
        <f>A!B391</f>
        <v>23.91177118379002</v>
      </c>
      <c r="D244" s="154">
        <f>A!C391</f>
        <v>24.055555555555554</v>
      </c>
      <c r="E244" s="154">
        <f>A!D391</f>
        <v>24.055555555555554</v>
      </c>
      <c r="F244" s="154">
        <f>A!E391</f>
        <v>24.089066762619694</v>
      </c>
      <c r="G244" s="154"/>
      <c r="H244" s="154">
        <f>A!G391</f>
        <v>23.99</v>
      </c>
      <c r="I244" s="450"/>
      <c r="J244" s="154">
        <f t="shared" si="24"/>
        <v>23.91177118379002</v>
      </c>
      <c r="K244" s="154">
        <f t="shared" si="25"/>
        <v>24.089066762619694</v>
      </c>
      <c r="L244" s="27">
        <f t="shared" si="26"/>
        <v>7.3810450297006457E-3</v>
      </c>
      <c r="N244" s="598">
        <f>A!H391</f>
        <v>0</v>
      </c>
      <c r="O244" s="219"/>
      <c r="P244" s="219"/>
    </row>
    <row r="245" spans="2:16" ht="12" customHeight="1">
      <c r="B245" s="173" t="s">
        <v>115</v>
      </c>
      <c r="C245" s="154">
        <f>A!B392</f>
        <v>20.234182794520542</v>
      </c>
      <c r="D245" s="154">
        <f>A!C392</f>
        <v>20.666666666666668</v>
      </c>
      <c r="E245" s="154">
        <f>A!D392</f>
        <v>20.555555555555554</v>
      </c>
      <c r="F245" s="154">
        <f>A!E392</f>
        <v>20.40369330062828</v>
      </c>
      <c r="G245" s="154">
        <f>A!F392</f>
        <v>21.097828767123321</v>
      </c>
      <c r="H245" s="154">
        <f>A!G392</f>
        <v>22.86</v>
      </c>
      <c r="I245" s="450"/>
      <c r="J245" s="154">
        <f t="shared" si="24"/>
        <v>20.234182794520542</v>
      </c>
      <c r="K245" s="154">
        <f t="shared" si="25"/>
        <v>22.86</v>
      </c>
      <c r="L245" s="27">
        <f t="shared" si="26"/>
        <v>0.12521986014200004</v>
      </c>
      <c r="N245" s="598">
        <f>A!H392</f>
        <v>0</v>
      </c>
      <c r="O245" s="219"/>
      <c r="P245" s="219"/>
    </row>
    <row r="246" spans="2:16" ht="12" customHeight="1">
      <c r="B246" s="173" t="s">
        <v>120</v>
      </c>
      <c r="C246" s="154">
        <f>A!B393</f>
        <v>24.572292429193926</v>
      </c>
      <c r="D246" s="154">
        <f>A!C393</f>
        <v>25</v>
      </c>
      <c r="E246" s="154">
        <f>A!D393</f>
        <v>25</v>
      </c>
      <c r="F246" s="154">
        <f>A!E393</f>
        <v>24.982691668938305</v>
      </c>
      <c r="G246" s="154">
        <f>A!F393</f>
        <v>25</v>
      </c>
      <c r="H246" s="154">
        <f>A!G393</f>
        <v>25</v>
      </c>
      <c r="I246" s="450"/>
      <c r="J246" s="154">
        <f t="shared" si="24"/>
        <v>24.572292429193926</v>
      </c>
      <c r="K246" s="154">
        <f t="shared" si="25"/>
        <v>25</v>
      </c>
      <c r="L246" s="27">
        <f t="shared" si="26"/>
        <v>1.7159210308581717E-2</v>
      </c>
      <c r="N246" s="598">
        <f>A!H393</f>
        <v>0</v>
      </c>
      <c r="O246" s="219"/>
      <c r="P246" s="219"/>
    </row>
    <row r="247" spans="2:16" ht="12" customHeight="1">
      <c r="B247" s="173" t="s">
        <v>124</v>
      </c>
      <c r="C247" s="154">
        <f>A!B394</f>
        <v>25.816808224400845</v>
      </c>
      <c r="D247" s="154">
        <f>A!C394</f>
        <v>25.111111111111111</v>
      </c>
      <c r="E247" s="154">
        <f>A!D394</f>
        <v>25.111111111111111</v>
      </c>
      <c r="F247" s="154">
        <f>A!E394</f>
        <v>24.959722174661206</v>
      </c>
      <c r="G247" s="154">
        <f>A!F394</f>
        <v>25</v>
      </c>
      <c r="H247" s="154">
        <f>A!G394</f>
        <v>25</v>
      </c>
      <c r="I247" s="450"/>
      <c r="J247" s="154">
        <f t="shared" si="24"/>
        <v>24.959722174661206</v>
      </c>
      <c r="K247" s="154">
        <f t="shared" si="25"/>
        <v>25.816808224400845</v>
      </c>
      <c r="L247" s="27">
        <f t="shared" si="26"/>
        <v>3.4056680662360395E-2</v>
      </c>
      <c r="N247" s="598">
        <f>A!H394</f>
        <v>0</v>
      </c>
      <c r="O247" s="219"/>
      <c r="P247" s="219"/>
    </row>
    <row r="248" spans="2:16" ht="12" customHeight="1">
      <c r="B248" s="173" t="s">
        <v>125</v>
      </c>
      <c r="C248" s="154">
        <f>A!B395</f>
        <v>13.51710186187217</v>
      </c>
      <c r="D248" s="154">
        <f>A!C395</f>
        <v>13.777777777777775</v>
      </c>
      <c r="E248" s="154">
        <f>A!D395</f>
        <v>13.722222222222225</v>
      </c>
      <c r="F248" s="154">
        <f>A!E395</f>
        <v>13.625903662770655</v>
      </c>
      <c r="G248" s="154">
        <f>A!F395</f>
        <v>14.142081050228299</v>
      </c>
      <c r="H248" s="154">
        <f>A!G395</f>
        <v>14.89</v>
      </c>
      <c r="I248" s="450"/>
      <c r="J248" s="154">
        <f t="shared" si="24"/>
        <v>13.51710186187217</v>
      </c>
      <c r="K248" s="154">
        <f t="shared" si="25"/>
        <v>14.89</v>
      </c>
      <c r="L248" s="27">
        <f t="shared" si="26"/>
        <v>9.8444939419289376E-2</v>
      </c>
      <c r="N248" s="598">
        <f>A!H395</f>
        <v>0</v>
      </c>
      <c r="O248" s="219"/>
      <c r="P248" s="219"/>
    </row>
    <row r="249" spans="2:16" ht="12" customHeight="1">
      <c r="B249" s="173" t="s">
        <v>127</v>
      </c>
      <c r="C249" s="154">
        <f>A!B396</f>
        <v>16.945636687214613</v>
      </c>
      <c r="D249" s="154">
        <f>A!C396</f>
        <v>17.277777777777779</v>
      </c>
      <c r="E249" s="154">
        <f>A!D396</f>
        <v>17.222222222222221</v>
      </c>
      <c r="F249" s="154">
        <f>A!E396</f>
        <v>17.032731585935139</v>
      </c>
      <c r="G249" s="154">
        <f>A!F396</f>
        <v>17.729027397260282</v>
      </c>
      <c r="H249" s="154">
        <f>A!G396</f>
        <v>18.7</v>
      </c>
      <c r="I249" s="450"/>
      <c r="J249" s="154">
        <f t="shared" si="24"/>
        <v>16.945636687214613</v>
      </c>
      <c r="K249" s="154">
        <f t="shared" si="25"/>
        <v>18.7</v>
      </c>
      <c r="L249" s="27">
        <f t="shared" si="26"/>
        <v>0.10033782470191767</v>
      </c>
      <c r="N249" s="598">
        <f>A!H396</f>
        <v>0</v>
      </c>
      <c r="O249" s="219"/>
      <c r="P249" s="219"/>
    </row>
    <row r="250" spans="2:16" ht="12" customHeight="1">
      <c r="B250" s="173" t="s">
        <v>130</v>
      </c>
      <c r="C250" s="154">
        <f>A!B397</f>
        <v>26.844263271689471</v>
      </c>
      <c r="D250" s="154">
        <f>A!C397</f>
        <v>27.388888888888886</v>
      </c>
      <c r="E250" s="154">
        <f>A!D397</f>
        <v>27.277777777777771</v>
      </c>
      <c r="F250" s="154">
        <f>A!E397</f>
        <v>27.128669306311327</v>
      </c>
      <c r="G250" s="154">
        <f>A!F397</f>
        <v>27.770939497716959</v>
      </c>
      <c r="H250" s="154">
        <f>A!G397</f>
        <v>30.69</v>
      </c>
      <c r="I250" s="450"/>
      <c r="J250" s="154">
        <f t="shared" si="24"/>
        <v>26.844263271689471</v>
      </c>
      <c r="K250" s="154">
        <f t="shared" si="25"/>
        <v>30.69</v>
      </c>
      <c r="L250" s="27">
        <f t="shared" si="26"/>
        <v>0.13808704953032233</v>
      </c>
      <c r="N250" s="598">
        <f>A!H397</f>
        <v>0</v>
      </c>
      <c r="O250" s="219"/>
      <c r="P250" s="219"/>
    </row>
    <row r="251" spans="2:16" ht="12" customHeight="1">
      <c r="B251" s="173" t="s">
        <v>132</v>
      </c>
      <c r="C251" s="154">
        <f>A!B398</f>
        <v>20.025301170091296</v>
      </c>
      <c r="D251" s="154">
        <f>A!C398</f>
        <v>20.611111111111107</v>
      </c>
      <c r="E251" s="154">
        <f>A!D398</f>
        <v>20.555555555555554</v>
      </c>
      <c r="F251" s="154">
        <f>A!E398</f>
        <v>20.595094826643443</v>
      </c>
      <c r="G251" s="154">
        <f>A!F398</f>
        <v>21.097828767123321</v>
      </c>
      <c r="H251" s="154">
        <f>A!G398</f>
        <v>22.86</v>
      </c>
      <c r="I251" s="450"/>
      <c r="J251" s="154">
        <f t="shared" si="24"/>
        <v>20.025301170091296</v>
      </c>
      <c r="K251" s="154">
        <f t="shared" si="25"/>
        <v>22.86</v>
      </c>
      <c r="L251" s="27">
        <f t="shared" si="26"/>
        <v>0.13525951460898444</v>
      </c>
      <c r="N251" s="598">
        <f>A!H398</f>
        <v>0</v>
      </c>
      <c r="O251" s="219"/>
      <c r="P251" s="219"/>
    </row>
    <row r="252" spans="2:16" ht="12" customHeight="1">
      <c r="B252" s="173" t="s">
        <v>135</v>
      </c>
      <c r="C252" s="154">
        <f>A!B399</f>
        <v>13.289258955479395</v>
      </c>
      <c r="D252" s="154">
        <f>A!C399</f>
        <v>13.777777777777775</v>
      </c>
      <c r="E252" s="154">
        <f>A!D399</f>
        <v>13.722222222222225</v>
      </c>
      <c r="F252" s="154">
        <f>A!E399</f>
        <v>13.801722213423506</v>
      </c>
      <c r="G252" s="154">
        <f>A!F399</f>
        <v>14.140647260273958</v>
      </c>
      <c r="H252" s="154">
        <f>A!G399</f>
        <v>14.98</v>
      </c>
      <c r="I252" s="450"/>
      <c r="J252" s="154">
        <f t="shared" si="24"/>
        <v>13.289258955479395</v>
      </c>
      <c r="K252" s="154">
        <f t="shared" si="25"/>
        <v>14.98</v>
      </c>
      <c r="L252" s="27">
        <f t="shared" si="26"/>
        <v>0.12118323890576574</v>
      </c>
      <c r="N252" s="598">
        <f>A!H399</f>
        <v>0</v>
      </c>
      <c r="O252" s="219"/>
      <c r="P252" s="219"/>
    </row>
    <row r="253" spans="2:16" ht="12" customHeight="1" thickBot="1">
      <c r="B253" s="174" t="s">
        <v>138</v>
      </c>
      <c r="C253" s="158">
        <f>A!B400</f>
        <v>26.605193127853905</v>
      </c>
      <c r="D253" s="158">
        <f>A!C400</f>
        <v>27.333333333333336</v>
      </c>
      <c r="E253" s="158">
        <f>A!D400</f>
        <v>27.277777777777771</v>
      </c>
      <c r="F253" s="158">
        <f>A!E400</f>
        <v>27.321947471860025</v>
      </c>
      <c r="G253" s="158">
        <f>A!F400</f>
        <v>27.716633561643903</v>
      </c>
      <c r="H253" s="158">
        <f>A!G400</f>
        <v>30.69</v>
      </c>
      <c r="I253" s="451"/>
      <c r="J253" s="158">
        <f t="shared" si="24"/>
        <v>26.605193127853905</v>
      </c>
      <c r="K253" s="158">
        <f t="shared" si="25"/>
        <v>30.69</v>
      </c>
      <c r="L253" s="30">
        <f t="shared" si="26"/>
        <v>0.14680797912961494</v>
      </c>
      <c r="N253" s="598">
        <f>A!H400</f>
        <v>0</v>
      </c>
      <c r="O253" s="219"/>
      <c r="P253" s="219"/>
    </row>
    <row r="254" spans="2:16" ht="12" customHeight="1" thickTop="1">
      <c r="B254" s="671"/>
      <c r="C254" s="211"/>
      <c r="D254" s="211"/>
      <c r="E254" s="32" t="s">
        <v>550</v>
      </c>
      <c r="F254" s="211"/>
      <c r="G254" s="211"/>
      <c r="H254" s="211"/>
      <c r="I254" s="211"/>
      <c r="J254" s="735"/>
      <c r="K254" s="211"/>
      <c r="L254" s="602"/>
      <c r="M254" s="120"/>
      <c r="N254" s="673"/>
      <c r="O254" s="219"/>
      <c r="P254" s="219"/>
    </row>
    <row r="255" spans="2:16" ht="17.25" customHeight="1" thickBot="1">
      <c r="B255" s="678" t="s">
        <v>583</v>
      </c>
      <c r="C255" s="211"/>
      <c r="D255" s="211"/>
      <c r="E255" s="211"/>
      <c r="F255" s="211"/>
      <c r="G255" s="211"/>
      <c r="H255" s="211"/>
      <c r="I255" s="211"/>
      <c r="J255" s="153"/>
      <c r="K255" s="211"/>
      <c r="L255" s="603"/>
      <c r="M255" s="120"/>
      <c r="N255" s="673"/>
      <c r="O255" s="219"/>
      <c r="P255" s="219"/>
    </row>
    <row r="256" spans="2:16" ht="12" customHeight="1" thickTop="1">
      <c r="B256" s="19" t="s">
        <v>243</v>
      </c>
      <c r="C256" s="144"/>
      <c r="D256" s="145"/>
      <c r="E256" s="144"/>
      <c r="F256" s="145"/>
      <c r="G256" s="145"/>
      <c r="H256" s="145"/>
      <c r="I256" s="140"/>
      <c r="J256" s="20" t="s">
        <v>24</v>
      </c>
      <c r="K256" s="144"/>
      <c r="L256" s="146"/>
      <c r="N256" s="673"/>
      <c r="O256" s="219"/>
      <c r="P256" s="219"/>
    </row>
    <row r="257" spans="2:16" ht="12" customHeight="1">
      <c r="B257" s="170"/>
      <c r="C257" s="22" t="s">
        <v>245</v>
      </c>
      <c r="D257" s="22" t="s">
        <v>536</v>
      </c>
      <c r="E257" s="22" t="s">
        <v>258</v>
      </c>
      <c r="F257" s="352" t="s">
        <v>433</v>
      </c>
      <c r="G257" s="436" t="s">
        <v>469</v>
      </c>
      <c r="H257" s="437" t="s">
        <v>482</v>
      </c>
      <c r="I257" s="438"/>
      <c r="J257" s="18"/>
      <c r="K257" s="18"/>
      <c r="L257" s="23" t="s">
        <v>25</v>
      </c>
      <c r="N257" s="673" t="s">
        <v>519</v>
      </c>
      <c r="O257" s="219"/>
      <c r="P257" s="219"/>
    </row>
    <row r="258" spans="2:16" ht="12" customHeight="1">
      <c r="B258" s="171"/>
      <c r="C258" s="24" t="s">
        <v>26</v>
      </c>
      <c r="D258" s="24" t="s">
        <v>13</v>
      </c>
      <c r="E258" s="24" t="s">
        <v>13</v>
      </c>
      <c r="F258" s="353" t="s">
        <v>434</v>
      </c>
      <c r="G258" s="353" t="s">
        <v>452</v>
      </c>
      <c r="H258" s="353" t="s">
        <v>483</v>
      </c>
      <c r="I258" s="439"/>
      <c r="J258" s="24" t="s">
        <v>27</v>
      </c>
      <c r="K258" s="24" t="s">
        <v>28</v>
      </c>
      <c r="L258" s="25" t="s">
        <v>259</v>
      </c>
      <c r="N258" s="673" t="s">
        <v>520</v>
      </c>
      <c r="O258" s="219"/>
      <c r="P258" s="219"/>
    </row>
    <row r="259" spans="2:16" ht="12" customHeight="1">
      <c r="B259" s="172" t="s">
        <v>91</v>
      </c>
      <c r="C259" s="159">
        <f>A!B410</f>
        <v>9.0690822031963426E-3</v>
      </c>
      <c r="D259" s="159">
        <f>A!C410</f>
        <v>9.1999999999999998E-3</v>
      </c>
      <c r="E259" s="159">
        <f>A!D410</f>
        <v>9.1999999999999998E-3</v>
      </c>
      <c r="F259" s="159">
        <f>A!E410</f>
        <v>9.1653821331974944E-3</v>
      </c>
      <c r="G259" s="159">
        <f>A!F410</f>
        <v>9.1748202054794236E-3</v>
      </c>
      <c r="H259" s="159">
        <f>A!G410</f>
        <v>9.1999999999999998E-3</v>
      </c>
      <c r="I259" s="448"/>
      <c r="J259" s="159">
        <f t="shared" ref="J259:J279" si="27">MINA(C259:I259)</f>
        <v>9.0690822031963426E-3</v>
      </c>
      <c r="K259" s="159">
        <f t="shared" ref="K259:K279" si="28">MAXA(C259:I259)</f>
        <v>9.1999999999999998E-3</v>
      </c>
      <c r="L259" s="27">
        <f t="shared" ref="L259:L279" si="29">(K259-J259)/AVERAGE(C259:I259)</f>
        <v>1.4279530943981157E-2</v>
      </c>
      <c r="N259" s="674">
        <f>A!H410</f>
        <v>0</v>
      </c>
      <c r="O259" s="219"/>
      <c r="P259" s="219"/>
    </row>
    <row r="260" spans="2:16" ht="12" customHeight="1">
      <c r="B260" s="173" t="s">
        <v>96</v>
      </c>
      <c r="C260" s="159">
        <f>A!B411</f>
        <v>1.1070886085616464E-2</v>
      </c>
      <c r="D260" s="159">
        <f>A!C411</f>
        <v>1.1299999999999999E-2</v>
      </c>
      <c r="E260" s="159">
        <f>A!D411</f>
        <v>1.1299999999999999E-2</v>
      </c>
      <c r="F260" s="159">
        <f>A!E411</f>
        <v>1.1153501222074636E-2</v>
      </c>
      <c r="G260" s="159">
        <f>A!F411</f>
        <v>1.1174638812785374E-2</v>
      </c>
      <c r="H260" s="159">
        <f>A!G411</f>
        <v>1.11E-2</v>
      </c>
      <c r="I260" s="448"/>
      <c r="J260" s="159">
        <f t="shared" si="27"/>
        <v>1.1070886085616464E-2</v>
      </c>
      <c r="K260" s="159">
        <f t="shared" si="28"/>
        <v>1.1299999999999999E-2</v>
      </c>
      <c r="L260" s="27">
        <f t="shared" si="29"/>
        <v>2.048738358486701E-2</v>
      </c>
      <c r="N260" s="674">
        <f>A!H411</f>
        <v>0</v>
      </c>
      <c r="O260" s="219"/>
      <c r="P260" s="219"/>
    </row>
    <row r="261" spans="2:16" ht="12" customHeight="1">
      <c r="B261" s="173" t="s">
        <v>98</v>
      </c>
      <c r="C261" s="159">
        <f>A!B412</f>
        <v>9.9880373253424821E-3</v>
      </c>
      <c r="D261" s="159">
        <f>A!C412</f>
        <v>1.01E-2</v>
      </c>
      <c r="E261" s="159">
        <f>A!D412</f>
        <v>1.01E-2</v>
      </c>
      <c r="F261" s="159">
        <f>A!E412</f>
        <v>1.0036880698076376E-2</v>
      </c>
      <c r="G261" s="159">
        <f>A!F412</f>
        <v>1.0049198972602738E-2</v>
      </c>
      <c r="H261" s="159">
        <f>A!G412</f>
        <v>9.9000000000000008E-3</v>
      </c>
      <c r="I261" s="448"/>
      <c r="J261" s="159">
        <f t="shared" si="27"/>
        <v>9.9000000000000008E-3</v>
      </c>
      <c r="K261" s="159">
        <f t="shared" si="28"/>
        <v>1.01E-2</v>
      </c>
      <c r="L261" s="27">
        <f t="shared" si="29"/>
        <v>1.9942128940244035E-2</v>
      </c>
      <c r="N261" s="674">
        <f>A!H412</f>
        <v>0</v>
      </c>
      <c r="O261" s="219"/>
      <c r="P261" s="219"/>
    </row>
    <row r="262" spans="2:16" ht="12" customHeight="1">
      <c r="B262" s="173" t="s">
        <v>102</v>
      </c>
      <c r="C262" s="159">
        <f>A!B413</f>
        <v>9.7409446187214678E-3</v>
      </c>
      <c r="D262" s="159">
        <f>A!C413</f>
        <v>9.9000000000000008E-3</v>
      </c>
      <c r="E262" s="159">
        <f>A!D413</f>
        <v>9.9000000000000008E-3</v>
      </c>
      <c r="F262" s="159">
        <f>A!E413</f>
        <v>9.8805750640062039E-3</v>
      </c>
      <c r="G262" s="159">
        <f>A!F413</f>
        <v>9.8116047945205134E-3</v>
      </c>
      <c r="H262" s="159">
        <f>A!G413</f>
        <v>9.9000000000000008E-3</v>
      </c>
      <c r="I262" s="448"/>
      <c r="J262" s="159">
        <f t="shared" si="27"/>
        <v>9.7409446187214678E-3</v>
      </c>
      <c r="K262" s="159">
        <f t="shared" si="28"/>
        <v>9.9000000000000008E-3</v>
      </c>
      <c r="L262" s="27">
        <f t="shared" si="29"/>
        <v>1.6138708991072895E-2</v>
      </c>
      <c r="N262" s="674">
        <f>A!H413</f>
        <v>0</v>
      </c>
      <c r="O262" s="219"/>
      <c r="P262" s="219"/>
    </row>
    <row r="263" spans="2:16" ht="12" customHeight="1">
      <c r="B263" s="173" t="s">
        <v>356</v>
      </c>
      <c r="C263" s="159">
        <f>A!B414</f>
        <v>9.7914059041095854E-3</v>
      </c>
      <c r="D263" s="159">
        <f>A!C414</f>
        <v>9.9000000000000008E-3</v>
      </c>
      <c r="E263" s="159">
        <f>A!D414</f>
        <v>9.9000000000000008E-3</v>
      </c>
      <c r="F263" s="159">
        <f>A!E414</f>
        <v>9.9021303434107723E-3</v>
      </c>
      <c r="G263" s="159">
        <f>A!F414</f>
        <v>9.8683336757990694E-3</v>
      </c>
      <c r="H263" s="159">
        <f>A!G414</f>
        <v>9.9000000000000008E-3</v>
      </c>
      <c r="I263" s="448"/>
      <c r="J263" s="159">
        <f>MINA(C263:I263)</f>
        <v>9.7914059041095854E-3</v>
      </c>
      <c r="K263" s="159">
        <f>MAXA(C263:I263)</f>
        <v>9.9021303434107723E-3</v>
      </c>
      <c r="L263" s="27">
        <f>(K263-J263)/AVERAGE(C263:I263)</f>
        <v>1.1210355607521975E-2</v>
      </c>
      <c r="N263" s="674">
        <f>A!H414</f>
        <v>0</v>
      </c>
      <c r="O263" s="219"/>
      <c r="P263" s="219"/>
    </row>
    <row r="264" spans="2:16" ht="12" customHeight="1">
      <c r="B264" s="173" t="s">
        <v>105</v>
      </c>
      <c r="C264" s="159">
        <f>A!B415</f>
        <v>9.705930864155235E-3</v>
      </c>
      <c r="D264" s="159">
        <f>A!C415</f>
        <v>0.01</v>
      </c>
      <c r="E264" s="159">
        <f>A!D415</f>
        <v>0.01</v>
      </c>
      <c r="F264" s="159">
        <f>A!E415</f>
        <v>9.7963736705359641E-3</v>
      </c>
      <c r="G264" s="159">
        <f>A!F415</f>
        <v>9.7585481735159314E-3</v>
      </c>
      <c r="H264" s="159">
        <f>A!G415</f>
        <v>9.7699999999999992E-3</v>
      </c>
      <c r="I264" s="448"/>
      <c r="J264" s="159">
        <f t="shared" si="27"/>
        <v>9.705930864155235E-3</v>
      </c>
      <c r="K264" s="159">
        <f t="shared" si="28"/>
        <v>0.01</v>
      </c>
      <c r="L264" s="27">
        <f t="shared" si="29"/>
        <v>2.988970570678005E-2</v>
      </c>
      <c r="N264" s="674">
        <f>A!H415</f>
        <v>0</v>
      </c>
      <c r="O264" s="219"/>
      <c r="P264" s="219"/>
    </row>
    <row r="265" spans="2:16" ht="12" customHeight="1">
      <c r="B265" s="173" t="s">
        <v>108</v>
      </c>
      <c r="C265" s="159">
        <f>A!B416</f>
        <v>8.4994811107306049E-3</v>
      </c>
      <c r="D265" s="159">
        <f>A!C416</f>
        <v>8.6999999999999994E-3</v>
      </c>
      <c r="E265" s="159">
        <f>A!D416</f>
        <v>8.6999999999999994E-3</v>
      </c>
      <c r="F265" s="159">
        <f>A!E416</f>
        <v>8.6062916094321474E-3</v>
      </c>
      <c r="G265" s="159">
        <f>A!F416</f>
        <v>8.552449543378967E-3</v>
      </c>
      <c r="H265" s="159">
        <f>A!G416</f>
        <v>8.5800000000000008E-3</v>
      </c>
      <c r="I265" s="448"/>
      <c r="J265" s="159">
        <f t="shared" si="27"/>
        <v>8.4994811107306049E-3</v>
      </c>
      <c r="K265" s="159">
        <f t="shared" si="28"/>
        <v>8.6999999999999994E-3</v>
      </c>
      <c r="L265" s="27">
        <f t="shared" si="29"/>
        <v>2.3298891458271676E-2</v>
      </c>
      <c r="N265" s="674">
        <f>A!H416</f>
        <v>0</v>
      </c>
      <c r="O265" s="219"/>
      <c r="P265" s="219"/>
    </row>
    <row r="266" spans="2:16" ht="12" customHeight="1">
      <c r="B266" s="173" t="s">
        <v>109</v>
      </c>
      <c r="C266" s="159">
        <f>A!B417</f>
        <v>9.8011450958904334E-3</v>
      </c>
      <c r="D266" s="159">
        <f>A!C417</f>
        <v>0.01</v>
      </c>
      <c r="E266" s="159">
        <f>A!D417</f>
        <v>0.01</v>
      </c>
      <c r="F266" s="159">
        <f>A!E417</f>
        <v>1.0041896100711798E-2</v>
      </c>
      <c r="G266" s="159"/>
      <c r="H266" s="159">
        <f>A!G417</f>
        <v>0.01</v>
      </c>
      <c r="I266" s="448"/>
      <c r="J266" s="159">
        <f t="shared" si="27"/>
        <v>9.8011450958904334E-3</v>
      </c>
      <c r="K266" s="159">
        <f t="shared" si="28"/>
        <v>1.0041896100711798E-2</v>
      </c>
      <c r="L266" s="27">
        <f t="shared" si="29"/>
        <v>2.4150914454812249E-2</v>
      </c>
      <c r="N266" s="674">
        <f>A!H417</f>
        <v>0</v>
      </c>
      <c r="O266" s="219"/>
      <c r="P266" s="219"/>
    </row>
    <row r="267" spans="2:16" ht="12" customHeight="1">
      <c r="B267" s="173" t="s">
        <v>111</v>
      </c>
      <c r="C267" s="159">
        <f>A!B418</f>
        <v>9.7404771940639307E-3</v>
      </c>
      <c r="D267" s="159">
        <f>A!C418</f>
        <v>9.4999999999999998E-3</v>
      </c>
      <c r="E267" s="159">
        <f>A!D418</f>
        <v>9.4999999999999998E-3</v>
      </c>
      <c r="F267" s="159">
        <f>A!E418</f>
        <v>9.4822829454586158E-3</v>
      </c>
      <c r="G267" s="159"/>
      <c r="H267" s="159">
        <f>A!G418</f>
        <v>9.4999999999999998E-3</v>
      </c>
      <c r="I267" s="448"/>
      <c r="J267" s="159">
        <f t="shared" si="27"/>
        <v>9.4822829454586158E-3</v>
      </c>
      <c r="K267" s="159">
        <f t="shared" si="28"/>
        <v>9.7404771940639307E-3</v>
      </c>
      <c r="L267" s="27">
        <f t="shared" si="29"/>
        <v>2.7051478985127504E-2</v>
      </c>
      <c r="N267" s="674">
        <f>A!H418</f>
        <v>0</v>
      </c>
      <c r="O267" s="219"/>
      <c r="P267" s="219"/>
    </row>
    <row r="268" spans="2:16" ht="12" customHeight="1">
      <c r="B268" s="173" t="s">
        <v>112</v>
      </c>
      <c r="C268" s="159">
        <f>A!B419</f>
        <v>9.2638875388127741E-3</v>
      </c>
      <c r="D268" s="159">
        <f>A!C419</f>
        <v>9.4000000000000004E-3</v>
      </c>
      <c r="E268" s="159">
        <f>A!D419</f>
        <v>9.4000000000000004E-3</v>
      </c>
      <c r="F268" s="159">
        <f>A!E419</f>
        <v>9.3475580551083751E-3</v>
      </c>
      <c r="G268" s="159"/>
      <c r="H268" s="159">
        <f>A!G419</f>
        <v>9.2999999999999992E-3</v>
      </c>
      <c r="I268" s="448"/>
      <c r="J268" s="159">
        <f t="shared" si="27"/>
        <v>9.2638875388127741E-3</v>
      </c>
      <c r="K268" s="159">
        <f t="shared" si="28"/>
        <v>9.4000000000000004E-3</v>
      </c>
      <c r="L268" s="27">
        <f t="shared" si="29"/>
        <v>1.4569497845399527E-2</v>
      </c>
      <c r="N268" s="674">
        <f>A!H419</f>
        <v>0</v>
      </c>
      <c r="O268" s="219"/>
      <c r="P268" s="219"/>
    </row>
    <row r="269" spans="2:16" ht="12" customHeight="1">
      <c r="B269" s="173" t="s">
        <v>113</v>
      </c>
      <c r="C269" s="159">
        <f>A!B420</f>
        <v>9.310276779680382E-3</v>
      </c>
      <c r="D269" s="159">
        <f>A!C420</f>
        <v>9.4000000000000004E-3</v>
      </c>
      <c r="E269" s="159">
        <f>A!D420</f>
        <v>9.4000000000000004E-3</v>
      </c>
      <c r="F269" s="159">
        <f>A!E420</f>
        <v>9.3870109180310014E-3</v>
      </c>
      <c r="G269" s="159"/>
      <c r="H269" s="159">
        <f>A!G420</f>
        <v>9.4000000000000004E-3</v>
      </c>
      <c r="I269" s="448"/>
      <c r="J269" s="159">
        <f t="shared" si="27"/>
        <v>9.310276779680382E-3</v>
      </c>
      <c r="K269" s="159">
        <f t="shared" si="28"/>
        <v>9.4000000000000004E-3</v>
      </c>
      <c r="L269" s="27">
        <f t="shared" si="29"/>
        <v>9.5659285136011057E-3</v>
      </c>
      <c r="N269" s="674">
        <f>A!H420</f>
        <v>0</v>
      </c>
      <c r="O269" s="219"/>
      <c r="P269" s="219"/>
    </row>
    <row r="270" spans="2:16" ht="12" customHeight="1">
      <c r="B270" s="173" t="s">
        <v>114</v>
      </c>
      <c r="C270" s="159">
        <f>A!B421</f>
        <v>9.1578199486301911E-3</v>
      </c>
      <c r="D270" s="159">
        <f>A!C421</f>
        <v>9.2999999999999992E-3</v>
      </c>
      <c r="E270" s="159">
        <f>A!D421</f>
        <v>9.2999999999999992E-3</v>
      </c>
      <c r="F270" s="159">
        <f>A!E421</f>
        <v>9.2306979115424643E-3</v>
      </c>
      <c r="G270" s="159"/>
      <c r="H270" s="159">
        <f>A!G421</f>
        <v>9.1999999999999998E-3</v>
      </c>
      <c r="I270" s="448"/>
      <c r="J270" s="159">
        <f t="shared" si="27"/>
        <v>9.1578199486301911E-3</v>
      </c>
      <c r="K270" s="159">
        <f t="shared" si="28"/>
        <v>9.2999999999999992E-3</v>
      </c>
      <c r="L270" s="27">
        <f t="shared" si="29"/>
        <v>1.5391276658869248E-2</v>
      </c>
      <c r="N270" s="674">
        <f>A!H421</f>
        <v>0</v>
      </c>
      <c r="O270" s="219"/>
      <c r="P270" s="219"/>
    </row>
    <row r="271" spans="2:16" ht="12" customHeight="1">
      <c r="B271" s="173" t="s">
        <v>115</v>
      </c>
      <c r="C271" s="159">
        <f>A!B422</f>
        <v>9.7752996655252524E-3</v>
      </c>
      <c r="D271" s="159"/>
      <c r="E271" s="159"/>
      <c r="F271" s="159">
        <f>A!E422</f>
        <v>9.1456287851062121E-3</v>
      </c>
      <c r="G271" s="159">
        <f>A!F422</f>
        <v>1.0218289383561367E-2</v>
      </c>
      <c r="H271" s="159">
        <f>A!G422</f>
        <v>1.0699999999999999E-2</v>
      </c>
      <c r="I271" s="448"/>
      <c r="J271" s="159">
        <f t="shared" si="27"/>
        <v>9.1456287851062121E-3</v>
      </c>
      <c r="K271" s="159">
        <f t="shared" si="28"/>
        <v>1.0699999999999999E-2</v>
      </c>
      <c r="L271" s="27">
        <f t="shared" si="29"/>
        <v>0.15606443091959663</v>
      </c>
      <c r="N271" s="674">
        <f>A!H422</f>
        <v>0</v>
      </c>
      <c r="O271" s="219"/>
      <c r="P271" s="219"/>
    </row>
    <row r="272" spans="2:16" ht="12" customHeight="1">
      <c r="B272" s="173" t="s">
        <v>120</v>
      </c>
      <c r="C272" s="159">
        <f>A!B423</f>
        <v>1.1020851416122001E-2</v>
      </c>
      <c r="D272" s="159">
        <f>A!C423</f>
        <v>1.14E-2</v>
      </c>
      <c r="E272" s="159">
        <f>A!D423</f>
        <v>1.14E-2</v>
      </c>
      <c r="F272" s="159">
        <f>A!E423</f>
        <v>1.0999349072433219E-2</v>
      </c>
      <c r="G272" s="159">
        <f>A!F423</f>
        <v>1.1329294934640546E-2</v>
      </c>
      <c r="H272" s="159">
        <f>A!G423</f>
        <v>1.09E-2</v>
      </c>
      <c r="I272" s="448"/>
      <c r="J272" s="159">
        <f t="shared" si="27"/>
        <v>1.09E-2</v>
      </c>
      <c r="K272" s="159">
        <f t="shared" si="28"/>
        <v>1.14E-2</v>
      </c>
      <c r="L272" s="27">
        <f t="shared" si="29"/>
        <v>4.4743066015112062E-2</v>
      </c>
      <c r="N272" s="674">
        <f>A!H423</f>
        <v>0</v>
      </c>
      <c r="O272" s="219"/>
      <c r="P272" s="219"/>
    </row>
    <row r="273" spans="2:16" ht="12" customHeight="1">
      <c r="B273" s="173" t="s">
        <v>124</v>
      </c>
      <c r="C273" s="159">
        <f>A!B424</f>
        <v>1.1395419907407389E-2</v>
      </c>
      <c r="D273" s="159">
        <f>A!C424</f>
        <v>1.14E-2</v>
      </c>
      <c r="E273" s="159">
        <f>A!D424</f>
        <v>1.14E-2</v>
      </c>
      <c r="F273" s="159">
        <f>A!E424</f>
        <v>1.1007725927302797E-2</v>
      </c>
      <c r="G273" s="159">
        <f>A!F424</f>
        <v>1.1328404956427012E-2</v>
      </c>
      <c r="H273" s="159">
        <f>A!G424</f>
        <v>1.09E-2</v>
      </c>
      <c r="I273" s="448"/>
      <c r="J273" s="159">
        <f t="shared" si="27"/>
        <v>1.09E-2</v>
      </c>
      <c r="K273" s="159">
        <f t="shared" si="28"/>
        <v>1.14E-2</v>
      </c>
      <c r="L273" s="27">
        <f t="shared" si="29"/>
        <v>4.4489559631992102E-2</v>
      </c>
      <c r="N273" s="674">
        <f>A!H424</f>
        <v>0</v>
      </c>
      <c r="O273" s="219"/>
      <c r="P273" s="219"/>
    </row>
    <row r="274" spans="2:16" ht="12" customHeight="1">
      <c r="B274" s="173" t="s">
        <v>125</v>
      </c>
      <c r="C274" s="159">
        <f>A!B425</f>
        <v>6.6924052328766054E-3</v>
      </c>
      <c r="D274" s="159"/>
      <c r="E274" s="159"/>
      <c r="F274" s="159">
        <f>A!E425</f>
        <v>6.0156927748213629E-3</v>
      </c>
      <c r="G274" s="159">
        <f>A!F425</f>
        <v>7.0233744292240554E-3</v>
      </c>
      <c r="H274" s="159">
        <f>A!G425</f>
        <v>7.6299999999999996E-3</v>
      </c>
      <c r="I274" s="448"/>
      <c r="J274" s="159">
        <f t="shared" si="27"/>
        <v>6.0156927748213629E-3</v>
      </c>
      <c r="K274" s="159">
        <f t="shared" si="28"/>
        <v>7.6299999999999996E-3</v>
      </c>
      <c r="L274" s="27">
        <f t="shared" si="29"/>
        <v>0.23599712755228244</v>
      </c>
      <c r="N274" s="674">
        <f>A!H425</f>
        <v>0</v>
      </c>
      <c r="O274" s="219"/>
      <c r="P274" s="219"/>
    </row>
    <row r="275" spans="2:16" ht="12" customHeight="1">
      <c r="B275" s="173" t="s">
        <v>127</v>
      </c>
      <c r="C275" s="159">
        <f>A!B426</f>
        <v>8.1904468938349267E-3</v>
      </c>
      <c r="D275" s="159"/>
      <c r="E275" s="159"/>
      <c r="F275" s="159">
        <f>A!E426</f>
        <v>7.480528641157785E-3</v>
      </c>
      <c r="G275" s="159">
        <f>A!F426</f>
        <v>8.5797287671236355E-3</v>
      </c>
      <c r="H275" s="159">
        <f>A!G426</f>
        <v>9.0100000000000006E-3</v>
      </c>
      <c r="I275" s="448"/>
      <c r="J275" s="159">
        <f t="shared" si="27"/>
        <v>7.480528641157785E-3</v>
      </c>
      <c r="K275" s="159">
        <f t="shared" si="28"/>
        <v>9.0100000000000006E-3</v>
      </c>
      <c r="L275" s="27">
        <f t="shared" si="29"/>
        <v>0.18393733878267837</v>
      </c>
      <c r="N275" s="674">
        <f>A!H426</f>
        <v>0</v>
      </c>
      <c r="O275" s="219"/>
      <c r="P275" s="219"/>
    </row>
    <row r="276" spans="2:16" ht="12" customHeight="1">
      <c r="B276" s="173" t="s">
        <v>130</v>
      </c>
      <c r="C276" s="159">
        <f>A!B427</f>
        <v>1.3712712512557254E-2</v>
      </c>
      <c r="D276" s="159"/>
      <c r="E276" s="159"/>
      <c r="F276" s="159">
        <f>A!E427</f>
        <v>1.3380293530455892E-2</v>
      </c>
      <c r="G276" s="159">
        <f>A!F427</f>
        <v>1.3980307305935722E-2</v>
      </c>
      <c r="H276" s="159">
        <f>A!G427</f>
        <v>1.5100000000000001E-2</v>
      </c>
      <c r="I276" s="448"/>
      <c r="J276" s="159">
        <f t="shared" si="27"/>
        <v>1.3380293530455892E-2</v>
      </c>
      <c r="K276" s="159">
        <f t="shared" si="28"/>
        <v>1.5100000000000001E-2</v>
      </c>
      <c r="L276" s="27">
        <f t="shared" si="29"/>
        <v>0.12245718594958313</v>
      </c>
      <c r="N276" s="674">
        <f>A!H427</f>
        <v>0</v>
      </c>
      <c r="O276" s="219"/>
      <c r="P276" s="219"/>
    </row>
    <row r="277" spans="2:16" ht="12" customHeight="1">
      <c r="B277" s="173" t="s">
        <v>132</v>
      </c>
      <c r="C277" s="159">
        <f>A!B428</f>
        <v>6.2265487134692283E-3</v>
      </c>
      <c r="D277" s="159"/>
      <c r="E277" s="159"/>
      <c r="F277" s="159">
        <f>A!E428</f>
        <v>6.4847631667446564E-3</v>
      </c>
      <c r="G277" s="159">
        <f>A!F428</f>
        <v>5.7975094748851539E-3</v>
      </c>
      <c r="H277" s="159">
        <f>A!G428</f>
        <v>6.6699999999999997E-3</v>
      </c>
      <c r="I277" s="448"/>
      <c r="J277" s="159">
        <f t="shared" si="27"/>
        <v>5.7975094748851539E-3</v>
      </c>
      <c r="K277" s="159">
        <f t="shared" si="28"/>
        <v>6.6699999999999997E-3</v>
      </c>
      <c r="L277" s="27">
        <f t="shared" si="29"/>
        <v>0.13860704801230184</v>
      </c>
      <c r="N277" s="674">
        <f>A!H428</f>
        <v>0</v>
      </c>
      <c r="O277" s="219"/>
      <c r="P277" s="219"/>
    </row>
    <row r="278" spans="2:16" ht="12" customHeight="1">
      <c r="B278" s="173" t="s">
        <v>135</v>
      </c>
      <c r="C278" s="159">
        <f>A!B429</f>
        <v>4.4601085502286733E-3</v>
      </c>
      <c r="D278" s="159"/>
      <c r="E278" s="159"/>
      <c r="F278" s="159">
        <f>A!E429</f>
        <v>4.3402179002156359E-3</v>
      </c>
      <c r="G278" s="159">
        <f>A!F429</f>
        <v>3.8545738584480375E-3</v>
      </c>
      <c r="H278" s="159">
        <f>A!G429</f>
        <v>4.6299999999999996E-3</v>
      </c>
      <c r="I278" s="448"/>
      <c r="J278" s="159">
        <f t="shared" si="27"/>
        <v>3.8545738584480375E-3</v>
      </c>
      <c r="K278" s="159">
        <f t="shared" si="28"/>
        <v>4.6299999999999996E-3</v>
      </c>
      <c r="L278" s="27">
        <f t="shared" si="29"/>
        <v>0.17944590427357879</v>
      </c>
      <c r="N278" s="674">
        <f>A!H429</f>
        <v>0</v>
      </c>
      <c r="O278" s="219"/>
      <c r="P278" s="219"/>
    </row>
    <row r="279" spans="2:16" ht="12" customHeight="1" thickBot="1">
      <c r="B279" s="174" t="s">
        <v>138</v>
      </c>
      <c r="C279" s="163">
        <f>A!B430</f>
        <v>6.2265487134692283E-3</v>
      </c>
      <c r="D279" s="163"/>
      <c r="E279" s="163"/>
      <c r="F279" s="163">
        <f>A!E430</f>
        <v>6.7479414957845674E-3</v>
      </c>
      <c r="G279" s="163">
        <f>A!F430</f>
        <v>6.7490358447480567E-3</v>
      </c>
      <c r="H279" s="163">
        <f>A!G430</f>
        <v>7.2199999999999999E-3</v>
      </c>
      <c r="I279" s="449"/>
      <c r="J279" s="163">
        <f t="shared" si="27"/>
        <v>6.2265487134692283E-3</v>
      </c>
      <c r="K279" s="163">
        <f t="shared" si="28"/>
        <v>7.2199999999999999E-3</v>
      </c>
      <c r="L279" s="30">
        <f t="shared" si="29"/>
        <v>0.14748645511944294</v>
      </c>
      <c r="N279" s="674">
        <f>A!H430</f>
        <v>0</v>
      </c>
      <c r="O279" s="219"/>
      <c r="P279" s="219"/>
    </row>
    <row r="280" spans="2:16" ht="12" customHeight="1" thickTop="1">
      <c r="B280" s="31" t="s">
        <v>265</v>
      </c>
      <c r="C280" s="18"/>
      <c r="D280" s="26"/>
      <c r="E280" s="18"/>
      <c r="F280" s="26"/>
      <c r="G280" s="26"/>
      <c r="H280" s="145"/>
      <c r="I280" s="140"/>
      <c r="J280" s="34" t="s">
        <v>24</v>
      </c>
      <c r="K280" s="18"/>
      <c r="L280" s="27"/>
      <c r="N280" s="673"/>
    </row>
    <row r="281" spans="2:16" ht="12" customHeight="1">
      <c r="B281" s="170"/>
      <c r="C281" s="22" t="s">
        <v>245</v>
      </c>
      <c r="D281" s="22" t="s">
        <v>536</v>
      </c>
      <c r="E281" s="22" t="s">
        <v>258</v>
      </c>
      <c r="F281" s="352" t="s">
        <v>433</v>
      </c>
      <c r="G281" s="436" t="s">
        <v>469</v>
      </c>
      <c r="H281" s="437" t="s">
        <v>482</v>
      </c>
      <c r="I281" s="438"/>
      <c r="J281" s="18"/>
      <c r="K281" s="18"/>
      <c r="L281" s="23" t="s">
        <v>25</v>
      </c>
      <c r="N281" s="673" t="s">
        <v>519</v>
      </c>
    </row>
    <row r="282" spans="2:16" ht="12" customHeight="1">
      <c r="B282" s="171"/>
      <c r="C282" s="24" t="s">
        <v>26</v>
      </c>
      <c r="D282" s="24" t="s">
        <v>13</v>
      </c>
      <c r="E282" s="24" t="s">
        <v>13</v>
      </c>
      <c r="F282" s="353" t="s">
        <v>434</v>
      </c>
      <c r="G282" s="353" t="s">
        <v>452</v>
      </c>
      <c r="H282" s="353" t="s">
        <v>483</v>
      </c>
      <c r="I282" s="439"/>
      <c r="J282" s="24" t="s">
        <v>27</v>
      </c>
      <c r="K282" s="24" t="s">
        <v>28</v>
      </c>
      <c r="L282" s="25" t="s">
        <v>259</v>
      </c>
      <c r="N282" s="673" t="s">
        <v>520</v>
      </c>
    </row>
    <row r="283" spans="2:16" ht="12" customHeight="1">
      <c r="B283" s="172" t="s">
        <v>91</v>
      </c>
      <c r="C283" s="154">
        <f>A!B440</f>
        <v>48.614860102739854</v>
      </c>
      <c r="D283" s="154">
        <f>A!C440</f>
        <v>48.26</v>
      </c>
      <c r="E283" s="154">
        <f>A!D440</f>
        <v>48.28</v>
      </c>
      <c r="F283" s="154">
        <f>A!E440</f>
        <v>47.944742213612329</v>
      </c>
      <c r="G283" s="154">
        <f>A!F440</f>
        <v>47.82614155251165</v>
      </c>
      <c r="H283" s="154">
        <f>A!G440</f>
        <v>47.93</v>
      </c>
      <c r="I283" s="450"/>
      <c r="J283" s="154">
        <f t="shared" ref="J283:J303" si="30">MINA(C283:I283)</f>
        <v>47.82614155251165</v>
      </c>
      <c r="K283" s="154">
        <f t="shared" ref="K283:K303" si="31">MAXA(C283:I283)</f>
        <v>48.614860102739854</v>
      </c>
      <c r="L283" s="27">
        <f t="shared" ref="L283:L303" si="32">(K283-J283)/AVERAGE(C283:I283)</f>
        <v>1.6382957243590835E-2</v>
      </c>
      <c r="N283" s="598">
        <f>A!H440</f>
        <v>0</v>
      </c>
    </row>
    <row r="284" spans="2:16" ht="12" customHeight="1">
      <c r="B284" s="173" t="s">
        <v>96</v>
      </c>
      <c r="C284" s="154">
        <f>A!B441</f>
        <v>58.330700913241614</v>
      </c>
      <c r="D284" s="154">
        <f>A!C441</f>
        <v>58.51</v>
      </c>
      <c r="E284" s="154">
        <f>A!D441</f>
        <v>58.53</v>
      </c>
      <c r="F284" s="154">
        <f>A!E441</f>
        <v>57.961046186027652</v>
      </c>
      <c r="G284" s="154">
        <f>A!F441</f>
        <v>57.840981735158394</v>
      </c>
      <c r="H284" s="154">
        <f>A!G441</f>
        <v>57.8</v>
      </c>
      <c r="I284" s="450"/>
      <c r="J284" s="154">
        <f t="shared" si="30"/>
        <v>57.8</v>
      </c>
      <c r="K284" s="154">
        <f t="shared" si="31"/>
        <v>58.53</v>
      </c>
      <c r="L284" s="27">
        <f t="shared" si="32"/>
        <v>1.2551124022296144E-2</v>
      </c>
      <c r="N284" s="598">
        <f>A!H441</f>
        <v>0</v>
      </c>
    </row>
    <row r="285" spans="2:16" ht="12" customHeight="1">
      <c r="B285" s="173" t="s">
        <v>98</v>
      </c>
      <c r="C285" s="154">
        <f>A!B442</f>
        <v>52.00530301369875</v>
      </c>
      <c r="D285" s="154">
        <f>A!C442</f>
        <v>51.21</v>
      </c>
      <c r="E285" s="154">
        <f>A!D442</f>
        <v>51.25</v>
      </c>
      <c r="F285" s="154">
        <f>A!E442</f>
        <v>51.453078413480725</v>
      </c>
      <c r="G285" s="154">
        <f>A!F442</f>
        <v>51.103424657534461</v>
      </c>
      <c r="H285" s="154">
        <f>A!G442</f>
        <v>49.94</v>
      </c>
      <c r="I285" s="450"/>
      <c r="J285" s="154">
        <f t="shared" si="30"/>
        <v>49.94</v>
      </c>
      <c r="K285" s="154">
        <f t="shared" si="31"/>
        <v>52.00530301369875</v>
      </c>
      <c r="L285" s="27">
        <f t="shared" si="32"/>
        <v>4.0369250625182589E-2</v>
      </c>
      <c r="N285" s="598">
        <f>A!H442</f>
        <v>0</v>
      </c>
    </row>
    <row r="286" spans="2:16" ht="12" customHeight="1">
      <c r="B286" s="173" t="s">
        <v>102</v>
      </c>
      <c r="C286" s="154">
        <f>A!B443</f>
        <v>50.844470547945278</v>
      </c>
      <c r="D286" s="154">
        <f>A!C443</f>
        <v>50.58</v>
      </c>
      <c r="E286" s="154">
        <f>A!D443</f>
        <v>50.65</v>
      </c>
      <c r="F286" s="154">
        <f>A!E443</f>
        <v>50.606484961362192</v>
      </c>
      <c r="G286" s="154">
        <f>A!F443</f>
        <v>50.084817351598268</v>
      </c>
      <c r="H286" s="154">
        <f>A!G443</f>
        <v>50.7</v>
      </c>
      <c r="I286" s="450"/>
      <c r="J286" s="154">
        <f t="shared" si="30"/>
        <v>50.084817351598268</v>
      </c>
      <c r="K286" s="154">
        <f t="shared" si="31"/>
        <v>50.844470547945278</v>
      </c>
      <c r="L286" s="27">
        <f t="shared" si="32"/>
        <v>1.5019549437528139E-2</v>
      </c>
      <c r="N286" s="598">
        <f>A!H443</f>
        <v>0</v>
      </c>
    </row>
    <row r="287" spans="2:16" ht="12" customHeight="1">
      <c r="B287" s="173" t="s">
        <v>356</v>
      </c>
      <c r="C287" s="154">
        <f>A!B444</f>
        <v>51.085032043379037</v>
      </c>
      <c r="D287" s="154">
        <f>A!C444</f>
        <v>50.69</v>
      </c>
      <c r="E287" s="154">
        <f>A!D444</f>
        <v>50.73</v>
      </c>
      <c r="F287" s="154">
        <f>A!E444</f>
        <v>50.64738437733039</v>
      </c>
      <c r="G287" s="154">
        <f>A!F444</f>
        <v>50.296689497717153</v>
      </c>
      <c r="H287" s="154">
        <f>A!G444</f>
        <v>50.78</v>
      </c>
      <c r="I287" s="450"/>
      <c r="J287" s="154">
        <f>MINA(C287:I287)</f>
        <v>50.296689497717153</v>
      </c>
      <c r="K287" s="154">
        <f>MAXA(C287:I287)</f>
        <v>51.085032043379037</v>
      </c>
      <c r="L287" s="27">
        <f>(K287-J287)/AVERAGE(C287:I287)</f>
        <v>1.5547675031591421E-2</v>
      </c>
      <c r="N287" s="598">
        <f>A!H444</f>
        <v>0</v>
      </c>
    </row>
    <row r="288" spans="2:16" ht="12" customHeight="1">
      <c r="B288" s="173" t="s">
        <v>105</v>
      </c>
      <c r="C288" s="154">
        <f>A!B445</f>
        <v>45.48395562785403</v>
      </c>
      <c r="D288" s="154">
        <f>A!C445</f>
        <v>45.45</v>
      </c>
      <c r="E288" s="154">
        <f>A!D445</f>
        <v>45.55</v>
      </c>
      <c r="F288" s="154">
        <f>A!E445</f>
        <v>44.59421052922886</v>
      </c>
      <c r="G288" s="154">
        <f>A!F445</f>
        <v>44.316210045662174</v>
      </c>
      <c r="H288" s="154">
        <f>A!G445</f>
        <v>44.56</v>
      </c>
      <c r="I288" s="450"/>
      <c r="J288" s="154">
        <f t="shared" si="30"/>
        <v>44.316210045662174</v>
      </c>
      <c r="K288" s="154">
        <f t="shared" si="31"/>
        <v>45.55</v>
      </c>
      <c r="L288" s="27">
        <f t="shared" si="32"/>
        <v>2.7422188260683072E-2</v>
      </c>
      <c r="M288" s="2"/>
      <c r="N288" s="598">
        <f>A!H445</f>
        <v>0</v>
      </c>
    </row>
    <row r="289" spans="2:14" ht="12" customHeight="1">
      <c r="B289" s="173" t="s">
        <v>108</v>
      </c>
      <c r="C289" s="154">
        <f>A!B446</f>
        <v>41.033473984018258</v>
      </c>
      <c r="D289" s="154">
        <f>A!C446</f>
        <v>41.49</v>
      </c>
      <c r="E289" s="154">
        <f>A!D446</f>
        <v>41.49</v>
      </c>
      <c r="F289" s="154">
        <f>A!E446</f>
        <v>41.363700199361176</v>
      </c>
      <c r="G289" s="154">
        <f>A!F446</f>
        <v>40.87100456621188</v>
      </c>
      <c r="H289" s="154">
        <f>A!G446</f>
        <v>41.21</v>
      </c>
      <c r="I289" s="450"/>
      <c r="J289" s="154">
        <f t="shared" si="30"/>
        <v>40.87100456621188</v>
      </c>
      <c r="K289" s="154">
        <f t="shared" si="31"/>
        <v>41.49</v>
      </c>
      <c r="L289" s="27">
        <f t="shared" si="32"/>
        <v>1.50084859651658E-2</v>
      </c>
      <c r="M289" s="2"/>
      <c r="N289" s="598">
        <f>A!H446</f>
        <v>0</v>
      </c>
    </row>
    <row r="290" spans="2:14" ht="12" customHeight="1">
      <c r="B290" s="173" t="s">
        <v>109</v>
      </c>
      <c r="C290" s="154">
        <f>A!B447</f>
        <v>50.770897728310473</v>
      </c>
      <c r="D290" s="154">
        <f>A!C447</f>
        <v>52.21</v>
      </c>
      <c r="E290" s="154">
        <f>A!D447</f>
        <v>52.25</v>
      </c>
      <c r="F290" s="154">
        <f>A!E447</f>
        <v>52.274581697959078</v>
      </c>
      <c r="G290" s="154"/>
      <c r="H290" s="154">
        <f>A!G447</f>
        <v>52.01</v>
      </c>
      <c r="I290" s="450"/>
      <c r="J290" s="154">
        <f t="shared" si="30"/>
        <v>50.770897728310473</v>
      </c>
      <c r="K290" s="154">
        <f t="shared" si="31"/>
        <v>52.274581697959078</v>
      </c>
      <c r="L290" s="27">
        <f t="shared" si="32"/>
        <v>2.8970988030712332E-2</v>
      </c>
      <c r="M290" s="2"/>
      <c r="N290" s="598">
        <f>A!H447</f>
        <v>0</v>
      </c>
    </row>
    <row r="291" spans="2:14" ht="12" customHeight="1">
      <c r="B291" s="173" t="s">
        <v>111</v>
      </c>
      <c r="C291" s="154">
        <f>A!B448</f>
        <v>50.497098949771569</v>
      </c>
      <c r="D291" s="154">
        <f>A!C448</f>
        <v>49.65</v>
      </c>
      <c r="E291" s="154">
        <f>A!D448</f>
        <v>49.63</v>
      </c>
      <c r="F291" s="154">
        <f>A!E448</f>
        <v>49.516127890351157</v>
      </c>
      <c r="G291" s="154"/>
      <c r="H291" s="154">
        <f>A!G448</f>
        <v>49.75</v>
      </c>
      <c r="I291" s="450"/>
      <c r="J291" s="154">
        <f t="shared" si="30"/>
        <v>49.516127890351157</v>
      </c>
      <c r="K291" s="154">
        <f t="shared" si="31"/>
        <v>50.497098949771569</v>
      </c>
      <c r="L291" s="27">
        <f t="shared" si="32"/>
        <v>1.9694794993363983E-2</v>
      </c>
      <c r="M291" s="2"/>
      <c r="N291" s="598">
        <f>A!H448</f>
        <v>0</v>
      </c>
    </row>
    <row r="292" spans="2:14" ht="12" customHeight="1">
      <c r="B292" s="173" t="s">
        <v>112</v>
      </c>
      <c r="C292" s="154">
        <f>A!B449</f>
        <v>48.779368002283327</v>
      </c>
      <c r="D292" s="154">
        <f>A!C449</f>
        <v>49.14</v>
      </c>
      <c r="E292" s="154">
        <f>A!D449</f>
        <v>48.97</v>
      </c>
      <c r="F292" s="154">
        <f>A!E449</f>
        <v>48.849465456848122</v>
      </c>
      <c r="G292" s="154"/>
      <c r="H292" s="154">
        <f>A!G449</f>
        <v>48.76</v>
      </c>
      <c r="I292" s="450"/>
      <c r="J292" s="154">
        <f t="shared" si="30"/>
        <v>48.76</v>
      </c>
      <c r="K292" s="154">
        <f t="shared" si="31"/>
        <v>49.14</v>
      </c>
      <c r="L292" s="27">
        <f t="shared" si="32"/>
        <v>7.7709982216238359E-3</v>
      </c>
      <c r="M292" s="2"/>
      <c r="N292" s="598">
        <f>A!H449</f>
        <v>0</v>
      </c>
    </row>
    <row r="293" spans="2:14" ht="12" customHeight="1">
      <c r="B293" s="173" t="s">
        <v>113</v>
      </c>
      <c r="C293" s="154">
        <f>A!B450</f>
        <v>48.821944840182738</v>
      </c>
      <c r="D293" s="154">
        <f>A!C450</f>
        <v>49.17</v>
      </c>
      <c r="E293" s="154">
        <f>A!D450</f>
        <v>49.3</v>
      </c>
      <c r="F293" s="154">
        <f>A!E450</f>
        <v>49.044422928027274</v>
      </c>
      <c r="G293" s="154"/>
      <c r="H293" s="154">
        <f>A!G450</f>
        <v>49.17</v>
      </c>
      <c r="I293" s="450"/>
      <c r="J293" s="154">
        <f t="shared" si="30"/>
        <v>48.821944840182738</v>
      </c>
      <c r="K293" s="154">
        <f t="shared" si="31"/>
        <v>49.3</v>
      </c>
      <c r="L293" s="27">
        <f t="shared" si="32"/>
        <v>9.736105099086588E-3</v>
      </c>
      <c r="M293" s="2"/>
      <c r="N293" s="598">
        <f>A!H450</f>
        <v>0</v>
      </c>
    </row>
    <row r="294" spans="2:14" ht="12" customHeight="1">
      <c r="B294" s="173" t="s">
        <v>114</v>
      </c>
      <c r="C294" s="154">
        <f>A!B451</f>
        <v>48.329768664383728</v>
      </c>
      <c r="D294" s="154">
        <f>A!C451</f>
        <v>48.46</v>
      </c>
      <c r="E294" s="154">
        <f>A!D451</f>
        <v>48.57</v>
      </c>
      <c r="F294" s="154">
        <f>A!E451</f>
        <v>48.26890572015904</v>
      </c>
      <c r="G294" s="154"/>
      <c r="H294" s="154">
        <f>A!G451</f>
        <v>48.23</v>
      </c>
      <c r="I294" s="450"/>
      <c r="J294" s="154">
        <f t="shared" si="30"/>
        <v>48.23</v>
      </c>
      <c r="K294" s="154">
        <f t="shared" si="31"/>
        <v>48.57</v>
      </c>
      <c r="L294" s="27">
        <f t="shared" si="32"/>
        <v>7.0288981957169969E-3</v>
      </c>
      <c r="M294" s="2"/>
      <c r="N294" s="598">
        <f>A!H451</f>
        <v>0</v>
      </c>
    </row>
    <row r="295" spans="2:14" ht="12" customHeight="1">
      <c r="B295" s="173" t="s">
        <v>115</v>
      </c>
      <c r="C295" s="154">
        <f>A!B452</f>
        <v>66.526122203196252</v>
      </c>
      <c r="D295" s="154"/>
      <c r="E295" s="154"/>
      <c r="F295" s="154">
        <f>A!E452</f>
        <v>57.93619804975993</v>
      </c>
      <c r="G295" s="154">
        <f>A!F452</f>
        <v>65.941894977171202</v>
      </c>
      <c r="H295" s="154">
        <f>A!G452</f>
        <v>63.73</v>
      </c>
      <c r="I295" s="450"/>
      <c r="J295" s="154">
        <f t="shared" si="30"/>
        <v>57.93619804975993</v>
      </c>
      <c r="K295" s="154">
        <f t="shared" si="31"/>
        <v>66.526122203196252</v>
      </c>
      <c r="L295" s="27">
        <f t="shared" si="32"/>
        <v>0.13520295400850055</v>
      </c>
      <c r="M295" s="2"/>
      <c r="N295" s="598">
        <f>A!H452</f>
        <v>0</v>
      </c>
    </row>
    <row r="296" spans="2:14" ht="12" customHeight="1">
      <c r="B296" s="173" t="s">
        <v>120</v>
      </c>
      <c r="C296" s="154">
        <f>A!B453</f>
        <v>57.047631889978156</v>
      </c>
      <c r="D296" s="154">
        <f>A!C453</f>
        <v>57.47</v>
      </c>
      <c r="E296" s="154">
        <f>A!D453</f>
        <v>57.47</v>
      </c>
      <c r="F296" s="154">
        <f>A!E453</f>
        <v>55.660206396027817</v>
      </c>
      <c r="G296" s="154">
        <f>A!F453</f>
        <v>57.072167755988787</v>
      </c>
      <c r="H296" s="154">
        <f>A!G453</f>
        <v>55.13</v>
      </c>
      <c r="I296" s="450"/>
      <c r="J296" s="154">
        <f t="shared" si="30"/>
        <v>55.13</v>
      </c>
      <c r="K296" s="154">
        <f t="shared" si="31"/>
        <v>57.47</v>
      </c>
      <c r="L296" s="27">
        <f t="shared" si="32"/>
        <v>4.1312342946567653E-2</v>
      </c>
      <c r="M296" s="2"/>
      <c r="N296" s="598">
        <f>A!H453</f>
        <v>0</v>
      </c>
    </row>
    <row r="297" spans="2:14" ht="12" customHeight="1">
      <c r="B297" s="173" t="s">
        <v>124</v>
      </c>
      <c r="C297" s="154">
        <f>A!B454</f>
        <v>54.700072821350801</v>
      </c>
      <c r="D297" s="154">
        <f>A!C454</f>
        <v>57.36</v>
      </c>
      <c r="E297" s="154">
        <f>A!D454</f>
        <v>57.36</v>
      </c>
      <c r="F297" s="154">
        <f>A!E454</f>
        <v>55.77802165729225</v>
      </c>
      <c r="G297" s="154">
        <f>A!F454</f>
        <v>57.061546840956055</v>
      </c>
      <c r="H297" s="154">
        <f>A!G454</f>
        <v>55.24</v>
      </c>
      <c r="I297" s="450"/>
      <c r="J297" s="154">
        <f t="shared" si="30"/>
        <v>54.700072821350801</v>
      </c>
      <c r="K297" s="154">
        <f t="shared" si="31"/>
        <v>57.36</v>
      </c>
      <c r="L297" s="27">
        <f t="shared" si="32"/>
        <v>4.7287644542359973E-2</v>
      </c>
      <c r="M297" s="2"/>
      <c r="N297" s="598">
        <f>A!H454</f>
        <v>0</v>
      </c>
    </row>
    <row r="298" spans="2:14" ht="12" customHeight="1">
      <c r="B298" s="173" t="s">
        <v>125</v>
      </c>
      <c r="C298" s="154">
        <f>A!B455</f>
        <v>69.874455981734982</v>
      </c>
      <c r="D298" s="154"/>
      <c r="E298" s="154"/>
      <c r="F298" s="154">
        <f>A!E455</f>
        <v>60.928214382625612</v>
      </c>
      <c r="G298" s="154">
        <f>A!F455</f>
        <v>70.226826484016939</v>
      </c>
      <c r="H298" s="154">
        <f>A!G455</f>
        <v>72.17</v>
      </c>
      <c r="I298" s="450"/>
      <c r="J298" s="154">
        <f t="shared" si="30"/>
        <v>60.928214382625612</v>
      </c>
      <c r="K298" s="154">
        <f t="shared" si="31"/>
        <v>72.17</v>
      </c>
      <c r="L298" s="27">
        <f t="shared" si="32"/>
        <v>0.16459452886347656</v>
      </c>
      <c r="M298" s="2"/>
      <c r="N298" s="598">
        <f>A!H455</f>
        <v>0</v>
      </c>
    </row>
    <row r="299" spans="2:14" ht="12" customHeight="1">
      <c r="B299" s="173" t="s">
        <v>127</v>
      </c>
      <c r="C299" s="154">
        <f>A!B456</f>
        <v>68.677375262557277</v>
      </c>
      <c r="D299" s="154"/>
      <c r="E299" s="154"/>
      <c r="F299" s="154">
        <f>A!E456</f>
        <v>59.707353189780918</v>
      </c>
      <c r="G299" s="154">
        <f>A!F456</f>
        <v>68.231392694061995</v>
      </c>
      <c r="H299" s="154">
        <f>A!G456</f>
        <v>68.11</v>
      </c>
      <c r="I299" s="450"/>
      <c r="J299" s="154">
        <f t="shared" si="30"/>
        <v>59.707353189780918</v>
      </c>
      <c r="K299" s="154">
        <f t="shared" si="31"/>
        <v>68.677375262557277</v>
      </c>
      <c r="L299" s="27">
        <f t="shared" si="32"/>
        <v>0.13553663739613683</v>
      </c>
      <c r="M299" s="2"/>
      <c r="N299" s="598">
        <f>A!H456</f>
        <v>0</v>
      </c>
    </row>
    <row r="300" spans="2:14" ht="12" customHeight="1">
      <c r="B300" s="173" t="s">
        <v>130</v>
      </c>
      <c r="C300" s="154">
        <f>A!B457</f>
        <v>61.467399063927004</v>
      </c>
      <c r="D300" s="154"/>
      <c r="E300" s="154"/>
      <c r="F300" s="154">
        <f>A!E457</f>
        <v>53.71669213147522</v>
      </c>
      <c r="G300" s="154">
        <f>A!F457</f>
        <v>60.138698630132005</v>
      </c>
      <c r="H300" s="154">
        <f>A!G457</f>
        <v>57.37</v>
      </c>
      <c r="I300" s="450"/>
      <c r="J300" s="154">
        <f t="shared" si="30"/>
        <v>53.71669213147522</v>
      </c>
      <c r="K300" s="154">
        <f t="shared" si="31"/>
        <v>61.467399063927004</v>
      </c>
      <c r="L300" s="27">
        <f t="shared" si="32"/>
        <v>0.13323501666318102</v>
      </c>
      <c r="M300" s="2"/>
      <c r="N300" s="598">
        <f>A!H457</f>
        <v>0</v>
      </c>
    </row>
    <row r="301" spans="2:14" ht="12" customHeight="1">
      <c r="B301" s="173" t="s">
        <v>132</v>
      </c>
      <c r="C301" s="154">
        <f>A!B458</f>
        <v>46.729939874429292</v>
      </c>
      <c r="D301" s="154"/>
      <c r="E301" s="154"/>
      <c r="F301" s="154">
        <f>A!E458</f>
        <v>47.53150585721562</v>
      </c>
      <c r="G301" s="154">
        <f>A!F458</f>
        <v>41.451598173521695</v>
      </c>
      <c r="H301" s="154">
        <f>A!G458</f>
        <v>39.6</v>
      </c>
      <c r="I301" s="450"/>
      <c r="J301" s="154">
        <f t="shared" si="30"/>
        <v>39.6</v>
      </c>
      <c r="K301" s="154">
        <f t="shared" si="31"/>
        <v>47.53150585721562</v>
      </c>
      <c r="L301" s="27">
        <f t="shared" si="32"/>
        <v>0.18096784313450326</v>
      </c>
      <c r="M301" s="2"/>
      <c r="N301" s="598">
        <f>A!H458</f>
        <v>0</v>
      </c>
    </row>
    <row r="302" spans="2:14" ht="12" customHeight="1">
      <c r="B302" s="173" t="s">
        <v>135</v>
      </c>
      <c r="C302" s="154">
        <f>A!B459</f>
        <v>48.520982031963811</v>
      </c>
      <c r="D302" s="154"/>
      <c r="E302" s="154"/>
      <c r="F302" s="154">
        <f>A!E459</f>
        <v>46.176930892597952</v>
      </c>
      <c r="G302" s="154">
        <f>A!F459</f>
        <v>40.050913242005713</v>
      </c>
      <c r="H302" s="154">
        <f>A!G459</f>
        <v>43.82</v>
      </c>
      <c r="I302" s="450"/>
      <c r="J302" s="154">
        <f t="shared" si="30"/>
        <v>40.050913242005713</v>
      </c>
      <c r="K302" s="154">
        <f t="shared" si="31"/>
        <v>48.520982031963811</v>
      </c>
      <c r="L302" s="27">
        <f t="shared" si="32"/>
        <v>0.18973230595260318</v>
      </c>
      <c r="M302" s="2"/>
      <c r="N302" s="598">
        <f>A!H459</f>
        <v>0</v>
      </c>
    </row>
    <row r="303" spans="2:14" ht="12" customHeight="1" thickBot="1">
      <c r="B303" s="174" t="s">
        <v>138</v>
      </c>
      <c r="C303" s="158">
        <f>A!B460</f>
        <v>36.624875993150724</v>
      </c>
      <c r="D303" s="158"/>
      <c r="E303" s="158"/>
      <c r="F303" s="158">
        <f>A!E460</f>
        <v>38.630048217717501</v>
      </c>
      <c r="G303" s="158">
        <f>A!F460</f>
        <v>36.874657534249643</v>
      </c>
      <c r="H303" s="158">
        <f>A!G460</f>
        <v>29.2</v>
      </c>
      <c r="I303" s="451"/>
      <c r="J303" s="158">
        <f t="shared" si="30"/>
        <v>29.2</v>
      </c>
      <c r="K303" s="158">
        <f t="shared" si="31"/>
        <v>38.630048217717501</v>
      </c>
      <c r="L303" s="30">
        <f t="shared" si="32"/>
        <v>0.26689524164089612</v>
      </c>
      <c r="M303" s="2"/>
      <c r="N303" s="598">
        <f>A!H460</f>
        <v>0</v>
      </c>
    </row>
    <row r="304" spans="2:14" ht="12" customHeight="1" thickTop="1">
      <c r="B304" s="14"/>
      <c r="C304" s="2"/>
      <c r="D304" s="14"/>
      <c r="E304" s="32" t="s">
        <v>549</v>
      </c>
      <c r="F304" s="14"/>
      <c r="G304" s="14"/>
      <c r="H304" s="14"/>
      <c r="I304" s="2"/>
      <c r="J304" s="14"/>
      <c r="K304" s="14"/>
      <c r="L304" s="17"/>
      <c r="M304" s="2"/>
    </row>
    <row r="305" spans="2:16" ht="12" customHeight="1">
      <c r="O305" s="2"/>
      <c r="P305" s="12"/>
    </row>
    <row r="306" spans="2:16" ht="12" customHeight="1">
      <c r="O306" s="2"/>
      <c r="P306" s="12"/>
    </row>
    <row r="307" spans="2: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O307" s="2"/>
      <c r="P307" s="12"/>
    </row>
    <row r="308" spans="2:16">
      <c r="B308" s="14"/>
      <c r="C308" s="2"/>
      <c r="D308" s="16"/>
      <c r="E308" s="2"/>
      <c r="F308" s="16"/>
      <c r="G308" s="16"/>
      <c r="H308" s="16"/>
      <c r="I308" s="2"/>
      <c r="J308" s="16"/>
      <c r="K308" s="16"/>
      <c r="L308" s="17"/>
      <c r="M308" s="2"/>
      <c r="O308" s="2"/>
      <c r="P308" s="12"/>
    </row>
    <row r="309" spans="2:16">
      <c r="B309" s="14"/>
      <c r="C309" s="2"/>
      <c r="D309" s="16"/>
      <c r="E309" s="2"/>
      <c r="F309" s="16"/>
      <c r="G309" s="16"/>
      <c r="H309" s="16"/>
      <c r="I309" s="2"/>
      <c r="J309" s="16"/>
      <c r="K309" s="16"/>
      <c r="L309" s="17"/>
      <c r="M309" s="2"/>
      <c r="O309" s="2"/>
      <c r="P309" s="12"/>
    </row>
    <row r="310" spans="2:16" ht="12" customHeight="1">
      <c r="B310" s="14"/>
      <c r="C310" s="2"/>
      <c r="D310" s="16"/>
      <c r="E310" s="2"/>
      <c r="F310" s="16"/>
      <c r="G310" s="16"/>
      <c r="H310" s="16"/>
      <c r="I310" s="2"/>
      <c r="J310" s="16"/>
      <c r="K310" s="16"/>
      <c r="L310" s="17"/>
      <c r="M310" s="2"/>
      <c r="O310" s="2"/>
      <c r="P310" s="2"/>
    </row>
    <row r="311" spans="2:16" ht="12" customHeight="1">
      <c r="O311" s="16"/>
      <c r="P311" s="16"/>
    </row>
    <row r="312" spans="2:16" ht="12" customHeight="1">
      <c r="O312" s="16"/>
      <c r="P312" s="16"/>
    </row>
    <row r="313" spans="2:16" ht="16.5" customHeight="1">
      <c r="O313" s="16"/>
      <c r="P313" s="16"/>
    </row>
    <row r="314" spans="2:16" ht="12" customHeight="1">
      <c r="O314" s="16"/>
      <c r="P314" s="16"/>
    </row>
    <row r="315" spans="2:16" ht="12" customHeight="1">
      <c r="O315" s="16"/>
      <c r="P315" s="16"/>
    </row>
    <row r="316" spans="2:16" ht="16.5" customHeight="1" thickBot="1">
      <c r="B316" s="58" t="s">
        <v>351</v>
      </c>
      <c r="O316" s="16"/>
      <c r="P316" s="16"/>
    </row>
    <row r="317" spans="2:16" ht="12" customHeight="1" thickTop="1">
      <c r="B317" s="204"/>
      <c r="C317" s="144"/>
      <c r="D317" s="145"/>
      <c r="E317" s="144"/>
      <c r="F317" s="145"/>
      <c r="G317" s="145"/>
      <c r="H317" s="145"/>
      <c r="I317" s="20"/>
      <c r="J317" s="147" t="s">
        <v>24</v>
      </c>
      <c r="K317" s="144"/>
      <c r="L317" s="146"/>
      <c r="O317" s="16"/>
      <c r="P317" s="16"/>
    </row>
    <row r="318" spans="2:16" ht="12" customHeight="1">
      <c r="B318" s="170"/>
      <c r="C318" s="205" t="s">
        <v>245</v>
      </c>
      <c r="D318" s="22" t="s">
        <v>536</v>
      </c>
      <c r="E318" s="205" t="s">
        <v>258</v>
      </c>
      <c r="F318" s="352" t="s">
        <v>433</v>
      </c>
      <c r="G318" s="436" t="s">
        <v>469</v>
      </c>
      <c r="H318" s="437" t="s">
        <v>482</v>
      </c>
      <c r="I318" s="59"/>
      <c r="J318" s="148"/>
      <c r="K318" s="200"/>
      <c r="L318" s="23" t="s">
        <v>25</v>
      </c>
      <c r="N318" s="673" t="s">
        <v>519</v>
      </c>
      <c r="O318" s="16"/>
      <c r="P318" s="16"/>
    </row>
    <row r="319" spans="2:16" ht="12" customHeight="1">
      <c r="B319" s="171"/>
      <c r="C319" s="24" t="s">
        <v>26</v>
      </c>
      <c r="D319" s="24" t="s">
        <v>13</v>
      </c>
      <c r="E319" s="24" t="s">
        <v>13</v>
      </c>
      <c r="F319" s="353" t="s">
        <v>434</v>
      </c>
      <c r="G319" s="353" t="s">
        <v>452</v>
      </c>
      <c r="H319" s="353" t="s">
        <v>483</v>
      </c>
      <c r="I319" s="24"/>
      <c r="J319" s="149" t="s">
        <v>27</v>
      </c>
      <c r="K319" s="24" t="s">
        <v>28</v>
      </c>
      <c r="L319" s="25" t="s">
        <v>259</v>
      </c>
      <c r="N319" s="673" t="s">
        <v>520</v>
      </c>
      <c r="O319" s="16"/>
      <c r="P319" s="16"/>
    </row>
    <row r="320" spans="2:16" ht="12" customHeight="1">
      <c r="B320" s="31" t="s">
        <v>275</v>
      </c>
      <c r="C320" s="200"/>
      <c r="D320" s="201"/>
      <c r="E320" s="200"/>
      <c r="F320" s="201"/>
      <c r="G320" s="201"/>
      <c r="H320" s="201"/>
      <c r="I320" s="34"/>
      <c r="J320" s="150"/>
      <c r="K320" s="201"/>
      <c r="L320" s="27"/>
      <c r="O320" s="16"/>
      <c r="P320" s="16"/>
    </row>
    <row r="321" spans="2:16" ht="12" customHeight="1">
      <c r="B321" s="206" t="s">
        <v>233</v>
      </c>
      <c r="C321" s="201">
        <f>A!B830</f>
        <v>3892.9388508669631</v>
      </c>
      <c r="D321" s="201">
        <f>A!C830</f>
        <v>3975.4583333333335</v>
      </c>
      <c r="E321" s="201">
        <f>A!D830</f>
        <v>3975.1666666666665</v>
      </c>
      <c r="F321" s="201">
        <f>A!E830</f>
        <v>4019.3858425714552</v>
      </c>
      <c r="G321" s="201">
        <f>A!F830</f>
        <v>3901.0416666666665</v>
      </c>
      <c r="H321" s="201">
        <f>A!G830</f>
        <v>4073</v>
      </c>
      <c r="I321" s="35"/>
      <c r="J321" s="150">
        <f t="shared" ref="J321:J326" si="33">MINA(C321:I321)</f>
        <v>3892.9388508669631</v>
      </c>
      <c r="K321" s="201">
        <f t="shared" ref="K321:K326" si="34">MAXA(C321:I321)</f>
        <v>4073</v>
      </c>
      <c r="L321" s="27">
        <f t="shared" ref="L321:L326" si="35">(K321-J321)/AVERAGE(C321:I321)</f>
        <v>4.5323123144071928E-2</v>
      </c>
      <c r="N321" s="673">
        <f>A!H830</f>
        <v>0</v>
      </c>
      <c r="O321" s="16"/>
      <c r="P321" s="16"/>
    </row>
    <row r="322" spans="2:16" ht="12" customHeight="1">
      <c r="B322" s="206" t="s">
        <v>234</v>
      </c>
      <c r="C322" s="201">
        <f>A!B831</f>
        <v>5044.9219465765182</v>
      </c>
      <c r="D322" s="201">
        <f>A!C831</f>
        <v>5204.333333333333</v>
      </c>
      <c r="E322" s="201">
        <f>A!D831</f>
        <v>5204.083333333333</v>
      </c>
      <c r="F322" s="201">
        <f>A!E831</f>
        <v>5244.3835996197358</v>
      </c>
      <c r="G322" s="201">
        <f>A!F831</f>
        <v>5066.5</v>
      </c>
      <c r="H322" s="201">
        <f>A!G831</f>
        <v>5230</v>
      </c>
      <c r="I322" s="35"/>
      <c r="J322" s="150">
        <f t="shared" si="33"/>
        <v>5044.9219465765182</v>
      </c>
      <c r="K322" s="201">
        <f t="shared" si="34"/>
        <v>5244.3835996197358</v>
      </c>
      <c r="L322" s="27">
        <f t="shared" si="35"/>
        <v>3.8612677873963046E-2</v>
      </c>
      <c r="N322" s="673">
        <f>A!H831</f>
        <v>0</v>
      </c>
      <c r="O322" s="2"/>
      <c r="P322" s="2"/>
    </row>
    <row r="323" spans="2:16" ht="12" customHeight="1">
      <c r="B323" s="206" t="s">
        <v>352</v>
      </c>
      <c r="C323" s="201">
        <f t="shared" ref="C323:H323" si="36">C322-C321</f>
        <v>1151.9830957095551</v>
      </c>
      <c r="D323" s="201">
        <f t="shared" si="36"/>
        <v>1228.8749999999995</v>
      </c>
      <c r="E323" s="201">
        <f t="shared" si="36"/>
        <v>1228.9166666666665</v>
      </c>
      <c r="F323" s="201">
        <f t="shared" si="36"/>
        <v>1224.9977570482806</v>
      </c>
      <c r="G323" s="201">
        <f t="shared" si="36"/>
        <v>1165.4583333333335</v>
      </c>
      <c r="H323" s="201">
        <f t="shared" si="36"/>
        <v>1157</v>
      </c>
      <c r="I323" s="35"/>
      <c r="J323" s="150">
        <f t="shared" si="33"/>
        <v>1151.9830957095551</v>
      </c>
      <c r="K323" s="201">
        <f t="shared" si="34"/>
        <v>1228.9166666666665</v>
      </c>
      <c r="L323" s="27">
        <f t="shared" si="35"/>
        <v>6.4494416239879088E-2</v>
      </c>
      <c r="N323" s="673">
        <f>N322-N321</f>
        <v>0</v>
      </c>
      <c r="O323" s="2"/>
      <c r="P323" s="2"/>
    </row>
    <row r="324" spans="2:16" ht="12" customHeight="1">
      <c r="B324" s="206" t="s">
        <v>235</v>
      </c>
      <c r="C324" s="201">
        <f>A!B839</f>
        <v>3022.7731715845357</v>
      </c>
      <c r="D324" s="201">
        <f>A!C839</f>
        <v>3062</v>
      </c>
      <c r="E324" s="201">
        <f>A!D839</f>
        <v>3061.7916666666665</v>
      </c>
      <c r="F324" s="201">
        <f>A!E839</f>
        <v>3131.8976563763549</v>
      </c>
      <c r="G324" s="201">
        <f>A!F839</f>
        <v>3091.5416666666665</v>
      </c>
      <c r="H324" s="201">
        <f>A!G839</f>
        <v>3144</v>
      </c>
      <c r="I324" s="35"/>
      <c r="J324" s="150">
        <f t="shared" si="33"/>
        <v>3022.7731715845357</v>
      </c>
      <c r="K324" s="201">
        <f t="shared" si="34"/>
        <v>3144</v>
      </c>
      <c r="L324" s="27">
        <f t="shared" si="35"/>
        <v>3.9287069623405529E-2</v>
      </c>
      <c r="N324" s="673">
        <f>A!H839</f>
        <v>0</v>
      </c>
      <c r="O324" s="2"/>
      <c r="P324" s="2"/>
    </row>
    <row r="325" spans="2:16" ht="12" customHeight="1">
      <c r="B325" s="206" t="s">
        <v>236</v>
      </c>
      <c r="C325" s="201">
        <f>A!B840</f>
        <v>3894.1232823866676</v>
      </c>
      <c r="D325" s="201">
        <f>A!C840</f>
        <v>3978.2083333333335</v>
      </c>
      <c r="E325" s="201">
        <f>A!D840</f>
        <v>3978.0833333333335</v>
      </c>
      <c r="F325" s="201">
        <f>A!E840</f>
        <v>4090.89168453414</v>
      </c>
      <c r="G325" s="201">
        <f>A!F840</f>
        <v>3934.625</v>
      </c>
      <c r="H325" s="201">
        <f>A!G840</f>
        <v>4043</v>
      </c>
      <c r="I325" s="35"/>
      <c r="J325" s="150">
        <f t="shared" si="33"/>
        <v>3894.1232823866676</v>
      </c>
      <c r="K325" s="201">
        <f t="shared" si="34"/>
        <v>4090.89168453414</v>
      </c>
      <c r="L325" s="27">
        <f t="shared" si="35"/>
        <v>4.9358827182188862E-2</v>
      </c>
      <c r="N325" s="673">
        <f>A!H840</f>
        <v>0</v>
      </c>
      <c r="O325" s="2"/>
      <c r="P325" s="2"/>
    </row>
    <row r="326" spans="2:16" ht="12" customHeight="1">
      <c r="B326" s="206" t="s">
        <v>274</v>
      </c>
      <c r="C326" s="201">
        <f t="shared" ref="C326:H326" si="37">C325-C324</f>
        <v>871.35011080213189</v>
      </c>
      <c r="D326" s="201">
        <f t="shared" si="37"/>
        <v>916.20833333333348</v>
      </c>
      <c r="E326" s="201">
        <f t="shared" si="37"/>
        <v>916.29166666666697</v>
      </c>
      <c r="F326" s="201">
        <f t="shared" si="37"/>
        <v>958.99402815778512</v>
      </c>
      <c r="G326" s="201">
        <f t="shared" si="37"/>
        <v>843.08333333333348</v>
      </c>
      <c r="H326" s="201">
        <f t="shared" si="37"/>
        <v>899</v>
      </c>
      <c r="I326" s="35"/>
      <c r="J326" s="150">
        <f t="shared" si="33"/>
        <v>843.08333333333348</v>
      </c>
      <c r="K326" s="201">
        <f t="shared" si="34"/>
        <v>958.99402815778512</v>
      </c>
      <c r="L326" s="27">
        <f t="shared" si="35"/>
        <v>0.12867224814982245</v>
      </c>
      <c r="N326" s="673">
        <f>N325-N324</f>
        <v>0</v>
      </c>
      <c r="O326" s="2"/>
      <c r="P326" s="2"/>
    </row>
    <row r="327" spans="2:16" ht="12" customHeight="1">
      <c r="B327" s="31" t="s">
        <v>238</v>
      </c>
      <c r="C327" s="201"/>
      <c r="D327" s="201"/>
      <c r="E327" s="201"/>
      <c r="F327" s="120"/>
      <c r="G327" s="201"/>
      <c r="H327" s="201"/>
      <c r="I327" s="35"/>
      <c r="J327" s="150"/>
      <c r="K327" s="201"/>
      <c r="L327" s="27"/>
      <c r="N327" s="673"/>
      <c r="O327" s="2"/>
      <c r="P327" s="2"/>
    </row>
    <row r="328" spans="2:16" ht="12" customHeight="1">
      <c r="B328" s="206" t="s">
        <v>233</v>
      </c>
      <c r="C328" s="201">
        <f>A!B850</f>
        <v>3014.618966660435</v>
      </c>
      <c r="D328" s="201">
        <f>A!C850</f>
        <v>3119.8333333333335</v>
      </c>
      <c r="E328" s="201">
        <f>A!D850</f>
        <v>3119.6666666666665</v>
      </c>
      <c r="F328" s="201"/>
      <c r="G328" s="201">
        <f>A!F850</f>
        <v>3020.0416666666665</v>
      </c>
      <c r="H328" s="201">
        <f>A!G850</f>
        <v>3159</v>
      </c>
      <c r="I328" s="35"/>
      <c r="J328" s="150">
        <f t="shared" ref="J328:J333" si="38">MINA(C328:I328)</f>
        <v>3014.618966660435</v>
      </c>
      <c r="K328" s="201">
        <f t="shared" ref="K328:K333" si="39">MAXA(C328:I328)</f>
        <v>3159</v>
      </c>
      <c r="L328" s="27">
        <f t="shared" ref="L328:L333" si="40">(K328-J328)/AVERAGE(C328:I328)</f>
        <v>4.6776236174131978E-2</v>
      </c>
      <c r="N328" s="673">
        <f>A!H850</f>
        <v>0</v>
      </c>
    </row>
    <row r="329" spans="2:16" ht="12" customHeight="1">
      <c r="B329" s="206" t="s">
        <v>234</v>
      </c>
      <c r="C329" s="201">
        <f>A!B851</f>
        <v>4083.8828856110517</v>
      </c>
      <c r="D329" s="201">
        <f>A!C851</f>
        <v>4263.541666666667</v>
      </c>
      <c r="E329" s="201">
        <f>A!D851</f>
        <v>4263.416666666667</v>
      </c>
      <c r="F329" s="201"/>
      <c r="G329" s="201">
        <f>A!F851</f>
        <v>4105.958333333333</v>
      </c>
      <c r="H329" s="201">
        <f>A!G851</f>
        <v>4239</v>
      </c>
      <c r="I329" s="35"/>
      <c r="J329" s="150">
        <f t="shared" si="38"/>
        <v>4083.8828856110517</v>
      </c>
      <c r="K329" s="201">
        <f t="shared" si="39"/>
        <v>4263.541666666667</v>
      </c>
      <c r="L329" s="27">
        <f t="shared" si="40"/>
        <v>4.2866124150363866E-2</v>
      </c>
      <c r="N329" s="673">
        <f>A!H851</f>
        <v>0</v>
      </c>
    </row>
    <row r="330" spans="2:16" ht="12" customHeight="1">
      <c r="B330" s="206" t="s">
        <v>352</v>
      </c>
      <c r="C330" s="201">
        <f>C329-C328</f>
        <v>1069.2639189506167</v>
      </c>
      <c r="D330" s="201">
        <f>D329-D328</f>
        <v>1143.7083333333335</v>
      </c>
      <c r="E330" s="201">
        <f>E329-E328</f>
        <v>1143.7500000000005</v>
      </c>
      <c r="F330" s="201"/>
      <c r="G330" s="201">
        <f>G329-G328</f>
        <v>1085.9166666666665</v>
      </c>
      <c r="H330" s="201">
        <f>H329-H328</f>
        <v>1080</v>
      </c>
      <c r="I330" s="35"/>
      <c r="J330" s="150">
        <f t="shared" si="38"/>
        <v>1069.2639189506167</v>
      </c>
      <c r="K330" s="201">
        <f t="shared" si="39"/>
        <v>1143.7500000000005</v>
      </c>
      <c r="L330" s="27">
        <f t="shared" si="40"/>
        <v>6.7437037023902704E-2</v>
      </c>
      <c r="N330" s="673">
        <f>N329-N328</f>
        <v>0</v>
      </c>
    </row>
    <row r="331" spans="2:16" ht="12" customHeight="1">
      <c r="B331" s="206" t="s">
        <v>235</v>
      </c>
      <c r="C331" s="201">
        <f>A!B859</f>
        <v>2311.4724457669786</v>
      </c>
      <c r="D331" s="201">
        <f>A!C859</f>
        <v>2390.041666666667</v>
      </c>
      <c r="E331" s="201">
        <f>A!D859</f>
        <v>2389.9166666666665</v>
      </c>
      <c r="F331" s="201"/>
      <c r="G331" s="201">
        <f>A!F859</f>
        <v>2378.4583333333335</v>
      </c>
      <c r="H331" s="201">
        <f>A!G859</f>
        <v>2411</v>
      </c>
      <c r="I331" s="35"/>
      <c r="J331" s="150">
        <f t="shared" si="38"/>
        <v>2311.4724457669786</v>
      </c>
      <c r="K331" s="201">
        <f t="shared" si="39"/>
        <v>2411</v>
      </c>
      <c r="L331" s="27">
        <f t="shared" si="40"/>
        <v>4.1885566514068107E-2</v>
      </c>
      <c r="N331" s="673">
        <f>A!H859</f>
        <v>0</v>
      </c>
    </row>
    <row r="332" spans="2:16" ht="12" customHeight="1">
      <c r="B332" s="206" t="s">
        <v>236</v>
      </c>
      <c r="C332" s="201">
        <f>A!B860</f>
        <v>3118.0954458757819</v>
      </c>
      <c r="D332" s="201">
        <f>A!C860</f>
        <v>3243</v>
      </c>
      <c r="E332" s="201">
        <f>A!D860</f>
        <v>3242.9583333333335</v>
      </c>
      <c r="F332" s="201"/>
      <c r="G332" s="201">
        <f>A!F860</f>
        <v>3165.5833333333335</v>
      </c>
      <c r="H332" s="201">
        <f>A!G860</f>
        <v>3248</v>
      </c>
      <c r="I332" s="35"/>
      <c r="J332" s="150">
        <f t="shared" si="38"/>
        <v>3118.0954458757819</v>
      </c>
      <c r="K332" s="201">
        <f t="shared" si="39"/>
        <v>3248</v>
      </c>
      <c r="L332" s="27">
        <f t="shared" si="40"/>
        <v>4.0550473584676734E-2</v>
      </c>
      <c r="N332" s="673">
        <f>A!H860</f>
        <v>0</v>
      </c>
    </row>
    <row r="333" spans="2:16" ht="12" customHeight="1">
      <c r="B333" s="206" t="s">
        <v>274</v>
      </c>
      <c r="C333" s="201">
        <f>C332-C331</f>
        <v>806.62300010880335</v>
      </c>
      <c r="D333" s="201">
        <f>D332-D331</f>
        <v>852.95833333333303</v>
      </c>
      <c r="E333" s="201">
        <f>E332-E331</f>
        <v>853.04166666666697</v>
      </c>
      <c r="F333" s="201"/>
      <c r="G333" s="201">
        <f>G332-G331</f>
        <v>787.125</v>
      </c>
      <c r="H333" s="201">
        <f>H332-H331</f>
        <v>837</v>
      </c>
      <c r="I333" s="35"/>
      <c r="J333" s="150">
        <f t="shared" si="38"/>
        <v>787.125</v>
      </c>
      <c r="K333" s="201">
        <f t="shared" si="39"/>
        <v>853.04166666666697</v>
      </c>
      <c r="L333" s="27">
        <f t="shared" si="40"/>
        <v>7.9672083802220059E-2</v>
      </c>
      <c r="N333" s="673">
        <f>N332-N331</f>
        <v>0</v>
      </c>
    </row>
    <row r="334" spans="2:16" ht="12" customHeight="1">
      <c r="B334" s="31" t="s">
        <v>239</v>
      </c>
      <c r="C334" s="201"/>
      <c r="D334" s="201"/>
      <c r="E334" s="201"/>
      <c r="F334" s="201"/>
      <c r="G334" s="201"/>
      <c r="H334" s="201"/>
      <c r="I334" s="35"/>
      <c r="J334" s="150"/>
      <c r="K334" s="201"/>
      <c r="L334" s="27"/>
      <c r="N334" s="673"/>
      <c r="O334" s="2"/>
      <c r="P334" s="2"/>
    </row>
    <row r="335" spans="2:16" ht="12" customHeight="1">
      <c r="B335" s="206" t="s">
        <v>233</v>
      </c>
      <c r="C335" s="201">
        <f>A!B870</f>
        <v>376.076193513845</v>
      </c>
      <c r="D335" s="201">
        <f>A!C870</f>
        <v>389.125</v>
      </c>
      <c r="E335" s="201">
        <f>A!D870</f>
        <v>389.08333333333331</v>
      </c>
      <c r="F335" s="201"/>
      <c r="G335" s="201">
        <f>A!F870</f>
        <v>377.25</v>
      </c>
      <c r="H335" s="201">
        <f>A!G870</f>
        <v>391</v>
      </c>
      <c r="I335" s="35"/>
      <c r="J335" s="150">
        <f t="shared" ref="J335:J340" si="41">MINA(C335:I335)</f>
        <v>376.076193513845</v>
      </c>
      <c r="K335" s="201">
        <f t="shared" ref="K335:K340" si="42">MAXA(C335:I335)</f>
        <v>391</v>
      </c>
      <c r="L335" s="27">
        <f t="shared" ref="L335:L340" si="43">(K335-J335)/AVERAGE(C335:I335)</f>
        <v>3.8812843872897816E-2</v>
      </c>
      <c r="N335" s="673">
        <f>A!H870</f>
        <v>0</v>
      </c>
      <c r="O335" s="2"/>
      <c r="P335" s="2"/>
    </row>
    <row r="336" spans="2:16" ht="12" customHeight="1">
      <c r="B336" s="206" t="s">
        <v>234</v>
      </c>
      <c r="C336" s="201">
        <f>A!B871</f>
        <v>411.49462555151172</v>
      </c>
      <c r="D336" s="201">
        <f>A!C871</f>
        <v>426.33333333333331</v>
      </c>
      <c r="E336" s="201">
        <f>A!D871</f>
        <v>426.33333333333331</v>
      </c>
      <c r="F336" s="201"/>
      <c r="G336" s="201">
        <f>A!F871</f>
        <v>411.33333333333331</v>
      </c>
      <c r="H336" s="201">
        <f>A!G871</f>
        <v>424</v>
      </c>
      <c r="I336" s="35"/>
      <c r="J336" s="150">
        <f t="shared" si="41"/>
        <v>411.33333333333331</v>
      </c>
      <c r="K336" s="201">
        <f t="shared" si="42"/>
        <v>426.33333333333331</v>
      </c>
      <c r="L336" s="27">
        <f t="shared" si="43"/>
        <v>3.5722882586707465E-2</v>
      </c>
      <c r="N336" s="673">
        <f>A!H871</f>
        <v>0</v>
      </c>
      <c r="O336" s="2"/>
      <c r="P336" s="2"/>
    </row>
    <row r="337" spans="2:16" ht="12" customHeight="1">
      <c r="B337" s="206" t="s">
        <v>352</v>
      </c>
      <c r="C337" s="201">
        <f>C336-C335</f>
        <v>35.418432037666719</v>
      </c>
      <c r="D337" s="201">
        <f>D336-D335</f>
        <v>37.208333333333314</v>
      </c>
      <c r="E337" s="201">
        <f>E336-E335</f>
        <v>37.25</v>
      </c>
      <c r="F337" s="201"/>
      <c r="G337" s="201">
        <f>G336-G335</f>
        <v>34.083333333333314</v>
      </c>
      <c r="H337" s="201">
        <f>H336-H335</f>
        <v>33</v>
      </c>
      <c r="I337" s="35"/>
      <c r="J337" s="150">
        <f t="shared" si="41"/>
        <v>33</v>
      </c>
      <c r="K337" s="201">
        <f t="shared" si="42"/>
        <v>37.25</v>
      </c>
      <c r="L337" s="27">
        <f t="shared" si="43"/>
        <v>0.12008356773978017</v>
      </c>
      <c r="N337" s="673">
        <f>N336-N335</f>
        <v>0</v>
      </c>
      <c r="O337" s="2"/>
      <c r="P337" s="2"/>
    </row>
    <row r="338" spans="2:16" ht="12" customHeight="1">
      <c r="B338" s="206" t="s">
        <v>235</v>
      </c>
      <c r="C338" s="201">
        <f>A!B879</f>
        <v>304.56246547436837</v>
      </c>
      <c r="D338" s="201">
        <f>A!C879</f>
        <v>311.16666666666669</v>
      </c>
      <c r="E338" s="201">
        <f>A!D879</f>
        <v>311.125</v>
      </c>
      <c r="F338" s="201"/>
      <c r="G338" s="201">
        <f>A!F879</f>
        <v>305.33333333333331</v>
      </c>
      <c r="H338" s="201">
        <f>A!G879</f>
        <v>314</v>
      </c>
      <c r="I338" s="35"/>
      <c r="J338" s="150">
        <f t="shared" si="41"/>
        <v>304.56246547436837</v>
      </c>
      <c r="K338" s="201">
        <f t="shared" si="42"/>
        <v>314</v>
      </c>
      <c r="L338" s="27">
        <f t="shared" si="43"/>
        <v>3.0518726662734294E-2</v>
      </c>
      <c r="N338" s="673">
        <f>A!H879</f>
        <v>0</v>
      </c>
      <c r="O338" s="2"/>
      <c r="P338" s="2"/>
    </row>
    <row r="339" spans="2:16" ht="12" customHeight="1">
      <c r="B339" s="206" t="s">
        <v>236</v>
      </c>
      <c r="C339" s="201">
        <f>A!B880</f>
        <v>332.27711231819677</v>
      </c>
      <c r="D339" s="201">
        <f>A!C880</f>
        <v>339.625</v>
      </c>
      <c r="E339" s="201">
        <f>A!D880</f>
        <v>339.625</v>
      </c>
      <c r="F339" s="201"/>
      <c r="G339" s="201">
        <f>A!F880</f>
        <v>329.25</v>
      </c>
      <c r="H339" s="201">
        <f>A!G880</f>
        <v>340</v>
      </c>
      <c r="I339" s="35"/>
      <c r="J339" s="150">
        <f t="shared" si="41"/>
        <v>329.25</v>
      </c>
      <c r="K339" s="201">
        <f t="shared" si="42"/>
        <v>340</v>
      </c>
      <c r="L339" s="27">
        <f t="shared" si="43"/>
        <v>3.197925507556787E-2</v>
      </c>
      <c r="N339" s="673">
        <f>A!H880</f>
        <v>0</v>
      </c>
      <c r="O339" s="2"/>
      <c r="P339" s="2"/>
    </row>
    <row r="340" spans="2:16" ht="12" customHeight="1">
      <c r="B340" s="206" t="s">
        <v>274</v>
      </c>
      <c r="C340" s="201">
        <f>C339-C338</f>
        <v>27.714646843828405</v>
      </c>
      <c r="D340" s="201">
        <f>D339-D338</f>
        <v>28.458333333333314</v>
      </c>
      <c r="E340" s="201">
        <f>E339-E338</f>
        <v>28.5</v>
      </c>
      <c r="F340" s="201"/>
      <c r="G340" s="201">
        <f>G339-G338</f>
        <v>23.916666666666686</v>
      </c>
      <c r="H340" s="201">
        <f>H339-H338</f>
        <v>26</v>
      </c>
      <c r="I340" s="120"/>
      <c r="J340" s="150">
        <f t="shared" si="41"/>
        <v>23.916666666666686</v>
      </c>
      <c r="K340" s="201">
        <f t="shared" si="42"/>
        <v>28.5</v>
      </c>
      <c r="L340" s="27">
        <f t="shared" si="43"/>
        <v>0.17027065011366002</v>
      </c>
      <c r="N340" s="673">
        <f>N339-N338</f>
        <v>0</v>
      </c>
      <c r="O340" s="2"/>
      <c r="P340" s="2"/>
    </row>
    <row r="341" spans="2:16" ht="12" customHeight="1">
      <c r="B341" s="31" t="s">
        <v>273</v>
      </c>
      <c r="C341" s="2"/>
      <c r="D341" s="15"/>
      <c r="E341" s="15"/>
      <c r="F341" s="15"/>
      <c r="G341" s="15"/>
      <c r="H341" s="15"/>
      <c r="I341" s="59"/>
      <c r="J341" s="203"/>
      <c r="K341" s="59"/>
      <c r="L341" s="23"/>
      <c r="N341" s="673"/>
      <c r="O341" s="2"/>
      <c r="P341" s="2"/>
    </row>
    <row r="342" spans="2:16" ht="12" customHeight="1">
      <c r="B342" s="206" t="s">
        <v>233</v>
      </c>
      <c r="C342" s="201">
        <f>A!B890</f>
        <v>502.2436906926834</v>
      </c>
      <c r="D342" s="201">
        <f>A!C890</f>
        <v>466.5</v>
      </c>
      <c r="E342" s="201">
        <f>A!D890</f>
        <v>466.41666666666669</v>
      </c>
      <c r="F342" s="201">
        <f>A!E890</f>
        <v>517.88842166801089</v>
      </c>
      <c r="G342" s="201">
        <f>A!F890</f>
        <v>503.75</v>
      </c>
      <c r="H342" s="201">
        <f>A!G890</f>
        <v>522</v>
      </c>
      <c r="I342" s="35"/>
      <c r="J342" s="150">
        <f t="shared" ref="J342:J347" si="44">MINA(C342:I342)</f>
        <v>466.41666666666669</v>
      </c>
      <c r="K342" s="201">
        <f t="shared" ref="K342:K347" si="45">MAXA(C342:I342)</f>
        <v>522</v>
      </c>
      <c r="L342" s="27">
        <f t="shared" ref="L342:L347" si="46">(K342-J342)/AVERAGE(C342:I342)</f>
        <v>0.1119578812600744</v>
      </c>
      <c r="N342" s="673">
        <f>A!H890</f>
        <v>0</v>
      </c>
      <c r="O342" s="2"/>
      <c r="P342" s="2"/>
    </row>
    <row r="343" spans="2:16" ht="12" customHeight="1">
      <c r="B343" s="206" t="s">
        <v>234</v>
      </c>
      <c r="C343" s="201">
        <f>A!B891</f>
        <v>549.54443541395437</v>
      </c>
      <c r="D343" s="201">
        <f>A!C891</f>
        <v>514.45833333333337</v>
      </c>
      <c r="E343" s="201">
        <f>A!D891</f>
        <v>514.33333333333337</v>
      </c>
      <c r="F343" s="201">
        <f>A!E891</f>
        <v>566.59605070586565</v>
      </c>
      <c r="G343" s="201">
        <f>A!F891</f>
        <v>549.20833333333337</v>
      </c>
      <c r="H343" s="201">
        <f>A!G891</f>
        <v>566</v>
      </c>
      <c r="I343" s="35"/>
      <c r="J343" s="150">
        <f t="shared" si="44"/>
        <v>514.33333333333337</v>
      </c>
      <c r="K343" s="201">
        <f t="shared" si="45"/>
        <v>566.59605070586565</v>
      </c>
      <c r="L343" s="27">
        <f t="shared" si="46"/>
        <v>9.6184905396027393E-2</v>
      </c>
      <c r="N343" s="673">
        <f>A!H891</f>
        <v>0</v>
      </c>
      <c r="O343" s="2"/>
      <c r="P343" s="15"/>
    </row>
    <row r="344" spans="2:16" ht="12" customHeight="1">
      <c r="B344" s="206" t="s">
        <v>352</v>
      </c>
      <c r="C344" s="201">
        <f t="shared" ref="C344:H344" si="47">C343-C342</f>
        <v>47.300744721270974</v>
      </c>
      <c r="D344" s="201">
        <f t="shared" si="47"/>
        <v>47.958333333333371</v>
      </c>
      <c r="E344" s="201">
        <f t="shared" si="47"/>
        <v>47.916666666666686</v>
      </c>
      <c r="F344" s="201">
        <f t="shared" si="47"/>
        <v>48.707629037854758</v>
      </c>
      <c r="G344" s="201">
        <f t="shared" si="47"/>
        <v>45.458333333333371</v>
      </c>
      <c r="H344" s="201">
        <f t="shared" si="47"/>
        <v>44</v>
      </c>
      <c r="I344" s="35"/>
      <c r="J344" s="150">
        <f t="shared" si="44"/>
        <v>44</v>
      </c>
      <c r="K344" s="201">
        <f t="shared" si="45"/>
        <v>48.707629037854758</v>
      </c>
      <c r="L344" s="27">
        <f t="shared" si="46"/>
        <v>0.10039668316168265</v>
      </c>
      <c r="N344" s="673">
        <f>N343-N342</f>
        <v>0</v>
      </c>
      <c r="O344" s="2"/>
      <c r="P344" s="15"/>
    </row>
    <row r="345" spans="2:16" ht="12" customHeight="1">
      <c r="B345" s="206" t="s">
        <v>235</v>
      </c>
      <c r="C345" s="201">
        <f>A!B899</f>
        <v>406.73826034318864</v>
      </c>
      <c r="D345" s="201">
        <f>A!C899</f>
        <v>360.79166666666669</v>
      </c>
      <c r="E345" s="201">
        <f>A!D899</f>
        <v>360.75</v>
      </c>
      <c r="F345" s="201">
        <f>A!E899</f>
        <v>415.87705906501475</v>
      </c>
      <c r="G345" s="201">
        <f>A!F899</f>
        <v>407.75</v>
      </c>
      <c r="H345" s="201">
        <f>A!G899</f>
        <v>419</v>
      </c>
      <c r="I345" s="35"/>
      <c r="J345" s="150">
        <f t="shared" si="44"/>
        <v>360.75</v>
      </c>
      <c r="K345" s="201">
        <f t="shared" si="45"/>
        <v>419</v>
      </c>
      <c r="L345" s="27">
        <f t="shared" si="46"/>
        <v>0.14741194068461161</v>
      </c>
      <c r="N345" s="673">
        <f>A!H899</f>
        <v>0</v>
      </c>
      <c r="O345" s="2"/>
      <c r="P345" s="15"/>
    </row>
    <row r="346" spans="2:16" ht="12" customHeight="1">
      <c r="B346" s="206" t="s">
        <v>236</v>
      </c>
      <c r="C346" s="201">
        <f>A!B900</f>
        <v>443.75072419268855</v>
      </c>
      <c r="D346" s="201">
        <f>A!C900</f>
        <v>395.58333333333331</v>
      </c>
      <c r="E346" s="201">
        <f>A!D900</f>
        <v>395.5</v>
      </c>
      <c r="F346" s="201">
        <f>A!E900</f>
        <v>458.19253539673741</v>
      </c>
      <c r="G346" s="201">
        <f>A!F900</f>
        <v>439.79166666666669</v>
      </c>
      <c r="H346" s="201">
        <f>A!G900</f>
        <v>454</v>
      </c>
      <c r="I346" s="35"/>
      <c r="J346" s="150">
        <f t="shared" si="44"/>
        <v>395.5</v>
      </c>
      <c r="K346" s="201">
        <f t="shared" si="45"/>
        <v>458.19253539673741</v>
      </c>
      <c r="L346" s="27">
        <f t="shared" si="46"/>
        <v>0.14541230756586937</v>
      </c>
      <c r="N346" s="673">
        <f>A!H900</f>
        <v>0</v>
      </c>
      <c r="O346" s="2"/>
      <c r="P346" s="15"/>
    </row>
    <row r="347" spans="2:16" ht="12" customHeight="1">
      <c r="B347" s="206" t="s">
        <v>274</v>
      </c>
      <c r="C347" s="354">
        <f t="shared" ref="C347:H347" si="48">C346-C345</f>
        <v>37.012463849499909</v>
      </c>
      <c r="D347" s="355">
        <f t="shared" si="48"/>
        <v>34.791666666666629</v>
      </c>
      <c r="E347" s="355">
        <f t="shared" si="48"/>
        <v>34.75</v>
      </c>
      <c r="F347" s="355">
        <f t="shared" si="48"/>
        <v>42.315476331722664</v>
      </c>
      <c r="G347" s="355">
        <f t="shared" si="48"/>
        <v>32.041666666666686</v>
      </c>
      <c r="H347" s="355">
        <f t="shared" si="48"/>
        <v>35</v>
      </c>
      <c r="I347" s="356"/>
      <c r="J347" s="354">
        <f t="shared" si="44"/>
        <v>32.041666666666686</v>
      </c>
      <c r="K347" s="355">
        <f t="shared" si="45"/>
        <v>42.315476331722664</v>
      </c>
      <c r="L347" s="357">
        <f t="shared" si="46"/>
        <v>0.2855008772211246</v>
      </c>
      <c r="N347" s="673">
        <f>N346-N345</f>
        <v>0</v>
      </c>
      <c r="O347" s="2"/>
      <c r="P347" s="15"/>
    </row>
    <row r="348" spans="2:16" ht="12" customHeight="1">
      <c r="B348" s="208" t="s">
        <v>247</v>
      </c>
      <c r="C348" s="200"/>
      <c r="D348" s="201"/>
      <c r="E348" s="200"/>
      <c r="F348" s="200"/>
      <c r="G348" s="200"/>
      <c r="H348" s="200"/>
      <c r="I348" s="34"/>
      <c r="J348" s="150"/>
      <c r="K348" s="201"/>
      <c r="L348" s="27"/>
      <c r="N348" s="673"/>
    </row>
    <row r="349" spans="2:16" ht="12" customHeight="1">
      <c r="B349" s="206" t="s">
        <v>233</v>
      </c>
      <c r="C349" s="201">
        <f>A!B910</f>
        <v>13185.687083333332</v>
      </c>
      <c r="D349" s="201">
        <f>A!C910</f>
        <v>13732.699787500002</v>
      </c>
      <c r="E349" s="201">
        <f>A!D910</f>
        <v>13732.907400000002</v>
      </c>
      <c r="F349" s="201">
        <f>A!E910</f>
        <v>13653.763338976147</v>
      </c>
      <c r="G349" s="201">
        <f>A!F910</f>
        <v>13169.541666666666</v>
      </c>
      <c r="H349" s="201">
        <f>A!G910</f>
        <v>13673</v>
      </c>
      <c r="I349" s="35"/>
      <c r="J349" s="150">
        <f t="shared" ref="J349:J354" si="49">MINA(C349:I349)</f>
        <v>13169.541666666666</v>
      </c>
      <c r="K349" s="201">
        <f t="shared" ref="K349:K354" si="50">MAXA(C349:I349)</f>
        <v>13732.907400000002</v>
      </c>
      <c r="L349" s="27">
        <f t="shared" ref="L349:L354" si="51">(K349-J349)/AVERAGE(C349:I349)</f>
        <v>4.1654890965824275E-2</v>
      </c>
      <c r="N349" s="673">
        <f>A!H910</f>
        <v>0</v>
      </c>
    </row>
    <row r="350" spans="2:16" ht="12" customHeight="1">
      <c r="B350" s="206" t="s">
        <v>234</v>
      </c>
      <c r="C350" s="201">
        <f>A!B911</f>
        <v>13188.050416666667</v>
      </c>
      <c r="D350" s="201">
        <f>A!C911</f>
        <v>13837.531887500001</v>
      </c>
      <c r="E350" s="201">
        <f>A!D911</f>
        <v>13837.385337500002</v>
      </c>
      <c r="F350" s="201">
        <f>A!E911</f>
        <v>13734.007060097918</v>
      </c>
      <c r="G350" s="201">
        <f>A!F911</f>
        <v>13198.083333333334</v>
      </c>
      <c r="H350" s="201">
        <f>A!G911</f>
        <v>13727</v>
      </c>
      <c r="I350" s="35"/>
      <c r="J350" s="150">
        <f t="shared" si="49"/>
        <v>13188.050416666667</v>
      </c>
      <c r="K350" s="201">
        <f t="shared" si="50"/>
        <v>13837.531887500001</v>
      </c>
      <c r="L350" s="27">
        <f t="shared" si="51"/>
        <v>4.780164925819546E-2</v>
      </c>
      <c r="N350" s="673">
        <f>A!H911</f>
        <v>0</v>
      </c>
    </row>
    <row r="351" spans="2:16" ht="12" customHeight="1">
      <c r="B351" s="206" t="s">
        <v>352</v>
      </c>
      <c r="C351" s="201">
        <f t="shared" ref="C351:H351" si="52">C350-C349</f>
        <v>2.3633333333345945</v>
      </c>
      <c r="D351" s="201">
        <f t="shared" si="52"/>
        <v>104.83209999999963</v>
      </c>
      <c r="E351" s="201">
        <f t="shared" si="52"/>
        <v>104.47793749999983</v>
      </c>
      <c r="F351" s="201">
        <f t="shared" si="52"/>
        <v>80.243721121771159</v>
      </c>
      <c r="G351" s="201">
        <f t="shared" si="52"/>
        <v>28.541666666667879</v>
      </c>
      <c r="H351" s="201">
        <f t="shared" si="52"/>
        <v>54</v>
      </c>
      <c r="I351" s="35"/>
      <c r="J351" s="150">
        <f t="shared" si="49"/>
        <v>2.3633333333345945</v>
      </c>
      <c r="K351" s="201">
        <f t="shared" si="50"/>
        <v>104.83209999999963</v>
      </c>
      <c r="L351" s="27">
        <f t="shared" si="51"/>
        <v>1.6418699946099795</v>
      </c>
      <c r="N351" s="673">
        <f>N350-N349</f>
        <v>0</v>
      </c>
    </row>
    <row r="352" spans="2:16" ht="12" customHeight="1">
      <c r="B352" s="206" t="s">
        <v>235</v>
      </c>
      <c r="C352" s="201">
        <f>A!B919</f>
        <v>9353.163333333332</v>
      </c>
      <c r="D352" s="201">
        <f>A!C919</f>
        <v>9721.1500000000015</v>
      </c>
      <c r="E352" s="201">
        <f>A!D919</f>
        <v>9721.3942500000012</v>
      </c>
      <c r="F352" s="201">
        <f>A!E919</f>
        <v>9778.7416308953834</v>
      </c>
      <c r="G352" s="201">
        <f>A!F919</f>
        <v>9365.4583333333339</v>
      </c>
      <c r="H352" s="201">
        <f>A!G919</f>
        <v>9798</v>
      </c>
      <c r="I352" s="35"/>
      <c r="J352" s="150">
        <f t="shared" si="49"/>
        <v>9353.163333333332</v>
      </c>
      <c r="K352" s="201">
        <f t="shared" si="50"/>
        <v>9798</v>
      </c>
      <c r="L352" s="27">
        <f t="shared" si="51"/>
        <v>4.6226476042648089E-2</v>
      </c>
      <c r="N352" s="673">
        <f>A!H919</f>
        <v>0</v>
      </c>
    </row>
    <row r="353" spans="2:16" ht="12" customHeight="1">
      <c r="B353" s="206" t="s">
        <v>236</v>
      </c>
      <c r="C353" s="201">
        <f>A!B920</f>
        <v>9376.2962500000012</v>
      </c>
      <c r="D353" s="201">
        <f>A!C920</f>
        <v>9760.7917750000015</v>
      </c>
      <c r="E353" s="201">
        <f>A!D920</f>
        <v>9760.6940750000012</v>
      </c>
      <c r="F353" s="201">
        <f>A!E920</f>
        <v>9843.2403264951936</v>
      </c>
      <c r="G353" s="201">
        <f>A!F920</f>
        <v>9387.625</v>
      </c>
      <c r="H353" s="201">
        <f>A!G920</f>
        <v>9834</v>
      </c>
      <c r="I353" s="35"/>
      <c r="J353" s="150">
        <f t="shared" si="49"/>
        <v>9376.2962500000012</v>
      </c>
      <c r="K353" s="201">
        <f t="shared" si="50"/>
        <v>9843.2403264951936</v>
      </c>
      <c r="L353" s="27">
        <f t="shared" si="51"/>
        <v>4.8335688298641974E-2</v>
      </c>
      <c r="N353" s="673">
        <f>A!H920</f>
        <v>0</v>
      </c>
    </row>
    <row r="354" spans="2:16" ht="12" customHeight="1">
      <c r="B354" s="206" t="s">
        <v>274</v>
      </c>
      <c r="C354" s="150">
        <f t="shared" ref="C354:H354" si="53">C353-C352</f>
        <v>23.132916666669189</v>
      </c>
      <c r="D354" s="201">
        <f t="shared" si="53"/>
        <v>39.641775000000052</v>
      </c>
      <c r="E354" s="201">
        <f t="shared" si="53"/>
        <v>39.299825000000055</v>
      </c>
      <c r="F354" s="201">
        <f t="shared" si="53"/>
        <v>64.498695599810162</v>
      </c>
      <c r="G354" s="201">
        <f t="shared" si="53"/>
        <v>22.16666666666606</v>
      </c>
      <c r="H354" s="201">
        <f t="shared" si="53"/>
        <v>36</v>
      </c>
      <c r="I354" s="35"/>
      <c r="J354" s="150">
        <f t="shared" si="49"/>
        <v>22.16666666666606</v>
      </c>
      <c r="K354" s="201">
        <f t="shared" si="50"/>
        <v>64.498695599810162</v>
      </c>
      <c r="L354" s="27">
        <f t="shared" si="51"/>
        <v>1.1301606764432801</v>
      </c>
      <c r="N354" s="673">
        <f>N353-N352</f>
        <v>0</v>
      </c>
    </row>
    <row r="355" spans="2:16" ht="12" customHeight="1">
      <c r="B355" s="31" t="s">
        <v>241</v>
      </c>
      <c r="C355" s="200"/>
      <c r="D355" s="201"/>
      <c r="E355" s="200"/>
      <c r="F355" s="200"/>
      <c r="G355" s="200"/>
      <c r="H355" s="200"/>
      <c r="I355" s="35"/>
      <c r="J355" s="150"/>
      <c r="K355" s="201"/>
      <c r="L355" s="27"/>
      <c r="N355" s="673"/>
      <c r="O355" s="2"/>
      <c r="P355" s="15"/>
    </row>
    <row r="356" spans="2:16" ht="12" customHeight="1">
      <c r="B356" s="206" t="s">
        <v>233</v>
      </c>
      <c r="C356" s="360">
        <f>A!B930</f>
        <v>9374.7970833333329</v>
      </c>
      <c r="D356" s="360">
        <f>A!C930</f>
        <v>9924.8178625000019</v>
      </c>
      <c r="E356" s="360">
        <f>A!D930</f>
        <v>9925.0254750000022</v>
      </c>
      <c r="F356" s="360">
        <f>A!E930</f>
        <v>9849.8338558795549</v>
      </c>
      <c r="G356" s="360">
        <f>A!F930</f>
        <v>9365.4583333333339</v>
      </c>
      <c r="H356" s="360">
        <f>A!G930</f>
        <v>9902</v>
      </c>
      <c r="I356" s="35"/>
      <c r="J356" s="150">
        <f t="shared" ref="J356:J361" si="54">MINA(C356:I356)</f>
        <v>9365.4583333333339</v>
      </c>
      <c r="K356" s="201">
        <f t="shared" ref="K356:K361" si="55">MAXA(C356:I356)</f>
        <v>9925.0254750000022</v>
      </c>
      <c r="L356" s="27">
        <f t="shared" ref="L356:L361" si="56">(K356-J356)/AVERAGE(C356:I356)</f>
        <v>5.7546994070982821E-2</v>
      </c>
      <c r="N356" s="676">
        <f>A!H930</f>
        <v>0</v>
      </c>
      <c r="O356" s="2"/>
      <c r="P356" s="15"/>
    </row>
    <row r="357" spans="2:16" ht="12" customHeight="1">
      <c r="B357" s="206" t="s">
        <v>234</v>
      </c>
      <c r="C357" s="360">
        <f>A!B931</f>
        <v>9377.6866666666665</v>
      </c>
      <c r="D357" s="360">
        <f>A!C931</f>
        <v>9981.2396125000014</v>
      </c>
      <c r="E357" s="360">
        <f>A!D931</f>
        <v>9981.0930625000019</v>
      </c>
      <c r="F357" s="360">
        <f>A!E931</f>
        <v>9923.7580169425255</v>
      </c>
      <c r="G357" s="360">
        <f>A!F931</f>
        <v>9387.625</v>
      </c>
      <c r="H357" s="360">
        <f>A!G931</f>
        <v>9946</v>
      </c>
      <c r="I357" s="35"/>
      <c r="J357" s="150">
        <f t="shared" si="54"/>
        <v>9377.6866666666665</v>
      </c>
      <c r="K357" s="201">
        <f t="shared" si="55"/>
        <v>9981.2396125000014</v>
      </c>
      <c r="L357" s="27">
        <f t="shared" si="56"/>
        <v>6.1799969439566144E-2</v>
      </c>
      <c r="N357" s="676">
        <f>A!H931</f>
        <v>0</v>
      </c>
      <c r="O357" s="2"/>
      <c r="P357" s="2"/>
    </row>
    <row r="358" spans="2:16" ht="12" customHeight="1">
      <c r="B358" s="206" t="s">
        <v>352</v>
      </c>
      <c r="C358" s="360">
        <f t="shared" ref="C358:H358" si="57">C357-C356</f>
        <v>2.8895833333335759</v>
      </c>
      <c r="D358" s="360">
        <f t="shared" si="57"/>
        <v>56.42174999999952</v>
      </c>
      <c r="E358" s="360">
        <f t="shared" si="57"/>
        <v>56.067587499999718</v>
      </c>
      <c r="F358" s="360">
        <f t="shared" si="57"/>
        <v>73.924161062970597</v>
      </c>
      <c r="G358" s="360">
        <f t="shared" si="57"/>
        <v>22.16666666666606</v>
      </c>
      <c r="H358" s="360">
        <f t="shared" si="57"/>
        <v>44</v>
      </c>
      <c r="I358" s="35"/>
      <c r="J358" s="150">
        <f t="shared" si="54"/>
        <v>2.8895833333335759</v>
      </c>
      <c r="K358" s="201">
        <f t="shared" si="55"/>
        <v>73.924161062970597</v>
      </c>
      <c r="L358" s="27">
        <f t="shared" si="56"/>
        <v>1.6683285155101968</v>
      </c>
      <c r="N358" s="360">
        <f>N357-N356</f>
        <v>0</v>
      </c>
      <c r="O358" s="2"/>
      <c r="P358" s="2"/>
    </row>
    <row r="359" spans="2:16" ht="12" customHeight="1">
      <c r="B359" s="206" t="s">
        <v>235</v>
      </c>
      <c r="C359" s="360">
        <f>A!B939</f>
        <v>9353.163333333332</v>
      </c>
      <c r="D359" s="360">
        <f>A!C939</f>
        <v>9721.1500000000015</v>
      </c>
      <c r="E359" s="360">
        <f>A!D939</f>
        <v>9721.3942500000012</v>
      </c>
      <c r="F359" s="360">
        <f>A!E939</f>
        <v>9778.7416308953834</v>
      </c>
      <c r="G359" s="360">
        <f>A!F939</f>
        <v>9365.4583333333339</v>
      </c>
      <c r="H359" s="360">
        <f>A!G939</f>
        <v>9798</v>
      </c>
      <c r="I359" s="35"/>
      <c r="J359" s="150">
        <f t="shared" si="54"/>
        <v>9353.163333333332</v>
      </c>
      <c r="K359" s="201">
        <f t="shared" si="55"/>
        <v>9798</v>
      </c>
      <c r="L359" s="27">
        <f t="shared" si="56"/>
        <v>4.6226476042648089E-2</v>
      </c>
      <c r="N359" s="676">
        <f>A!H939</f>
        <v>0</v>
      </c>
      <c r="O359" s="2"/>
      <c r="P359" s="2"/>
    </row>
    <row r="360" spans="2:16" ht="12" customHeight="1">
      <c r="B360" s="206" t="s">
        <v>236</v>
      </c>
      <c r="C360" s="360">
        <f>A!B940</f>
        <v>9376.2962500000012</v>
      </c>
      <c r="D360" s="360">
        <f>A!C940</f>
        <v>9760.7673500000019</v>
      </c>
      <c r="E360" s="360">
        <f>A!D940</f>
        <v>9760.6696500000016</v>
      </c>
      <c r="F360" s="360">
        <f>A!E940</f>
        <v>9843.2403264951936</v>
      </c>
      <c r="G360" s="360">
        <f>A!F940</f>
        <v>9387.625</v>
      </c>
      <c r="H360" s="360">
        <f>A!G940</f>
        <v>9834</v>
      </c>
      <c r="I360" s="35"/>
      <c r="J360" s="150">
        <f t="shared" si="54"/>
        <v>9376.2962500000012</v>
      </c>
      <c r="K360" s="201">
        <f t="shared" si="55"/>
        <v>9843.2403264951936</v>
      </c>
      <c r="L360" s="27">
        <f t="shared" si="56"/>
        <v>4.8335729035227822E-2</v>
      </c>
      <c r="N360" s="676">
        <f>A!H940</f>
        <v>0</v>
      </c>
      <c r="O360" s="2"/>
      <c r="P360" s="2"/>
    </row>
    <row r="361" spans="2:16" ht="12" customHeight="1">
      <c r="B361" s="206" t="s">
        <v>274</v>
      </c>
      <c r="C361" s="361">
        <f t="shared" ref="C361:H361" si="58">C360-C359</f>
        <v>23.132916666669189</v>
      </c>
      <c r="D361" s="360">
        <f t="shared" si="58"/>
        <v>39.617350000000442</v>
      </c>
      <c r="E361" s="360">
        <f t="shared" si="58"/>
        <v>39.275400000000445</v>
      </c>
      <c r="F361" s="360">
        <f t="shared" si="58"/>
        <v>64.498695599810162</v>
      </c>
      <c r="G361" s="360">
        <f t="shared" si="58"/>
        <v>22.16666666666606</v>
      </c>
      <c r="H361" s="360">
        <f t="shared" si="58"/>
        <v>36</v>
      </c>
      <c r="I361" s="35"/>
      <c r="J361" s="150">
        <f t="shared" si="54"/>
        <v>22.16666666666606</v>
      </c>
      <c r="K361" s="201">
        <f t="shared" si="55"/>
        <v>64.498695599810162</v>
      </c>
      <c r="L361" s="27">
        <f t="shared" si="56"/>
        <v>1.130406384290654</v>
      </c>
      <c r="N361" s="360">
        <f>N360-N359</f>
        <v>0</v>
      </c>
      <c r="O361" s="2"/>
      <c r="P361" s="2"/>
    </row>
    <row r="362" spans="2:16" ht="12" customHeight="1">
      <c r="B362" s="31" t="s">
        <v>242</v>
      </c>
      <c r="C362" s="360"/>
      <c r="D362" s="360"/>
      <c r="E362" s="360"/>
      <c r="F362" s="360"/>
      <c r="G362" s="360"/>
      <c r="H362" s="360"/>
      <c r="I362" s="34"/>
      <c r="J362" s="150"/>
      <c r="K362" s="201"/>
      <c r="L362" s="27"/>
      <c r="N362" s="673"/>
      <c r="O362" s="2"/>
      <c r="P362" s="2"/>
    </row>
    <row r="363" spans="2:16" ht="12" customHeight="1">
      <c r="B363" s="206" t="s">
        <v>233</v>
      </c>
      <c r="C363" s="360">
        <f>A!B950</f>
        <v>3810.89</v>
      </c>
      <c r="D363" s="360">
        <f>A!C950</f>
        <v>3807.8819250000001</v>
      </c>
      <c r="E363" s="360">
        <f>A!D950</f>
        <v>3807.8819250000001</v>
      </c>
      <c r="F363" s="360">
        <f>A!E950</f>
        <v>3803.929483096591</v>
      </c>
      <c r="G363" s="360">
        <f>A!F950</f>
        <v>3804.375</v>
      </c>
      <c r="H363" s="360">
        <f>A!G950</f>
        <v>3770</v>
      </c>
      <c r="I363" s="35"/>
      <c r="J363" s="361">
        <f t="shared" ref="J363:J368" si="59">MINA(C363:I363)</f>
        <v>3770</v>
      </c>
      <c r="K363" s="360">
        <f t="shared" ref="K363:K368" si="60">MAXA(C363:I363)</f>
        <v>3810.89</v>
      </c>
      <c r="L363" s="27">
        <f t="shared" ref="L363:L368" si="61">(K363-J363)/AVERAGE(C363:I363)</f>
        <v>1.0758186724855356E-2</v>
      </c>
      <c r="N363" s="676">
        <f>A!H950</f>
        <v>0</v>
      </c>
      <c r="O363" s="2"/>
      <c r="P363" s="13"/>
    </row>
    <row r="364" spans="2:16" ht="12" customHeight="1">
      <c r="B364" s="206" t="s">
        <v>234</v>
      </c>
      <c r="C364" s="360">
        <f>A!B951</f>
        <v>3810.36375</v>
      </c>
      <c r="D364" s="360">
        <f>A!C951</f>
        <v>3856.2922750000002</v>
      </c>
      <c r="E364" s="360">
        <f>A!D951</f>
        <v>3856.2922750000002</v>
      </c>
      <c r="F364" s="360">
        <f>A!E951</f>
        <v>3810.2490431553888</v>
      </c>
      <c r="G364" s="360">
        <f>A!F951</f>
        <v>3810.4166666666665</v>
      </c>
      <c r="H364" s="360">
        <f>A!G951</f>
        <v>3780</v>
      </c>
      <c r="I364" s="35"/>
      <c r="J364" s="361">
        <f t="shared" si="59"/>
        <v>3780</v>
      </c>
      <c r="K364" s="360">
        <f t="shared" si="60"/>
        <v>3856.2922750000002</v>
      </c>
      <c r="L364" s="27">
        <f t="shared" si="61"/>
        <v>1.9968651095061549E-2</v>
      </c>
      <c r="N364" s="676">
        <f>A!H951</f>
        <v>0</v>
      </c>
      <c r="O364" s="2"/>
      <c r="P364" s="13"/>
    </row>
    <row r="365" spans="2:16" ht="12" customHeight="1">
      <c r="B365" s="206" t="s">
        <v>352</v>
      </c>
      <c r="C365" s="360">
        <f t="shared" ref="C365:H365" si="62">C364-C363</f>
        <v>-0.52624999999989086</v>
      </c>
      <c r="D365" s="360">
        <f t="shared" si="62"/>
        <v>48.410350000000108</v>
      </c>
      <c r="E365" s="360">
        <f t="shared" si="62"/>
        <v>48.410350000000108</v>
      </c>
      <c r="F365" s="360">
        <f t="shared" si="62"/>
        <v>6.3195600587978333</v>
      </c>
      <c r="G365" s="360">
        <f t="shared" si="62"/>
        <v>6.0416666666665151</v>
      </c>
      <c r="H365" s="360">
        <f t="shared" si="62"/>
        <v>10</v>
      </c>
      <c r="I365" s="35"/>
      <c r="J365" s="361">
        <f t="shared" si="59"/>
        <v>-0.52624999999989086</v>
      </c>
      <c r="K365" s="360">
        <f t="shared" si="60"/>
        <v>48.410350000000108</v>
      </c>
      <c r="L365" s="27">
        <f t="shared" si="61"/>
        <v>2.4745516447506497</v>
      </c>
      <c r="N365" s="360">
        <f>N364-N363</f>
        <v>0</v>
      </c>
      <c r="O365" s="2"/>
      <c r="P365" s="13"/>
    </row>
    <row r="366" spans="2:16" ht="12" customHeight="1">
      <c r="B366" s="206" t="s">
        <v>235</v>
      </c>
      <c r="C366" s="360">
        <f>A!B959</f>
        <v>-5.4771024999999994E-13</v>
      </c>
      <c r="D366" s="360">
        <f>A!C959</f>
        <v>0</v>
      </c>
      <c r="E366" s="360">
        <f>A!D959</f>
        <v>0</v>
      </c>
      <c r="F366" s="360">
        <f>A!E959</f>
        <v>3.018175010327933E-13</v>
      </c>
      <c r="G366" s="360">
        <f>A!F959</f>
        <v>0</v>
      </c>
      <c r="H366" s="360">
        <f>A!G959</f>
        <v>0</v>
      </c>
      <c r="I366" s="35"/>
      <c r="J366" s="361">
        <f t="shared" si="59"/>
        <v>-5.4771024999999994E-13</v>
      </c>
      <c r="K366" s="360">
        <f t="shared" si="60"/>
        <v>3.018175010327933E-13</v>
      </c>
      <c r="L366" s="27">
        <f t="shared" si="61"/>
        <v>-20.729226573804095</v>
      </c>
      <c r="N366" s="676">
        <f>A!H959</f>
        <v>0</v>
      </c>
      <c r="O366" s="2"/>
      <c r="P366" s="13"/>
    </row>
    <row r="367" spans="2:16" ht="12" customHeight="1">
      <c r="B367" s="206" t="s">
        <v>236</v>
      </c>
      <c r="C367" s="360">
        <f>A!B960</f>
        <v>7.2904616666666638E-13</v>
      </c>
      <c r="D367" s="360">
        <f>A!C960</f>
        <v>2.4425000000000002E-2</v>
      </c>
      <c r="E367" s="360">
        <f>A!D960</f>
        <v>2.4425000000000002E-2</v>
      </c>
      <c r="F367" s="360">
        <f>A!E960</f>
        <v>3.5571348336007786E-13</v>
      </c>
      <c r="G367" s="360">
        <f>A!F960</f>
        <v>0</v>
      </c>
      <c r="H367" s="360">
        <f>A!G960</f>
        <v>0</v>
      </c>
      <c r="I367" s="35"/>
      <c r="J367" s="361">
        <f t="shared" si="59"/>
        <v>0</v>
      </c>
      <c r="K367" s="360">
        <f t="shared" si="60"/>
        <v>2.4425000000000002E-2</v>
      </c>
      <c r="L367" s="27">
        <f t="shared" si="61"/>
        <v>2.9999999999333826</v>
      </c>
      <c r="N367" s="676">
        <f>A!H960</f>
        <v>0</v>
      </c>
      <c r="O367" s="2"/>
      <c r="P367" s="13"/>
    </row>
    <row r="368" spans="2:16" ht="12" customHeight="1" thickBot="1">
      <c r="B368" s="206" t="s">
        <v>274</v>
      </c>
      <c r="C368" s="361">
        <f t="shared" ref="C368:H368" si="63">C367-C366</f>
        <v>1.2767564166666663E-12</v>
      </c>
      <c r="D368" s="167">
        <f t="shared" si="63"/>
        <v>2.4425000000000002E-2</v>
      </c>
      <c r="E368" s="167">
        <f t="shared" si="63"/>
        <v>2.4425000000000002E-2</v>
      </c>
      <c r="F368" s="167">
        <f t="shared" si="63"/>
        <v>5.3895982327284563E-14</v>
      </c>
      <c r="G368" s="360">
        <f t="shared" si="63"/>
        <v>0</v>
      </c>
      <c r="H368" s="360">
        <f t="shared" si="63"/>
        <v>0</v>
      </c>
      <c r="I368" s="35"/>
      <c r="J368" s="361">
        <f t="shared" si="59"/>
        <v>0</v>
      </c>
      <c r="K368" s="360">
        <f t="shared" si="60"/>
        <v>2.4425000000000002E-2</v>
      </c>
      <c r="L368" s="27">
        <f t="shared" si="61"/>
        <v>2.9999999999182814</v>
      </c>
      <c r="N368" s="360">
        <f>N367-N366</f>
        <v>0</v>
      </c>
      <c r="O368" s="2"/>
      <c r="P368" s="13"/>
    </row>
    <row r="369" spans="2:16" ht="12" customHeight="1" thickTop="1">
      <c r="B369" s="145"/>
      <c r="C369" s="601"/>
      <c r="D369" s="360"/>
      <c r="E369" s="32" t="s">
        <v>551</v>
      </c>
      <c r="F369" s="360"/>
      <c r="G369" s="601"/>
      <c r="H369" s="392"/>
      <c r="I369" s="33"/>
      <c r="J369" s="601"/>
      <c r="K369" s="601"/>
      <c r="L369" s="602"/>
      <c r="N369" s="673"/>
      <c r="O369" s="2"/>
      <c r="P369" s="13"/>
    </row>
    <row r="370" spans="2:16" ht="18.75" customHeight="1" thickBot="1">
      <c r="B370" s="58" t="s">
        <v>351</v>
      </c>
      <c r="C370" s="167"/>
      <c r="D370" s="167"/>
      <c r="E370" s="167"/>
      <c r="F370" s="167"/>
      <c r="G370" s="167"/>
      <c r="H370" s="202"/>
      <c r="I370" s="28"/>
      <c r="J370" s="167"/>
      <c r="K370" s="167"/>
      <c r="L370" s="603"/>
      <c r="N370" s="673"/>
      <c r="O370" s="2"/>
      <c r="P370" s="13"/>
    </row>
    <row r="371" spans="2:16" ht="12" customHeight="1" thickTop="1">
      <c r="B371" s="204"/>
      <c r="C371" s="144"/>
      <c r="D371" s="145"/>
      <c r="E371" s="144"/>
      <c r="F371" s="145"/>
      <c r="G371" s="145"/>
      <c r="H371" s="145"/>
      <c r="I371" s="20"/>
      <c r="J371" s="147" t="s">
        <v>24</v>
      </c>
      <c r="K371" s="144"/>
      <c r="L371" s="146"/>
      <c r="N371" s="673"/>
      <c r="O371" s="2"/>
      <c r="P371" s="13"/>
    </row>
    <row r="372" spans="2:16" ht="12" customHeight="1">
      <c r="B372" s="170"/>
      <c r="C372" s="205" t="s">
        <v>245</v>
      </c>
      <c r="D372" s="22" t="s">
        <v>536</v>
      </c>
      <c r="E372" s="205" t="s">
        <v>258</v>
      </c>
      <c r="F372" s="352" t="s">
        <v>433</v>
      </c>
      <c r="G372" s="436" t="s">
        <v>469</v>
      </c>
      <c r="H372" s="437" t="s">
        <v>482</v>
      </c>
      <c r="I372" s="59"/>
      <c r="J372" s="148"/>
      <c r="K372" s="200"/>
      <c r="L372" s="23" t="s">
        <v>25</v>
      </c>
      <c r="N372" s="673" t="s">
        <v>519</v>
      </c>
      <c r="O372" s="2"/>
      <c r="P372" s="13"/>
    </row>
    <row r="373" spans="2:16" ht="12" customHeight="1">
      <c r="B373" s="171"/>
      <c r="C373" s="24" t="s">
        <v>26</v>
      </c>
      <c r="D373" s="24" t="s">
        <v>13</v>
      </c>
      <c r="E373" s="24" t="s">
        <v>13</v>
      </c>
      <c r="F373" s="353" t="s">
        <v>434</v>
      </c>
      <c r="G373" s="353" t="s">
        <v>452</v>
      </c>
      <c r="H373" s="353" t="s">
        <v>483</v>
      </c>
      <c r="I373" s="24"/>
      <c r="J373" s="149" t="s">
        <v>27</v>
      </c>
      <c r="K373" s="24" t="s">
        <v>28</v>
      </c>
      <c r="L373" s="25" t="s">
        <v>259</v>
      </c>
      <c r="N373" s="673" t="s">
        <v>520</v>
      </c>
      <c r="O373" s="2"/>
      <c r="P373" s="13"/>
    </row>
    <row r="374" spans="2:16" ht="12" customHeight="1">
      <c r="B374" s="31" t="s">
        <v>243</v>
      </c>
      <c r="I374" s="35"/>
      <c r="J374" s="150"/>
      <c r="K374" s="201"/>
      <c r="L374" s="27"/>
      <c r="N374" s="673"/>
      <c r="O374" s="2"/>
      <c r="P374" s="13"/>
    </row>
    <row r="375" spans="2:16" ht="12" customHeight="1">
      <c r="B375" s="206" t="s">
        <v>233</v>
      </c>
      <c r="C375" s="210">
        <f>A!B970</f>
        <v>1.0675479166666666E-2</v>
      </c>
      <c r="D375" s="210">
        <f>A!C970</f>
        <v>1.0999999999999999E-2</v>
      </c>
      <c r="E375" s="210">
        <f>A!D970</f>
        <v>1.0999999999999999E-2</v>
      </c>
      <c r="F375" s="210">
        <f>A!E970</f>
        <v>1.0645793746137146E-2</v>
      </c>
      <c r="G375" s="210">
        <f>A!F970</f>
        <v>1.0937624999999999E-2</v>
      </c>
      <c r="H375" s="210">
        <f>A!G970</f>
        <v>1.6E-2</v>
      </c>
      <c r="I375" s="35"/>
      <c r="J375" s="188">
        <f t="shared" ref="J375:J380" si="64">MINA(C375:I375)</f>
        <v>1.0645793746137146E-2</v>
      </c>
      <c r="K375" s="211">
        <f t="shared" ref="K375:K380" si="65">MAXA(C375:I375)</f>
        <v>1.6E-2</v>
      </c>
      <c r="L375" s="27">
        <f t="shared" ref="L375:L380" si="66">(K375-J375)/AVERAGE(C375:I375)</f>
        <v>0.45724084034234053</v>
      </c>
      <c r="N375" s="674">
        <f>A!H970</f>
        <v>0</v>
      </c>
      <c r="O375" s="2"/>
      <c r="P375" s="13"/>
    </row>
    <row r="376" spans="2:16" ht="12" customHeight="1">
      <c r="B376" s="206" t="s">
        <v>234</v>
      </c>
      <c r="C376" s="210">
        <f>A!B971</f>
        <v>1.1168362500000001E-2</v>
      </c>
      <c r="D376" s="210">
        <f>A!C971</f>
        <v>1.15E-2</v>
      </c>
      <c r="E376" s="210">
        <f>A!D971</f>
        <v>1.15E-2</v>
      </c>
      <c r="F376" s="210">
        <f>A!E971</f>
        <v>1.114369293329249E-2</v>
      </c>
      <c r="G376" s="210">
        <f>A!F971</f>
        <v>1.1478791666666668E-2</v>
      </c>
      <c r="H376" s="210">
        <f>A!G971</f>
        <v>1.0999999999999999E-2</v>
      </c>
      <c r="I376" s="35"/>
      <c r="J376" s="188">
        <f t="shared" si="64"/>
        <v>1.0999999999999999E-2</v>
      </c>
      <c r="K376" s="211">
        <f t="shared" si="65"/>
        <v>1.15E-2</v>
      </c>
      <c r="L376" s="27">
        <f t="shared" si="66"/>
        <v>4.4253761803218571E-2</v>
      </c>
      <c r="N376" s="674">
        <f>A!H971</f>
        <v>0</v>
      </c>
      <c r="O376" s="2"/>
      <c r="P376" s="13"/>
    </row>
    <row r="377" spans="2:16" ht="12" customHeight="1">
      <c r="B377" s="206" t="s">
        <v>352</v>
      </c>
      <c r="C377" s="210">
        <f t="shared" ref="C377:H377" si="67">C376-C375</f>
        <v>4.9288333333333441E-4</v>
      </c>
      <c r="D377" s="210">
        <f t="shared" si="67"/>
        <v>5.0000000000000044E-4</v>
      </c>
      <c r="E377" s="210">
        <f t="shared" si="67"/>
        <v>5.0000000000000044E-4</v>
      </c>
      <c r="F377" s="210">
        <f t="shared" si="67"/>
        <v>4.9789918715534461E-4</v>
      </c>
      <c r="G377" s="210">
        <f t="shared" si="67"/>
        <v>5.4116666666666896E-4</v>
      </c>
      <c r="H377" s="210">
        <f t="shared" si="67"/>
        <v>-5.000000000000001E-3</v>
      </c>
      <c r="I377" s="35"/>
      <c r="J377" s="188">
        <f t="shared" si="64"/>
        <v>-5.000000000000001E-3</v>
      </c>
      <c r="K377" s="211">
        <f t="shared" si="65"/>
        <v>5.4116666666666896E-4</v>
      </c>
      <c r="L377" s="27">
        <f t="shared" si="66"/>
        <v>-13.47095441753885</v>
      </c>
      <c r="N377" s="210">
        <f>N376-N375</f>
        <v>0</v>
      </c>
      <c r="O377" s="2"/>
      <c r="P377" s="13"/>
    </row>
    <row r="378" spans="2:16" ht="12" customHeight="1">
      <c r="B378" s="206" t="s">
        <v>235</v>
      </c>
      <c r="C378" s="210">
        <f>A!B979</f>
        <v>6.2079700000000036E-3</v>
      </c>
      <c r="D378" s="210">
        <f>A!C979</f>
        <v>7.1000000000000004E-3</v>
      </c>
      <c r="E378" s="210">
        <f>A!D979</f>
        <v>7.1000000000000004E-3</v>
      </c>
      <c r="F378" s="210">
        <f>A!E979</f>
        <v>6.4660444823903237E-3</v>
      </c>
      <c r="G378" s="210">
        <f>A!F979</f>
        <v>5.4850000000000012E-3</v>
      </c>
      <c r="H378" s="210">
        <f>A!G979</f>
        <v>6.7400000000000003E-3</v>
      </c>
      <c r="I378" s="35"/>
      <c r="J378" s="188">
        <f t="shared" si="64"/>
        <v>5.4850000000000012E-3</v>
      </c>
      <c r="K378" s="211">
        <f t="shared" si="65"/>
        <v>7.1000000000000004E-3</v>
      </c>
      <c r="L378" s="27">
        <f t="shared" si="66"/>
        <v>0.24783233358386156</v>
      </c>
      <c r="N378" s="674">
        <f>A!H979</f>
        <v>0</v>
      </c>
      <c r="O378" s="2"/>
      <c r="P378" s="13"/>
    </row>
    <row r="379" spans="2:16" ht="12" customHeight="1">
      <c r="B379" s="206" t="s">
        <v>236</v>
      </c>
      <c r="C379" s="210">
        <f>A!B980</f>
        <v>6.2079700000000036E-3</v>
      </c>
      <c r="D379" s="210">
        <f>A!C980</f>
        <v>7.7999999999999996E-3</v>
      </c>
      <c r="E379" s="210">
        <f>A!D980</f>
        <v>7.7999999999999996E-3</v>
      </c>
      <c r="F379" s="210">
        <f>A!E980</f>
        <v>6.466044482391132E-3</v>
      </c>
      <c r="G379" s="210">
        <f>A!F980</f>
        <v>5.4779999999999994E-3</v>
      </c>
      <c r="H379" s="210">
        <f>A!G980</f>
        <v>6.7400000000000003E-3</v>
      </c>
      <c r="I379" s="35"/>
      <c r="J379" s="188">
        <f t="shared" si="64"/>
        <v>5.4779999999999994E-3</v>
      </c>
      <c r="K379" s="211">
        <f t="shared" si="65"/>
        <v>7.7999999999999996E-3</v>
      </c>
      <c r="L379" s="27">
        <f t="shared" si="66"/>
        <v>0.34406784098278553</v>
      </c>
      <c r="N379" s="674">
        <f>A!H980</f>
        <v>0</v>
      </c>
      <c r="O379" s="2"/>
      <c r="P379" s="13"/>
    </row>
    <row r="380" spans="2:16" ht="12" customHeight="1">
      <c r="B380" s="364" t="s">
        <v>274</v>
      </c>
      <c r="C380" s="362">
        <f t="shared" ref="C380:H380" si="68">C379-C378</f>
        <v>0</v>
      </c>
      <c r="D380" s="363">
        <f t="shared" si="68"/>
        <v>6.9999999999999923E-4</v>
      </c>
      <c r="E380" s="363">
        <f t="shared" si="68"/>
        <v>6.9999999999999923E-4</v>
      </c>
      <c r="F380" s="363">
        <f t="shared" si="68"/>
        <v>8.0838113980519211E-16</v>
      </c>
      <c r="G380" s="363">
        <f t="shared" si="68"/>
        <v>-7.0000000000017965E-6</v>
      </c>
      <c r="H380" s="363">
        <f t="shared" si="68"/>
        <v>0</v>
      </c>
      <c r="I380" s="365"/>
      <c r="J380" s="358">
        <f t="shared" si="64"/>
        <v>-7.0000000000017965E-6</v>
      </c>
      <c r="K380" s="359">
        <f t="shared" si="65"/>
        <v>6.9999999999999923E-4</v>
      </c>
      <c r="L380" s="357">
        <f t="shared" si="66"/>
        <v>3.0452261306515109</v>
      </c>
      <c r="N380" s="210">
        <f>N379-N378</f>
        <v>0</v>
      </c>
      <c r="O380" s="2"/>
      <c r="P380" s="13"/>
    </row>
    <row r="381" spans="2:16" ht="12" customHeight="1">
      <c r="B381" s="31" t="s">
        <v>86</v>
      </c>
      <c r="J381" s="41"/>
      <c r="L381" s="367"/>
      <c r="N381" s="673"/>
      <c r="O381" s="2"/>
      <c r="P381" s="13"/>
    </row>
    <row r="382" spans="2:16" ht="12" customHeight="1">
      <c r="B382" s="206" t="s">
        <v>233</v>
      </c>
      <c r="C382" s="211">
        <f>A!B990</f>
        <v>3.8447963185478624</v>
      </c>
      <c r="D382" s="211">
        <f>A!C990</f>
        <v>3.9136115288250317</v>
      </c>
      <c r="E382" s="211">
        <f>A!D990</f>
        <v>3.9139030708941935</v>
      </c>
      <c r="F382" s="211">
        <f>A!E990</f>
        <v>3.8587604373732227</v>
      </c>
      <c r="G382" s="211">
        <f>A!F990</f>
        <v>3.8371600399082859</v>
      </c>
      <c r="H382" s="211">
        <f>A!G990</f>
        <v>3.85</v>
      </c>
      <c r="I382" s="220"/>
      <c r="J382" s="188">
        <f t="shared" ref="J382:J387" si="69">MINA(C382:I382)</f>
        <v>3.8371600399082859</v>
      </c>
      <c r="K382" s="211">
        <f t="shared" ref="K382:K387" si="70">MAXA(C382:I382)</f>
        <v>3.9139030708941935</v>
      </c>
      <c r="L382" s="27">
        <f t="shared" ref="L382:L387" si="71">(K382-J382)/AVERAGE(C382:I382)</f>
        <v>1.9831751095551787E-2</v>
      </c>
      <c r="N382" s="222">
        <f>A!H990</f>
        <v>0</v>
      </c>
    </row>
    <row r="383" spans="2:16" ht="12" customHeight="1">
      <c r="B383" s="206" t="s">
        <v>234</v>
      </c>
      <c r="C383" s="211">
        <f>A!B991</f>
        <v>2.9312957592168609</v>
      </c>
      <c r="D383" s="211">
        <f>A!C991</f>
        <v>2.9505118766491645</v>
      </c>
      <c r="E383" s="211">
        <f>A!D991</f>
        <v>2.9505592702169627</v>
      </c>
      <c r="F383" s="211">
        <f>A!E991</f>
        <v>2.9345909693689873</v>
      </c>
      <c r="G383" s="211">
        <f>A!F991</f>
        <v>2.9212653715068941</v>
      </c>
      <c r="H383" s="211">
        <f>A!G991</f>
        <v>2.94</v>
      </c>
      <c r="I383" s="220"/>
      <c r="J383" s="188">
        <f t="shared" si="69"/>
        <v>2.9212653715068941</v>
      </c>
      <c r="K383" s="211">
        <f t="shared" si="70"/>
        <v>2.9505592702169627</v>
      </c>
      <c r="L383" s="27">
        <f t="shared" si="71"/>
        <v>9.9705676402035218E-3</v>
      </c>
      <c r="N383" s="222">
        <f>A!H991</f>
        <v>0</v>
      </c>
    </row>
    <row r="384" spans="2:16" ht="12" customHeight="1">
      <c r="B384" s="206" t="s">
        <v>352</v>
      </c>
      <c r="C384" s="211">
        <f t="shared" ref="C384:H384" si="72">C383-C382</f>
        <v>-0.91350055933100149</v>
      </c>
      <c r="D384" s="211">
        <f t="shared" si="72"/>
        <v>-0.96309965217586724</v>
      </c>
      <c r="E384" s="211">
        <f t="shared" si="72"/>
        <v>-0.9633438006772308</v>
      </c>
      <c r="F384" s="211">
        <f t="shared" si="72"/>
        <v>-0.92416946800423538</v>
      </c>
      <c r="G384" s="211">
        <f t="shared" si="72"/>
        <v>-0.91589466840139178</v>
      </c>
      <c r="H384" s="211">
        <f t="shared" si="72"/>
        <v>-0.91000000000000014</v>
      </c>
      <c r="I384" s="220"/>
      <c r="J384" s="188">
        <f t="shared" si="69"/>
        <v>-0.9633438006772308</v>
      </c>
      <c r="K384" s="211">
        <f t="shared" si="70"/>
        <v>-0.91000000000000014</v>
      </c>
      <c r="L384" s="27">
        <f t="shared" si="71"/>
        <v>-5.725623211195692E-2</v>
      </c>
      <c r="N384" s="211">
        <f>N383-N382</f>
        <v>0</v>
      </c>
    </row>
    <row r="385" spans="2:16" ht="12" customHeight="1">
      <c r="B385" s="206" t="s">
        <v>235</v>
      </c>
      <c r="C385" s="211">
        <f>A!B999</f>
        <v>3.543099854148672</v>
      </c>
      <c r="D385" s="211">
        <f>A!C999</f>
        <v>3.5988153449844984</v>
      </c>
      <c r="E385" s="211">
        <f>A!D999</f>
        <v>3.5991278364828387</v>
      </c>
      <c r="F385" s="211">
        <f>A!E999</f>
        <v>3.404803033593343</v>
      </c>
      <c r="G385" s="211">
        <f>A!F999</f>
        <v>3.4604350566376669</v>
      </c>
      <c r="H385" s="211">
        <f>A!G999</f>
        <v>3.59</v>
      </c>
      <c r="I385" s="220"/>
      <c r="J385" s="188">
        <f t="shared" si="69"/>
        <v>3.404803033593343</v>
      </c>
      <c r="K385" s="211">
        <f t="shared" si="70"/>
        <v>3.5991278364828387</v>
      </c>
      <c r="L385" s="27">
        <f t="shared" si="71"/>
        <v>5.5007235015165051E-2</v>
      </c>
      <c r="N385" s="222">
        <f>A!H999</f>
        <v>0</v>
      </c>
    </row>
    <row r="386" spans="2:16" ht="12" customHeight="1">
      <c r="B386" s="206" t="s">
        <v>236</v>
      </c>
      <c r="C386" s="211">
        <f>A!B1000</f>
        <v>2.7196901396309143</v>
      </c>
      <c r="D386" s="211">
        <f>A!C1000</f>
        <v>2.7244804507867837</v>
      </c>
      <c r="E386" s="211">
        <f>A!D1000</f>
        <v>2.7244848665999863</v>
      </c>
      <c r="F386" s="211">
        <f>A!E1000</f>
        <v>2.7404773631230217</v>
      </c>
      <c r="G386" s="211">
        <f>A!F1000</f>
        <v>2.6900388272911857</v>
      </c>
      <c r="H386" s="211">
        <f>A!G1000</f>
        <v>2.74</v>
      </c>
      <c r="I386" s="220"/>
      <c r="J386" s="188">
        <f t="shared" si="69"/>
        <v>2.6900388272911857</v>
      </c>
      <c r="K386" s="211">
        <f t="shared" si="70"/>
        <v>2.7404773631230217</v>
      </c>
      <c r="L386" s="27">
        <f t="shared" si="71"/>
        <v>1.852182114988565E-2</v>
      </c>
      <c r="N386" s="222">
        <f>A!H1000</f>
        <v>0</v>
      </c>
      <c r="O386" s="2"/>
      <c r="P386" s="2"/>
    </row>
    <row r="387" spans="2:16" ht="12" customHeight="1">
      <c r="B387" s="364" t="s">
        <v>274</v>
      </c>
      <c r="C387" s="358">
        <f t="shared" ref="C387:H387" si="73">C386-C385</f>
        <v>-0.82340971451775768</v>
      </c>
      <c r="D387" s="359">
        <f t="shared" si="73"/>
        <v>-0.87433489419771471</v>
      </c>
      <c r="E387" s="359">
        <f t="shared" si="73"/>
        <v>-0.87464296988285239</v>
      </c>
      <c r="F387" s="359">
        <f t="shared" si="73"/>
        <v>-0.66432567047032132</v>
      </c>
      <c r="G387" s="359">
        <f t="shared" si="73"/>
        <v>-0.77039622934648122</v>
      </c>
      <c r="H387" s="359">
        <f t="shared" si="73"/>
        <v>-0.84999999999999964</v>
      </c>
      <c r="I387" s="366"/>
      <c r="J387" s="358">
        <f t="shared" si="69"/>
        <v>-0.87464296988285239</v>
      </c>
      <c r="K387" s="359">
        <f t="shared" si="70"/>
        <v>-0.66432567047032132</v>
      </c>
      <c r="L387" s="357">
        <f t="shared" si="71"/>
        <v>-0.25980550821081039</v>
      </c>
      <c r="N387" s="211">
        <f>N386-N385</f>
        <v>0</v>
      </c>
      <c r="O387" s="2"/>
      <c r="P387" s="2"/>
    </row>
    <row r="388" spans="2:16" ht="12" customHeight="1">
      <c r="B388" s="369" t="s">
        <v>230</v>
      </c>
      <c r="C388" s="42"/>
      <c r="I388" s="35"/>
      <c r="J388" s="361"/>
      <c r="K388" s="360"/>
      <c r="L388" s="27"/>
      <c r="N388" s="673"/>
      <c r="O388" s="2"/>
      <c r="P388" s="14"/>
    </row>
    <row r="389" spans="2:16" ht="12" customHeight="1">
      <c r="B389" s="206" t="s">
        <v>233</v>
      </c>
      <c r="C389" s="219">
        <f>A!B1010</f>
        <v>16.791666666666664</v>
      </c>
      <c r="D389" s="219">
        <f>A!C1010</f>
        <v>16.833333333333332</v>
      </c>
      <c r="E389" s="219">
        <f>A!D1010</f>
        <v>16.833333333333332</v>
      </c>
      <c r="F389" s="219">
        <f>A!E1010</f>
        <v>16.814583333333328</v>
      </c>
      <c r="G389" s="219">
        <f>A!F1010</f>
        <v>16.883333333333329</v>
      </c>
      <c r="H389" s="219">
        <f>A!G1010</f>
        <v>16.96</v>
      </c>
      <c r="I389" s="235"/>
      <c r="J389" s="190">
        <f t="shared" ref="J389:J394" si="74">MINA(C389:I389)</f>
        <v>16.791666666666664</v>
      </c>
      <c r="K389" s="219">
        <f t="shared" ref="K389:K394" si="75">MAXA(C389:I389)</f>
        <v>16.96</v>
      </c>
      <c r="L389" s="27">
        <f t="shared" ref="L389:L394" si="76">(K389-J389)/AVERAGE(C389:I389)</f>
        <v>9.9885033315616385E-3</v>
      </c>
      <c r="N389" s="598">
        <f>A!H1010</f>
        <v>0</v>
      </c>
      <c r="O389" s="2"/>
      <c r="P389" s="14"/>
    </row>
    <row r="390" spans="2:16" ht="12" customHeight="1">
      <c r="B390" s="206" t="s">
        <v>234</v>
      </c>
      <c r="C390" s="219">
        <f>A!B1011</f>
        <v>29.516666666666669</v>
      </c>
      <c r="D390" s="219">
        <f>A!C1011</f>
        <v>29.5</v>
      </c>
      <c r="E390" s="219">
        <f>A!D1011</f>
        <v>29.5</v>
      </c>
      <c r="F390" s="219">
        <f>A!E1011</f>
        <v>29.516666666666666</v>
      </c>
      <c r="G390" s="219">
        <f>A!F1011</f>
        <v>29.516666666666666</v>
      </c>
      <c r="H390" s="219">
        <f>A!G1011</f>
        <v>29.5</v>
      </c>
      <c r="I390" s="235"/>
      <c r="J390" s="190">
        <f t="shared" si="74"/>
        <v>29.5</v>
      </c>
      <c r="K390" s="219">
        <f t="shared" si="75"/>
        <v>29.516666666666669</v>
      </c>
      <c r="L390" s="27">
        <f t="shared" si="76"/>
        <v>5.6481219994360696E-4</v>
      </c>
      <c r="N390" s="598">
        <f>A!H1011</f>
        <v>0</v>
      </c>
      <c r="O390" s="2"/>
      <c r="P390" s="14"/>
    </row>
    <row r="391" spans="2:16" ht="12" customHeight="1">
      <c r="B391" s="206" t="s">
        <v>352</v>
      </c>
      <c r="C391" s="219">
        <f t="shared" ref="C391:H391" si="77">C390-C389</f>
        <v>12.725000000000005</v>
      </c>
      <c r="D391" s="219">
        <f t="shared" si="77"/>
        <v>12.666666666666668</v>
      </c>
      <c r="E391" s="219">
        <f t="shared" si="77"/>
        <v>12.666666666666668</v>
      </c>
      <c r="F391" s="219">
        <f t="shared" si="77"/>
        <v>12.702083333333338</v>
      </c>
      <c r="G391" s="219">
        <f t="shared" si="77"/>
        <v>12.633333333333336</v>
      </c>
      <c r="H391" s="219">
        <f t="shared" si="77"/>
        <v>12.54</v>
      </c>
      <c r="I391" s="235"/>
      <c r="J391" s="190">
        <f t="shared" si="74"/>
        <v>12.54</v>
      </c>
      <c r="K391" s="219">
        <f t="shared" si="75"/>
        <v>12.725000000000005</v>
      </c>
      <c r="L391" s="27">
        <f t="shared" si="76"/>
        <v>1.4618005827448729E-2</v>
      </c>
      <c r="N391" s="219">
        <f>N390-N389</f>
        <v>0</v>
      </c>
      <c r="O391" s="2"/>
      <c r="P391" s="14"/>
    </row>
    <row r="392" spans="2:16" ht="12" customHeight="1">
      <c r="B392" s="206" t="s">
        <v>235</v>
      </c>
      <c r="C392" s="219">
        <f>A!B1019</f>
        <v>16.791666666666664</v>
      </c>
      <c r="D392" s="219">
        <f>A!C1019</f>
        <v>16.833333333333332</v>
      </c>
      <c r="E392" s="219">
        <f>A!D1019</f>
        <v>16.833333333333332</v>
      </c>
      <c r="F392" s="219">
        <f>A!E1019</f>
        <v>16.814583333333328</v>
      </c>
      <c r="G392" s="219">
        <f>A!F1019</f>
        <v>16.883333333333329</v>
      </c>
      <c r="H392" s="219">
        <f>A!G1019</f>
        <v>16.96</v>
      </c>
      <c r="I392" s="235"/>
      <c r="J392" s="190">
        <f t="shared" si="74"/>
        <v>16.791666666666664</v>
      </c>
      <c r="K392" s="219">
        <f t="shared" si="75"/>
        <v>16.96</v>
      </c>
      <c r="L392" s="27">
        <f t="shared" si="76"/>
        <v>9.9885033315616385E-3</v>
      </c>
      <c r="N392" s="598">
        <f>A!H1019</f>
        <v>0</v>
      </c>
      <c r="O392" s="2"/>
      <c r="P392" s="14"/>
    </row>
    <row r="393" spans="2:16" ht="12" customHeight="1">
      <c r="B393" s="206" t="s">
        <v>236</v>
      </c>
      <c r="C393" s="219">
        <f>A!B1020</f>
        <v>29.516666666666669</v>
      </c>
      <c r="D393" s="219">
        <f>A!C1020</f>
        <v>29.5</v>
      </c>
      <c r="E393" s="219">
        <f>A!D1020</f>
        <v>29.5</v>
      </c>
      <c r="F393" s="219">
        <f>A!E1020</f>
        <v>29.516666666666666</v>
      </c>
      <c r="G393" s="219">
        <f>A!F1020</f>
        <v>29.516666666666666</v>
      </c>
      <c r="H393" s="219">
        <f>A!G1020</f>
        <v>29.5</v>
      </c>
      <c r="I393" s="235"/>
      <c r="J393" s="190">
        <f t="shared" si="74"/>
        <v>29.5</v>
      </c>
      <c r="K393" s="219">
        <f t="shared" si="75"/>
        <v>29.516666666666669</v>
      </c>
      <c r="L393" s="27">
        <f t="shared" si="76"/>
        <v>5.6481219994360696E-4</v>
      </c>
      <c r="N393" s="598">
        <f>A!H1020</f>
        <v>0</v>
      </c>
      <c r="O393" s="2"/>
      <c r="P393" s="14"/>
    </row>
    <row r="394" spans="2:16" ht="12" customHeight="1">
      <c r="B394" s="206" t="s">
        <v>274</v>
      </c>
      <c r="C394" s="190">
        <f t="shared" ref="C394:H394" si="78">C393-C392</f>
        <v>12.725000000000005</v>
      </c>
      <c r="D394" s="219">
        <f t="shared" si="78"/>
        <v>12.666666666666668</v>
      </c>
      <c r="E394" s="219">
        <f t="shared" si="78"/>
        <v>12.666666666666668</v>
      </c>
      <c r="F394" s="219">
        <f t="shared" si="78"/>
        <v>12.702083333333338</v>
      </c>
      <c r="G394" s="219">
        <f t="shared" si="78"/>
        <v>12.633333333333336</v>
      </c>
      <c r="H394" s="219">
        <f t="shared" si="78"/>
        <v>12.54</v>
      </c>
      <c r="I394" s="235"/>
      <c r="J394" s="190">
        <f t="shared" si="74"/>
        <v>12.54</v>
      </c>
      <c r="K394" s="219">
        <f t="shared" si="75"/>
        <v>12.725000000000005</v>
      </c>
      <c r="L394" s="27">
        <f t="shared" si="76"/>
        <v>1.4618005827448729E-2</v>
      </c>
      <c r="N394" s="219">
        <f>N393-N392</f>
        <v>0</v>
      </c>
      <c r="O394" s="2"/>
      <c r="P394" s="14"/>
    </row>
    <row r="395" spans="2:16" ht="12" customHeight="1">
      <c r="B395" s="369" t="s">
        <v>231</v>
      </c>
      <c r="C395" s="213"/>
      <c r="D395" s="95"/>
      <c r="E395" s="95"/>
      <c r="F395" s="95"/>
      <c r="G395" s="95"/>
      <c r="H395" s="95"/>
      <c r="I395" s="95"/>
      <c r="J395" s="370"/>
      <c r="K395" s="95"/>
      <c r="L395" s="368"/>
      <c r="N395" s="673"/>
      <c r="O395" s="2"/>
      <c r="P395" s="14"/>
    </row>
    <row r="396" spans="2:16" ht="12" customHeight="1">
      <c r="B396" s="206" t="s">
        <v>233</v>
      </c>
      <c r="C396" s="219">
        <f>A!B1030</f>
        <v>24.64107916666666</v>
      </c>
      <c r="D396" s="219">
        <f>A!C1030</f>
        <v>24.944444444444446</v>
      </c>
      <c r="E396" s="219">
        <f>A!D1030</f>
        <v>24.944444444444446</v>
      </c>
      <c r="F396" s="219">
        <f>A!E1030</f>
        <v>24.982041663411625</v>
      </c>
      <c r="G396" s="219">
        <f>A!F1030</f>
        <v>25</v>
      </c>
      <c r="H396" s="219">
        <f>A!G1030</f>
        <v>25</v>
      </c>
      <c r="I396" s="235"/>
      <c r="J396" s="190">
        <f t="shared" ref="J396:J401" si="79">MINA(C396:I396)</f>
        <v>24.64107916666666</v>
      </c>
      <c r="K396" s="219">
        <f t="shared" ref="K396:K401" si="80">MAXA(C396:I396)</f>
        <v>25</v>
      </c>
      <c r="L396" s="27">
        <f t="shared" ref="L396:L401" si="81">(K396-J396)/AVERAGE(C396:I396)</f>
        <v>1.4403692412722881E-2</v>
      </c>
      <c r="M396" s="2"/>
      <c r="N396" s="679">
        <f>A!H1030</f>
        <v>0</v>
      </c>
      <c r="O396" s="2"/>
      <c r="P396" s="14"/>
    </row>
    <row r="397" spans="2:16" ht="12" customHeight="1">
      <c r="B397" s="206" t="s">
        <v>234</v>
      </c>
      <c r="C397" s="219">
        <f>A!B1031</f>
        <v>24.547783333333332</v>
      </c>
      <c r="D397" s="219">
        <f>A!C1031</f>
        <v>25</v>
      </c>
      <c r="E397" s="219">
        <f>A!D1031</f>
        <v>25</v>
      </c>
      <c r="F397" s="219">
        <f>A!E1031</f>
        <v>24.983132681459704</v>
      </c>
      <c r="G397" s="219">
        <f>A!F1031</f>
        <v>25</v>
      </c>
      <c r="H397" s="219">
        <f>A!G1031</f>
        <v>25</v>
      </c>
      <c r="I397" s="235"/>
      <c r="J397" s="190">
        <f t="shared" si="79"/>
        <v>24.547783333333332</v>
      </c>
      <c r="K397" s="219">
        <f t="shared" si="80"/>
        <v>25</v>
      </c>
      <c r="L397" s="27">
        <f t="shared" si="81"/>
        <v>1.814541147953367E-2</v>
      </c>
      <c r="M397" s="2"/>
      <c r="N397" s="679">
        <f>A!H1031</f>
        <v>0</v>
      </c>
      <c r="O397" s="2"/>
      <c r="P397" s="14"/>
    </row>
    <row r="398" spans="2:16" ht="12" customHeight="1">
      <c r="B398" s="206" t="s">
        <v>352</v>
      </c>
      <c r="C398" s="219">
        <f t="shared" ref="C398:H398" si="82">C397-C396</f>
        <v>-9.3295833333328915E-2</v>
      </c>
      <c r="D398" s="219">
        <f t="shared" si="82"/>
        <v>5.5555555555553582E-2</v>
      </c>
      <c r="E398" s="219">
        <f t="shared" si="82"/>
        <v>5.5555555555553582E-2</v>
      </c>
      <c r="F398" s="219">
        <f t="shared" si="82"/>
        <v>1.0910180480792064E-3</v>
      </c>
      <c r="G398" s="219">
        <f t="shared" si="82"/>
        <v>0</v>
      </c>
      <c r="H398" s="219">
        <f t="shared" si="82"/>
        <v>0</v>
      </c>
      <c r="I398" s="235"/>
      <c r="J398" s="190">
        <f t="shared" si="79"/>
        <v>-9.3295833333328915E-2</v>
      </c>
      <c r="K398" s="219">
        <f t="shared" si="80"/>
        <v>5.5555555555553582E-2</v>
      </c>
      <c r="L398" s="27">
        <f t="shared" si="81"/>
        <v>47.238673379468821</v>
      </c>
      <c r="M398" s="2"/>
      <c r="N398" s="219">
        <f>N397-N396</f>
        <v>0</v>
      </c>
      <c r="O398" s="2"/>
      <c r="P398" s="14"/>
    </row>
    <row r="399" spans="2:16" ht="12" customHeight="1">
      <c r="B399" s="206" t="s">
        <v>235</v>
      </c>
      <c r="C399" s="219">
        <f>A!B1039</f>
        <v>24.365045833333337</v>
      </c>
      <c r="D399" s="219">
        <f>A!C1039</f>
        <v>24.944444444444446</v>
      </c>
      <c r="E399" s="219">
        <f>A!D1039</f>
        <v>24.666666666666671</v>
      </c>
      <c r="F399" s="219">
        <f>A!E1039</f>
        <v>25.000255781051795</v>
      </c>
      <c r="G399" s="219">
        <f>A!F1039</f>
        <v>25</v>
      </c>
      <c r="H399" s="219">
        <f>A!G1039</f>
        <v>25</v>
      </c>
      <c r="I399" s="235"/>
      <c r="J399" s="190">
        <f t="shared" si="79"/>
        <v>24.365045833333337</v>
      </c>
      <c r="K399" s="219">
        <f t="shared" si="80"/>
        <v>25.000255781051795</v>
      </c>
      <c r="L399" s="27">
        <f t="shared" si="81"/>
        <v>2.5582973952617393E-2</v>
      </c>
      <c r="M399" s="2"/>
      <c r="N399" s="679">
        <f>A!H1039</f>
        <v>0</v>
      </c>
      <c r="O399" s="2"/>
      <c r="P399" s="14"/>
    </row>
    <row r="400" spans="2:16" ht="12" customHeight="1">
      <c r="B400" s="206" t="s">
        <v>236</v>
      </c>
      <c r="C400" s="219">
        <f>A!B1040</f>
        <v>24.353687500000003</v>
      </c>
      <c r="D400" s="219">
        <f>A!C1040</f>
        <v>24.944444444444446</v>
      </c>
      <c r="E400" s="219">
        <f>A!D1040</f>
        <v>24.944444444444446</v>
      </c>
      <c r="F400" s="219">
        <f>A!E1040</f>
        <v>25.000291827635262</v>
      </c>
      <c r="G400" s="219">
        <f>A!F1040</f>
        <v>25</v>
      </c>
      <c r="H400" s="219">
        <f>A!G1040</f>
        <v>25</v>
      </c>
      <c r="I400" s="235"/>
      <c r="J400" s="190">
        <f t="shared" si="79"/>
        <v>24.353687500000003</v>
      </c>
      <c r="K400" s="219">
        <f t="shared" si="80"/>
        <v>25.000291827635262</v>
      </c>
      <c r="L400" s="27">
        <f t="shared" si="81"/>
        <v>2.5995385991797793E-2</v>
      </c>
      <c r="M400" s="2"/>
      <c r="N400" s="679">
        <f>A!H1040</f>
        <v>0</v>
      </c>
      <c r="O400" s="2"/>
      <c r="P400" s="14"/>
    </row>
    <row r="401" spans="2:16" ht="12" customHeight="1" thickBot="1">
      <c r="B401" s="207" t="s">
        <v>274</v>
      </c>
      <c r="C401" s="191">
        <f t="shared" ref="C401:H401" si="83">C400-C399</f>
        <v>-1.1358333333333803E-2</v>
      </c>
      <c r="D401" s="158">
        <f t="shared" si="83"/>
        <v>0</v>
      </c>
      <c r="E401" s="158">
        <f t="shared" si="83"/>
        <v>0.27777777777777501</v>
      </c>
      <c r="F401" s="158">
        <f t="shared" si="83"/>
        <v>3.604658346745282E-5</v>
      </c>
      <c r="G401" s="158">
        <f t="shared" si="83"/>
        <v>0</v>
      </c>
      <c r="H401" s="158">
        <f t="shared" si="83"/>
        <v>0</v>
      </c>
      <c r="I401" s="156"/>
      <c r="J401" s="191">
        <f t="shared" si="79"/>
        <v>-1.1358333333333803E-2</v>
      </c>
      <c r="K401" s="158">
        <f t="shared" si="80"/>
        <v>0.27777777777777501</v>
      </c>
      <c r="L401" s="30">
        <f t="shared" si="81"/>
        <v>6.5107183941836926</v>
      </c>
      <c r="M401" s="2"/>
      <c r="N401" s="219">
        <f>N400-N399</f>
        <v>0</v>
      </c>
      <c r="O401" s="2"/>
      <c r="P401" s="14"/>
    </row>
    <row r="402" spans="2:16" ht="12" customHeight="1" thickTop="1">
      <c r="E402" s="32" t="s">
        <v>552</v>
      </c>
    </row>
    <row r="403" spans="2:16" ht="12" customHeight="1"/>
    <row r="404" spans="2:16" ht="12" customHeight="1"/>
    <row r="405" spans="2:16" ht="12" customHeight="1"/>
    <row r="406" spans="2:16" ht="12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2:16" ht="12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2:16" ht="12" customHeight="1">
      <c r="M408" s="2"/>
      <c r="N408" s="2"/>
      <c r="O408" s="2"/>
      <c r="P408" s="15"/>
    </row>
    <row r="409" spans="2:16" ht="15" customHeight="1">
      <c r="M409" s="2"/>
      <c r="N409" s="2"/>
      <c r="O409" s="2"/>
      <c r="P409" s="15"/>
    </row>
    <row r="410" spans="2:16" ht="12" customHeight="1">
      <c r="M410" s="2"/>
      <c r="N410" s="2"/>
      <c r="O410" s="2"/>
      <c r="P410" s="15"/>
    </row>
    <row r="411" spans="2:16" ht="12" customHeight="1">
      <c r="M411" s="2"/>
      <c r="N411" s="2"/>
      <c r="O411" s="2"/>
      <c r="P411" s="15"/>
    </row>
    <row r="412" spans="2:16" ht="12" customHeight="1">
      <c r="M412" s="2"/>
      <c r="N412" s="2"/>
      <c r="O412" s="2"/>
      <c r="P412" s="15"/>
    </row>
    <row r="413" spans="2:16" ht="12" customHeight="1">
      <c r="M413" s="2"/>
      <c r="N413" s="2"/>
      <c r="O413" s="2"/>
      <c r="P413" s="15"/>
    </row>
    <row r="414" spans="2:16" ht="12" customHeight="1">
      <c r="M414" s="2"/>
      <c r="N414" s="2"/>
      <c r="O414" s="2"/>
      <c r="P414" s="15"/>
    </row>
    <row r="415" spans="2:16" ht="12" customHeight="1">
      <c r="M415" s="2"/>
      <c r="N415" s="2"/>
      <c r="O415" s="2"/>
      <c r="P415" s="15"/>
    </row>
    <row r="416" spans="2:16" ht="12" customHeight="1">
      <c r="M416" s="2"/>
      <c r="N416" s="2"/>
      <c r="O416" s="2"/>
      <c r="P416" s="15"/>
    </row>
    <row r="417" spans="2:16" ht="12" customHeight="1">
      <c r="M417" s="2"/>
      <c r="N417" s="2"/>
      <c r="O417" s="2"/>
      <c r="P417" s="15"/>
    </row>
    <row r="418" spans="2:16" ht="12" customHeight="1">
      <c r="M418" s="2"/>
      <c r="N418" s="2"/>
      <c r="O418" s="2"/>
      <c r="P418" s="15"/>
    </row>
    <row r="419" spans="2:16" ht="12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5"/>
    </row>
    <row r="420" spans="2:16" ht="12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5"/>
    </row>
    <row r="421" spans="2:16" ht="12" customHeight="1"/>
    <row r="422" spans="2:16" ht="12" customHeight="1"/>
    <row r="423" spans="2:16" ht="12" customHeight="1"/>
    <row r="424" spans="2:16" ht="12" customHeight="1"/>
    <row r="425" spans="2:16" ht="12" customHeight="1"/>
    <row r="426" spans="2:16" ht="12" customHeight="1"/>
    <row r="427" spans="2:16" ht="12" customHeight="1"/>
    <row r="428" spans="2:16" ht="12" customHeight="1"/>
    <row r="429" spans="2:16" ht="12" customHeight="1"/>
    <row r="430" spans="2:16" ht="12" customHeight="1"/>
    <row r="431" spans="2:16" ht="12" customHeight="1"/>
    <row r="432" spans="2:16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spans="2:16" ht="12" customHeight="1"/>
    <row r="450" spans="2:16" ht="12" customHeight="1"/>
    <row r="451" spans="2:16" ht="12" customHeight="1"/>
    <row r="452" spans="2:16" ht="12" customHeight="1"/>
    <row r="453" spans="2:16" ht="12" customHeight="1"/>
    <row r="454" spans="2:16" ht="12" customHeight="1"/>
    <row r="455" spans="2:16" ht="12" customHeight="1"/>
    <row r="456" spans="2:16" ht="12" customHeight="1"/>
    <row r="457" spans="2:16" ht="12" customHeight="1"/>
    <row r="458" spans="2:16" ht="12" customHeight="1"/>
    <row r="459" spans="2:16" ht="12" customHeight="1"/>
    <row r="460" spans="2:16" ht="12" customHeight="1"/>
    <row r="461" spans="2:16" ht="12" customHeight="1"/>
    <row r="462" spans="2:16" ht="12" customHeight="1"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2:16" ht="12" customHeight="1"/>
    <row r="465" spans="2: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10"/>
    </row>
    <row r="466" spans="2: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10"/>
    </row>
    <row r="467" spans="2: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16"/>
    </row>
    <row r="468" spans="2: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16"/>
    </row>
    <row r="469" spans="2: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16"/>
    </row>
    <row r="470" spans="2: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16"/>
    </row>
    <row r="471" spans="2: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16"/>
    </row>
    <row r="472" spans="2: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16"/>
    </row>
    <row r="473" spans="2: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16"/>
    </row>
    <row r="474" spans="2: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16"/>
    </row>
    <row r="475" spans="2: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16"/>
    </row>
    <row r="476" spans="2: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16"/>
    </row>
    <row r="477" spans="2: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16"/>
    </row>
    <row r="478" spans="2: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16"/>
    </row>
    <row r="479" spans="2: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16"/>
    </row>
    <row r="480" spans="2: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16"/>
    </row>
    <row r="485" spans="2:16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10"/>
    </row>
    <row r="486" spans="2:1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10"/>
    </row>
    <row r="487" spans="2:16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16"/>
    </row>
    <row r="488" spans="2:16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16"/>
    </row>
    <row r="489" spans="2:16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16"/>
    </row>
    <row r="490" spans="2: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16"/>
    </row>
    <row r="491" spans="2:16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16"/>
    </row>
    <row r="492" spans="2:16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16"/>
    </row>
    <row r="493" spans="2:16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16"/>
    </row>
    <row r="494" spans="2:16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16"/>
    </row>
    <row r="495" spans="2:16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16"/>
    </row>
    <row r="496" spans="2:1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16"/>
    </row>
    <row r="497" spans="2:16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16"/>
    </row>
    <row r="498" spans="2:16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16"/>
    </row>
    <row r="499" spans="2:16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16"/>
    </row>
    <row r="500" spans="2:16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16"/>
    </row>
    <row r="505" spans="2:16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10"/>
    </row>
    <row r="506" spans="2:1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10"/>
    </row>
    <row r="507" spans="2:16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16"/>
    </row>
    <row r="508" spans="2:16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16"/>
    </row>
    <row r="509" spans="2:16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16"/>
    </row>
    <row r="510" spans="2:16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16"/>
    </row>
    <row r="511" spans="2:16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16"/>
    </row>
    <row r="512" spans="2:16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16"/>
    </row>
    <row r="513" spans="2:16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16"/>
    </row>
    <row r="514" spans="2:16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16"/>
    </row>
    <row r="515" spans="2:16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16"/>
    </row>
    <row r="516" spans="2: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16"/>
    </row>
    <row r="517" spans="2:1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16"/>
    </row>
    <row r="518" spans="2:1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16"/>
    </row>
    <row r="519" spans="2:1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16"/>
    </row>
    <row r="520" spans="2:1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16"/>
    </row>
    <row r="525" spans="2:1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2:1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2:1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2:1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2:1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2:1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2:1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2:1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2:16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2:16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2:16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2:1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2:1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2:1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2:1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2:1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2:1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2:1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2:1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2:1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2:1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52" spans="2:1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2:1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2:16" ht="9.9499999999999993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2:16" ht="9.9499999999999993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2:16" ht="9.9499999999999993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2:16" ht="9.9499999999999993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2:16" ht="9.9499999999999993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2:16" ht="9.9499999999999993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2:16" ht="9.9499999999999993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2:16" ht="9.9499999999999993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2:16" ht="9.9499999999999993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2:16" ht="9.9499999999999993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2:16" ht="9.9499999999999993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2:16" ht="9.9499999999999993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2:16" ht="9.9499999999999993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2:16" ht="9.9499999999999993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2:16" ht="9.9499999999999993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2:16" ht="9.9499999999999993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2:16" ht="9.9499999999999993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2:16" ht="9.9499999999999993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2:16" ht="9.9499999999999993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2:16" ht="9.9499999999999993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2:16" ht="9.9499999999999993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2:16" ht="11.1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2:16" ht="9.9499999999999993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2:16" ht="9.9499999999999993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2:16" ht="9.9499999999999993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2:16" ht="9.9499999999999993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2:16" ht="9.9499999999999993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2:16" ht="9.9499999999999993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2:16" ht="9.9499999999999993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2:16" ht="9.9499999999999993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2:16" ht="9.9499999999999993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2:16" ht="9.9499999999999993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2:16" ht="9.9499999999999993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2:16" ht="9.9499999999999993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2:16" ht="9.9499999999999993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2:16" ht="9.9499999999999993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2:16" ht="9.9499999999999993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2:16" ht="9.9499999999999993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2:16" ht="9.9499999999999993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2:16" ht="9.9499999999999993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2:16" ht="9.9499999999999993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2:16" ht="9.9499999999999993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2:16" ht="9.9499999999999993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2:16" ht="11.1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2:16" ht="9.9499999999999993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2:16" ht="9.9499999999999993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2:16" ht="9.9499999999999993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2:16" ht="9.9499999999999993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2:16" ht="9.9499999999999993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2:16" ht="9.9499999999999993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2:16" ht="9.9499999999999993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2:16" ht="9.9499999999999993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2:16" ht="9.9499999999999993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2:16" ht="9.9499999999999993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2:16" ht="9.9499999999999993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2:16" ht="9.9499999999999993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2:16" ht="9.9499999999999993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2:16" ht="9.9499999999999993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2:16" ht="9.9499999999999993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2:16" ht="9.9499999999999993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 ht="9.9499999999999993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2:16" ht="9.9499999999999993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2:16" ht="9.9499999999999993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2:16" ht="9.9499999999999993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2:16" ht="9.9499999999999993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2:16" ht="11.1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2:16" ht="9.9499999999999993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2:16" ht="9.9499999999999993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2:16" ht="9.9499999999999993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2:16" ht="9.9499999999999993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2:16" ht="9.9499999999999993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2:16" ht="9.9499999999999993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2:16" ht="9.9499999999999993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2:16" ht="9.9499999999999993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2:16" ht="9.9499999999999993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2:16" ht="9.9499999999999993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2:16" ht="9.9499999999999993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2:16" ht="9.9499999999999993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2:16" ht="9.9499999999999993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2:16" ht="9.9499999999999993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2:16" ht="9.9499999999999993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2:16" ht="9.9499999999999993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2:16" ht="9.9499999999999993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2:16" ht="9.9499999999999993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2:16" ht="9.9499999999999993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2:16" ht="9.9499999999999993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2:16" ht="9.9499999999999993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2:16" ht="11.1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2:16" ht="9.9499999999999993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2: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2: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2: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2: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2: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2: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2: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2: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2: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2: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2: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2: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2: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2: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2: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2: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2: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2: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2: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2:1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2:1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2:1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2:1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2:1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2:1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2:1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2:1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2:1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2:1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2:1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2:1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2:1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2:1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2:1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2:1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2:1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2:1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2:1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2:1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2:1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2:1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2:1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7" spans="2:1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9" spans="2:1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2:1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2:1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2:1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2:1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2:1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2:1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2:1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2:1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2:16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2:1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2:16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2:1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2:1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2:1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2:1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2:1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2:1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2:1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2:1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2:1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2:1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2:1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2:1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2:1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2:1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2:1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2: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2:1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2:1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2:1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2:1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2:1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2:1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2:1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</sheetData>
  <phoneticPr fontId="0" type="noConversion"/>
  <pageMargins left="0.75" right="0.5" top="0.8" bottom="0.55000000000000004" header="0.5" footer="0.5"/>
  <pageSetup scale="14" orientation="portrait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539"/>
  <sheetViews>
    <sheetView zoomScale="75" workbookViewId="0">
      <selection activeCell="L19" sqref="L19"/>
    </sheetView>
  </sheetViews>
  <sheetFormatPr defaultRowHeight="15"/>
  <cols>
    <col min="1" max="1" width="1.33203125" customWidth="1"/>
    <col min="2" max="2" width="4.88671875" customWidth="1"/>
    <col min="3" max="4" width="6.6640625" customWidth="1"/>
    <col min="5" max="5" width="4.6640625" customWidth="1"/>
    <col min="6" max="7" width="6.6640625" customWidth="1"/>
    <col min="8" max="8" width="4.6640625" customWidth="1"/>
    <col min="9" max="9" width="7.33203125" customWidth="1"/>
    <col min="10" max="10" width="6.6640625" customWidth="1"/>
    <col min="11" max="11" width="4.6640625" customWidth="1"/>
    <col min="12" max="12" width="6.44140625" customWidth="1"/>
    <col min="13" max="13" width="6.6640625" customWidth="1"/>
    <col min="14" max="14" width="5" customWidth="1"/>
    <col min="15" max="15" width="7.6640625" customWidth="1"/>
    <col min="16" max="16" width="6.6640625" customWidth="1"/>
    <col min="17" max="17" width="4.6640625" customWidth="1"/>
    <col min="18" max="18" width="7.109375" customWidth="1"/>
    <col min="19" max="19" width="6" customWidth="1"/>
    <col min="20" max="20" width="4.109375" customWidth="1"/>
    <col min="21" max="21" width="5.88671875" customWidth="1"/>
    <col min="22" max="22" width="6.6640625" customWidth="1"/>
    <col min="23" max="23" width="7.109375" customWidth="1"/>
    <col min="24" max="24" width="1.109375" customWidth="1"/>
    <col min="25" max="25" width="10.6640625" bestFit="1" customWidth="1"/>
    <col min="26" max="26" width="6" customWidth="1"/>
    <col min="27" max="27" width="4.21875" customWidth="1"/>
  </cols>
  <sheetData>
    <row r="1" spans="2:27">
      <c r="C1" t="s">
        <v>544</v>
      </c>
    </row>
    <row r="7" spans="2:27" ht="16.5" thickBot="1">
      <c r="B7" s="192" t="s">
        <v>574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2:27" ht="12" customHeight="1" thickTop="1">
      <c r="B8" s="19" t="s">
        <v>266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7" t="s">
        <v>24</v>
      </c>
      <c r="V8" s="20"/>
      <c r="W8" s="21"/>
    </row>
    <row r="9" spans="2:27" ht="12" customHeight="1">
      <c r="B9" s="170"/>
      <c r="C9" s="22" t="s">
        <v>245</v>
      </c>
      <c r="D9" s="22"/>
      <c r="E9" s="22"/>
      <c r="F9" s="377" t="s">
        <v>536</v>
      </c>
      <c r="G9" s="22"/>
      <c r="H9" s="22"/>
      <c r="I9" s="169" t="s">
        <v>258</v>
      </c>
      <c r="L9" s="372" t="s">
        <v>433</v>
      </c>
      <c r="O9" s="719" t="s">
        <v>469</v>
      </c>
      <c r="P9" s="120"/>
      <c r="Q9" s="720"/>
      <c r="R9" s="437" t="s">
        <v>482</v>
      </c>
      <c r="U9" s="148"/>
      <c r="V9" s="18"/>
      <c r="W9" s="23" t="s">
        <v>25</v>
      </c>
    </row>
    <row r="10" spans="2:27" ht="12" customHeight="1">
      <c r="B10" s="171"/>
      <c r="C10" s="24" t="s">
        <v>26</v>
      </c>
      <c r="D10" s="24" t="s">
        <v>77</v>
      </c>
      <c r="E10" s="24" t="s">
        <v>78</v>
      </c>
      <c r="F10" s="149" t="s">
        <v>13</v>
      </c>
      <c r="G10" s="24" t="s">
        <v>77</v>
      </c>
      <c r="H10" s="24" t="s">
        <v>78</v>
      </c>
      <c r="I10" s="149" t="s">
        <v>13</v>
      </c>
      <c r="J10" s="24" t="s">
        <v>77</v>
      </c>
      <c r="K10" s="177" t="s">
        <v>78</v>
      </c>
      <c r="L10" s="373" t="s">
        <v>434</v>
      </c>
      <c r="M10" s="24" t="s">
        <v>77</v>
      </c>
      <c r="N10" s="177" t="s">
        <v>78</v>
      </c>
      <c r="O10" s="383" t="s">
        <v>452</v>
      </c>
      <c r="P10" s="24" t="s">
        <v>77</v>
      </c>
      <c r="Q10" s="721" t="s">
        <v>78</v>
      </c>
      <c r="R10" s="353" t="s">
        <v>483</v>
      </c>
      <c r="S10" s="24" t="s">
        <v>77</v>
      </c>
      <c r="T10" s="177" t="s">
        <v>78</v>
      </c>
      <c r="U10" s="149" t="s">
        <v>27</v>
      </c>
      <c r="V10" s="24" t="s">
        <v>28</v>
      </c>
      <c r="W10" s="25" t="s">
        <v>259</v>
      </c>
      <c r="Y10" s="633" t="s">
        <v>522</v>
      </c>
      <c r="Z10" s="24" t="s">
        <v>77</v>
      </c>
      <c r="AA10" s="177" t="s">
        <v>78</v>
      </c>
    </row>
    <row r="11" spans="2:27" ht="12" customHeight="1">
      <c r="B11" s="613" t="s">
        <v>91</v>
      </c>
      <c r="C11" s="614">
        <f>A!B1050</f>
        <v>11626.03706926033</v>
      </c>
      <c r="D11" s="615" t="str">
        <f>A!C1050</f>
        <v>20-Jul</v>
      </c>
      <c r="E11" s="614">
        <f>A!D1050</f>
        <v>15</v>
      </c>
      <c r="F11" s="616">
        <f>A!E1050</f>
        <v>11564</v>
      </c>
      <c r="G11" s="617">
        <f>A!F1050</f>
        <v>37457</v>
      </c>
      <c r="H11" s="614">
        <f>A!G1050</f>
        <v>15</v>
      </c>
      <c r="I11" s="616">
        <f>A!H1050</f>
        <v>11602</v>
      </c>
      <c r="J11" s="617">
        <f>A!I1050</f>
        <v>37457</v>
      </c>
      <c r="K11" s="614">
        <f>A!J1050</f>
        <v>15</v>
      </c>
      <c r="L11" s="616">
        <f>A!K1050</f>
        <v>11995.70893824355</v>
      </c>
      <c r="M11" s="617" t="str">
        <f>A!L1050</f>
        <v>07/20</v>
      </c>
      <c r="N11" s="614" t="str">
        <f>A!M1050</f>
        <v>15:00</v>
      </c>
      <c r="O11" s="616">
        <f>A!N1050</f>
        <v>11932</v>
      </c>
      <c r="P11" s="617">
        <f>A!O1050</f>
        <v>202</v>
      </c>
      <c r="Q11" s="614">
        <f>A!P1050</f>
        <v>15</v>
      </c>
      <c r="R11" s="616">
        <f>A!Q1050</f>
        <v>11548</v>
      </c>
      <c r="S11" s="617">
        <f>A!R1050</f>
        <v>37822</v>
      </c>
      <c r="T11" s="614">
        <f>A!S1050</f>
        <v>15</v>
      </c>
      <c r="U11" s="150">
        <f>MINA(C11,F11,I11,L11,O11,R11)</f>
        <v>11548</v>
      </c>
      <c r="V11" s="26">
        <f>MAXA(C11,F11,I11,L11,O11,R11)</f>
        <v>11995.70893824355</v>
      </c>
      <c r="W11" s="27">
        <f t="shared" ref="W11:W30" si="0">(V11-U11)/AVERAGE(C11,F11,I11,L11,O11,R11)</f>
        <v>3.8228828759847136E-2</v>
      </c>
      <c r="X11" s="175" t="e">
        <f>AVERAGE(C11,F11,I11,L11,O11,#REF!)</f>
        <v>#REF!</v>
      </c>
      <c r="Y11" s="676">
        <f>A!T1050</f>
        <v>0</v>
      </c>
      <c r="Z11" s="681">
        <f>A!U1050</f>
        <v>0</v>
      </c>
      <c r="AA11" s="673">
        <f>A!V1050</f>
        <v>0</v>
      </c>
    </row>
    <row r="12" spans="2:27" ht="12" customHeight="1">
      <c r="B12" s="618" t="s">
        <v>96</v>
      </c>
      <c r="C12" s="614">
        <f>A!B1051</f>
        <v>12594.401556764305</v>
      </c>
      <c r="D12" s="615" t="str">
        <f>A!C1051</f>
        <v>20-Jul</v>
      </c>
      <c r="E12" s="614">
        <f>A!D1051</f>
        <v>15</v>
      </c>
      <c r="F12" s="616">
        <f>A!E1051</f>
        <v>12583</v>
      </c>
      <c r="G12" s="617">
        <f>A!F1051</f>
        <v>37457</v>
      </c>
      <c r="H12" s="614">
        <f>A!G1051</f>
        <v>15</v>
      </c>
      <c r="I12" s="616">
        <f>A!H1051</f>
        <v>12595</v>
      </c>
      <c r="J12" s="617">
        <f>A!I1051</f>
        <v>37457</v>
      </c>
      <c r="K12" s="614">
        <f>A!J1051</f>
        <v>15</v>
      </c>
      <c r="L12" s="616">
        <f>A!K1051</f>
        <v>12572.07933649695</v>
      </c>
      <c r="M12" s="617" t="str">
        <f>A!L1051</f>
        <v>07/20</v>
      </c>
      <c r="N12" s="614" t="str">
        <f>A!M1051</f>
        <v>15:00</v>
      </c>
      <c r="O12" s="616">
        <f>A!N1051</f>
        <v>12653</v>
      </c>
      <c r="P12" s="617">
        <f>A!O1051</f>
        <v>202</v>
      </c>
      <c r="Q12" s="614">
        <f>A!P1051</f>
        <v>15</v>
      </c>
      <c r="R12" s="616">
        <f>A!Q1051</f>
        <v>12162</v>
      </c>
      <c r="S12" s="617">
        <f>A!R1051</f>
        <v>37849</v>
      </c>
      <c r="T12" s="614">
        <f>A!S1051</f>
        <v>16</v>
      </c>
      <c r="U12" s="150">
        <f t="shared" ref="U12:U30" si="1">MINA(C12,F12,I12,L12,O12,R12)</f>
        <v>12162</v>
      </c>
      <c r="V12" s="26">
        <f t="shared" ref="V12:V30" si="2">MAXA(C12,F12,I12,L12,O12,R12)</f>
        <v>12653</v>
      </c>
      <c r="W12" s="27">
        <f t="shared" si="0"/>
        <v>3.9196651772832242E-2</v>
      </c>
      <c r="Y12" s="676">
        <f>A!T1051</f>
        <v>0</v>
      </c>
      <c r="Z12" s="681">
        <f>A!U1051</f>
        <v>0</v>
      </c>
      <c r="AA12" s="673">
        <f>A!V1051</f>
        <v>0</v>
      </c>
    </row>
    <row r="13" spans="2:27" ht="12" customHeight="1">
      <c r="B13" s="618" t="s">
        <v>98</v>
      </c>
      <c r="C13" s="614">
        <f>A!B1052</f>
        <v>13028.198604878649</v>
      </c>
      <c r="D13" s="615" t="str">
        <f>A!C1052</f>
        <v>20-Jul</v>
      </c>
      <c r="E13" s="614">
        <f>A!D1052</f>
        <v>15</v>
      </c>
      <c r="F13" s="616">
        <f>A!E1052</f>
        <v>12916</v>
      </c>
      <c r="G13" s="617">
        <f>A!F1052</f>
        <v>37457</v>
      </c>
      <c r="H13" s="614">
        <f>A!G1052</f>
        <v>15</v>
      </c>
      <c r="I13" s="616">
        <f>A!H1052</f>
        <v>12981</v>
      </c>
      <c r="J13" s="617">
        <f>A!I1052</f>
        <v>37457</v>
      </c>
      <c r="K13" s="614">
        <f>A!J1052</f>
        <v>15</v>
      </c>
      <c r="L13" s="616">
        <f>A!K1052</f>
        <v>12988.83919341615</v>
      </c>
      <c r="M13" s="617" t="str">
        <f>A!L1052</f>
        <v>07/20</v>
      </c>
      <c r="N13" s="614" t="str">
        <f>A!M1052</f>
        <v>15:00</v>
      </c>
      <c r="O13" s="616">
        <f>A!N1052</f>
        <v>13104</v>
      </c>
      <c r="P13" s="617">
        <f>A!O1052</f>
        <v>202</v>
      </c>
      <c r="Q13" s="614">
        <f>A!P1052</f>
        <v>15</v>
      </c>
      <c r="R13" s="616">
        <f>A!Q1052</f>
        <v>12875</v>
      </c>
      <c r="S13" s="617">
        <f>A!R1052</f>
        <v>37822</v>
      </c>
      <c r="T13" s="614">
        <f>A!S1052</f>
        <v>14</v>
      </c>
      <c r="U13" s="150">
        <f t="shared" si="1"/>
        <v>12875</v>
      </c>
      <c r="V13" s="26">
        <f t="shared" si="2"/>
        <v>13104</v>
      </c>
      <c r="W13" s="27">
        <f t="shared" si="0"/>
        <v>1.763957394443896E-2</v>
      </c>
      <c r="Y13" s="676">
        <f>A!T1052</f>
        <v>0</v>
      </c>
      <c r="Z13" s="681">
        <f>A!U1052</f>
        <v>0</v>
      </c>
      <c r="AA13" s="673">
        <f>A!V1052</f>
        <v>0</v>
      </c>
    </row>
    <row r="14" spans="2:27" ht="12" customHeight="1">
      <c r="B14" s="618" t="s">
        <v>102</v>
      </c>
      <c r="C14" s="614">
        <f>A!B1053</f>
        <v>13346.701022820673</v>
      </c>
      <c r="D14" s="615" t="str">
        <f>A!C1053</f>
        <v>20-Jul</v>
      </c>
      <c r="E14" s="614">
        <f>A!D1053</f>
        <v>15</v>
      </c>
      <c r="F14" s="616">
        <f>A!E1053</f>
        <v>13212</v>
      </c>
      <c r="G14" s="617">
        <f>A!F1053</f>
        <v>37457</v>
      </c>
      <c r="H14" s="614">
        <f>A!G1053</f>
        <v>15</v>
      </c>
      <c r="I14" s="616">
        <f>A!H1053</f>
        <v>13407</v>
      </c>
      <c r="J14" s="617">
        <f>A!I1053</f>
        <v>37457</v>
      </c>
      <c r="K14" s="614">
        <f>A!J1053</f>
        <v>15</v>
      </c>
      <c r="L14" s="616">
        <f>A!K1053</f>
        <v>13356.234896114151</v>
      </c>
      <c r="M14" s="617" t="str">
        <f>A!L1053</f>
        <v>07/20</v>
      </c>
      <c r="N14" s="614" t="str">
        <f>A!M1053</f>
        <v>15:00</v>
      </c>
      <c r="O14" s="616">
        <f>A!N1053</f>
        <v>13467</v>
      </c>
      <c r="P14" s="617">
        <f>A!O1053</f>
        <v>202</v>
      </c>
      <c r="Q14" s="614">
        <f>A!P1053</f>
        <v>15</v>
      </c>
      <c r="R14" s="616">
        <f>A!Q1053</f>
        <v>13335</v>
      </c>
      <c r="S14" s="617">
        <f>A!R1053</f>
        <v>37822</v>
      </c>
      <c r="T14" s="614">
        <f>A!S1053</f>
        <v>15</v>
      </c>
      <c r="U14" s="150">
        <f t="shared" si="1"/>
        <v>13212</v>
      </c>
      <c r="V14" s="26">
        <f t="shared" si="2"/>
        <v>13467</v>
      </c>
      <c r="W14" s="27">
        <f t="shared" si="0"/>
        <v>1.9095417398715578E-2</v>
      </c>
      <c r="Y14" s="676">
        <f>A!T1053</f>
        <v>0</v>
      </c>
      <c r="Z14" s="681">
        <f>A!U1053</f>
        <v>0</v>
      </c>
      <c r="AA14" s="673">
        <f>A!V1053</f>
        <v>0</v>
      </c>
    </row>
    <row r="15" spans="2:27" ht="12" customHeight="1">
      <c r="B15" s="619" t="s">
        <v>356</v>
      </c>
      <c r="C15" s="614">
        <f>A!B1054</f>
        <v>13180.901834486</v>
      </c>
      <c r="D15" s="615" t="str">
        <f>A!C1054</f>
        <v>20-Jul</v>
      </c>
      <c r="E15" s="614">
        <f>A!D1054</f>
        <v>15</v>
      </c>
      <c r="F15" s="616">
        <f>A!E1054</f>
        <v>13158</v>
      </c>
      <c r="G15" s="617">
        <f>A!F1054</f>
        <v>37457</v>
      </c>
      <c r="H15" s="614">
        <f>A!G1054</f>
        <v>15</v>
      </c>
      <c r="I15" s="616">
        <f>A!H1054</f>
        <v>13190</v>
      </c>
      <c r="J15" s="617">
        <f>A!I1054</f>
        <v>37457</v>
      </c>
      <c r="K15" s="614">
        <f>A!J1054</f>
        <v>15</v>
      </c>
      <c r="L15" s="616">
        <f>A!K1054</f>
        <v>13174.92580781395</v>
      </c>
      <c r="M15" s="617" t="str">
        <f>A!L1054</f>
        <v>07/20</v>
      </c>
      <c r="N15" s="614" t="str">
        <f>A!M1054</f>
        <v>15:00</v>
      </c>
      <c r="O15" s="616">
        <f>A!N1054</f>
        <v>13277</v>
      </c>
      <c r="P15" s="617">
        <f>A!O1054</f>
        <v>202</v>
      </c>
      <c r="Q15" s="614">
        <f>A!P1054</f>
        <v>15</v>
      </c>
      <c r="R15" s="616">
        <f>A!Q1054</f>
        <v>13101</v>
      </c>
      <c r="S15" s="617">
        <f>A!R1054</f>
        <v>37822</v>
      </c>
      <c r="T15" s="614">
        <f>A!S1054</f>
        <v>14</v>
      </c>
      <c r="U15" s="150">
        <f t="shared" si="1"/>
        <v>13101</v>
      </c>
      <c r="V15" s="26">
        <f t="shared" si="2"/>
        <v>13277</v>
      </c>
      <c r="W15" s="27">
        <f t="shared" si="0"/>
        <v>1.335325739784949E-2</v>
      </c>
      <c r="Y15" s="676">
        <f>A!T1054</f>
        <v>0</v>
      </c>
      <c r="Z15" s="681">
        <f>A!U1054</f>
        <v>0</v>
      </c>
      <c r="AA15" s="673">
        <f>A!V1054</f>
        <v>0</v>
      </c>
    </row>
    <row r="16" spans="2:27" ht="12" customHeight="1">
      <c r="B16" s="618" t="s">
        <v>105</v>
      </c>
      <c r="C16" s="614">
        <f>A!B1055</f>
        <v>11626.889010941171</v>
      </c>
      <c r="D16" s="615" t="str">
        <f>A!C1055</f>
        <v>20-Jul</v>
      </c>
      <c r="E16" s="614">
        <f>A!D1055</f>
        <v>15</v>
      </c>
      <c r="F16" s="616">
        <f>A!E1055</f>
        <v>11654</v>
      </c>
      <c r="G16" s="617">
        <f>A!F1055</f>
        <v>37457</v>
      </c>
      <c r="H16" s="614">
        <f>A!G1055</f>
        <v>15</v>
      </c>
      <c r="I16" s="616">
        <f>A!H1055</f>
        <v>11602</v>
      </c>
      <c r="J16" s="617">
        <f>A!I1055</f>
        <v>37457</v>
      </c>
      <c r="K16" s="614">
        <f>A!J1055</f>
        <v>15</v>
      </c>
      <c r="L16" s="616">
        <f>A!K1055</f>
        <v>11995.70169639605</v>
      </c>
      <c r="M16" s="617" t="str">
        <f>A!L1055</f>
        <v>07/20</v>
      </c>
      <c r="N16" s="614" t="str">
        <f>A!M1055</f>
        <v>15:00</v>
      </c>
      <c r="O16" s="616">
        <f>A!N1055</f>
        <v>11932</v>
      </c>
      <c r="P16" s="617">
        <f>A!O1055</f>
        <v>202</v>
      </c>
      <c r="Q16" s="614">
        <f>A!P1055</f>
        <v>15</v>
      </c>
      <c r="R16" s="616">
        <f>A!Q1055</f>
        <v>11546</v>
      </c>
      <c r="S16" s="617">
        <f>A!R1055</f>
        <v>37822</v>
      </c>
      <c r="T16" s="614">
        <f>A!S1055</f>
        <v>15</v>
      </c>
      <c r="U16" s="150">
        <f t="shared" si="1"/>
        <v>11546</v>
      </c>
      <c r="V16" s="26">
        <f t="shared" si="2"/>
        <v>11995.70169639605</v>
      </c>
      <c r="W16" s="27">
        <f t="shared" si="0"/>
        <v>3.8350496396280284E-2</v>
      </c>
      <c r="Y16" s="676">
        <f>A!T1055</f>
        <v>0</v>
      </c>
      <c r="Z16" s="681">
        <f>A!U1055</f>
        <v>0</v>
      </c>
      <c r="AA16" s="673">
        <f>A!V1055</f>
        <v>0</v>
      </c>
    </row>
    <row r="17" spans="2:27" ht="12" customHeight="1">
      <c r="B17" s="618" t="s">
        <v>108</v>
      </c>
      <c r="C17" s="614">
        <f>A!B1056</f>
        <v>12769.502182177162</v>
      </c>
      <c r="D17" s="615" t="str">
        <f>A!C1056</f>
        <v>20-Jul</v>
      </c>
      <c r="E17" s="614">
        <f>A!D1056</f>
        <v>15</v>
      </c>
      <c r="F17" s="616">
        <f>A!E1056</f>
        <v>12736</v>
      </c>
      <c r="G17" s="617">
        <f>A!F1056</f>
        <v>37457</v>
      </c>
      <c r="H17" s="614">
        <f>A!G1056</f>
        <v>15</v>
      </c>
      <c r="I17" s="616">
        <f>A!H1056</f>
        <v>12726</v>
      </c>
      <c r="J17" s="617">
        <f>A!I1056</f>
        <v>37457</v>
      </c>
      <c r="K17" s="614">
        <f>A!J1056</f>
        <v>15</v>
      </c>
      <c r="L17" s="616">
        <f>A!K1056</f>
        <v>12776.42848399295</v>
      </c>
      <c r="M17" s="617" t="str">
        <f>A!L1056</f>
        <v>07/20</v>
      </c>
      <c r="N17" s="614" t="str">
        <f>A!M1056</f>
        <v>15:00</v>
      </c>
      <c r="O17" s="616">
        <f>A!N1056</f>
        <v>12863</v>
      </c>
      <c r="P17" s="617">
        <f>A!O1056</f>
        <v>202</v>
      </c>
      <c r="Q17" s="614">
        <f>A!P1056</f>
        <v>15</v>
      </c>
      <c r="R17" s="616">
        <f>A!Q1056</f>
        <v>12762</v>
      </c>
      <c r="S17" s="617">
        <f>A!R1056</f>
        <v>37822</v>
      </c>
      <c r="T17" s="614">
        <f>A!S1056</f>
        <v>14</v>
      </c>
      <c r="U17" s="150">
        <f t="shared" si="1"/>
        <v>12726</v>
      </c>
      <c r="V17" s="26">
        <f t="shared" si="2"/>
        <v>12863</v>
      </c>
      <c r="W17" s="27">
        <f t="shared" si="0"/>
        <v>1.072645914562256E-2</v>
      </c>
      <c r="Y17" s="676">
        <f>A!T1056</f>
        <v>0</v>
      </c>
      <c r="Z17" s="681">
        <f>A!U1056</f>
        <v>0</v>
      </c>
      <c r="AA17" s="673">
        <f>A!V1056</f>
        <v>0</v>
      </c>
    </row>
    <row r="18" spans="2:27" ht="12" customHeight="1">
      <c r="B18" s="618" t="s">
        <v>109</v>
      </c>
      <c r="C18" s="614">
        <f>A!B1057</f>
        <v>11627.867729678333</v>
      </c>
      <c r="D18" s="615" t="str">
        <f>A!C1057</f>
        <v>20-Jul</v>
      </c>
      <c r="E18" s="614">
        <f>A!D1057</f>
        <v>15</v>
      </c>
      <c r="F18" s="616">
        <f>A!E1057</f>
        <v>11564</v>
      </c>
      <c r="G18" s="617">
        <f>A!F1057</f>
        <v>37457</v>
      </c>
      <c r="H18" s="614">
        <f>A!G1057</f>
        <v>15</v>
      </c>
      <c r="I18" s="616">
        <f>A!H1057</f>
        <v>11677</v>
      </c>
      <c r="J18" s="617">
        <f>A!I1057</f>
        <v>38248</v>
      </c>
      <c r="K18" s="614">
        <f>A!J1057</f>
        <v>15</v>
      </c>
      <c r="L18" s="616">
        <f>A!K1057</f>
        <v>11995.697398211951</v>
      </c>
      <c r="M18" s="617" t="str">
        <f>A!L1057</f>
        <v>07/20</v>
      </c>
      <c r="N18" s="614" t="str">
        <f>A!M1057</f>
        <v>15:00</v>
      </c>
      <c r="O18" s="616"/>
      <c r="P18" s="617"/>
      <c r="Q18" s="614"/>
      <c r="R18" s="616">
        <f>A!Q1057</f>
        <v>11519</v>
      </c>
      <c r="S18" s="617">
        <f>A!R1057</f>
        <v>37822</v>
      </c>
      <c r="T18" s="614">
        <f>A!S1057</f>
        <v>15</v>
      </c>
      <c r="U18" s="150">
        <f t="shared" si="1"/>
        <v>11519</v>
      </c>
      <c r="V18" s="26">
        <f t="shared" si="2"/>
        <v>11995.697398211951</v>
      </c>
      <c r="W18" s="27">
        <f t="shared" si="0"/>
        <v>4.0824622234676505E-2</v>
      </c>
      <c r="Y18" s="676">
        <f>A!T1057</f>
        <v>0</v>
      </c>
      <c r="Z18" s="681">
        <f>A!U1057</f>
        <v>0</v>
      </c>
      <c r="AA18" s="673">
        <f>A!V1057</f>
        <v>0</v>
      </c>
    </row>
    <row r="19" spans="2:27" ht="12" customHeight="1">
      <c r="B19" s="618" t="s">
        <v>111</v>
      </c>
      <c r="C19" s="614">
        <f>A!B1058</f>
        <v>11627.867729678333</v>
      </c>
      <c r="D19" s="615" t="str">
        <f>A!C1058</f>
        <v>20-Jul</v>
      </c>
      <c r="E19" s="614">
        <f>A!D1058</f>
        <v>15</v>
      </c>
      <c r="F19" s="616">
        <f>A!E1058</f>
        <v>11564</v>
      </c>
      <c r="G19" s="617">
        <f>A!F1058</f>
        <v>37457</v>
      </c>
      <c r="H19" s="614">
        <f>A!G1058</f>
        <v>15</v>
      </c>
      <c r="I19" s="616">
        <f>A!H1058</f>
        <v>11602</v>
      </c>
      <c r="J19" s="617">
        <f>A!I1058</f>
        <v>37457</v>
      </c>
      <c r="K19" s="614">
        <f>A!J1058</f>
        <v>15</v>
      </c>
      <c r="L19" s="616">
        <f>A!K1058</f>
        <v>11995.70893824355</v>
      </c>
      <c r="M19" s="617"/>
      <c r="N19" s="614"/>
      <c r="O19" s="616"/>
      <c r="P19" s="617"/>
      <c r="Q19" s="614"/>
      <c r="R19" s="616">
        <f>A!Q1058</f>
        <v>11549</v>
      </c>
      <c r="S19" s="617">
        <f>A!R1058</f>
        <v>37822</v>
      </c>
      <c r="T19" s="614">
        <f>A!S1058</f>
        <v>15</v>
      </c>
      <c r="U19" s="150">
        <f t="shared" si="1"/>
        <v>11549</v>
      </c>
      <c r="V19" s="26">
        <f t="shared" si="2"/>
        <v>11995.70893824355</v>
      </c>
      <c r="W19" s="27">
        <f t="shared" si="0"/>
        <v>3.8285896207781285E-2</v>
      </c>
      <c r="Y19" s="676">
        <f>A!T1058</f>
        <v>0</v>
      </c>
      <c r="Z19" s="681">
        <f>A!U1058</f>
        <v>0</v>
      </c>
      <c r="AA19" s="673">
        <f>A!V1058</f>
        <v>0</v>
      </c>
    </row>
    <row r="20" spans="2:27" ht="12" customHeight="1">
      <c r="B20" s="618" t="s">
        <v>112</v>
      </c>
      <c r="C20" s="614">
        <f>A!B1059</f>
        <v>11626.03706926033</v>
      </c>
      <c r="D20" s="615" t="str">
        <f>A!C1059</f>
        <v>20-Jul</v>
      </c>
      <c r="E20" s="614">
        <f>A!D1059</f>
        <v>15</v>
      </c>
      <c r="F20" s="616">
        <f>A!E1059</f>
        <v>11564</v>
      </c>
      <c r="G20" s="617">
        <f>A!F1059</f>
        <v>37457</v>
      </c>
      <c r="H20" s="614">
        <f>A!G1059</f>
        <v>15</v>
      </c>
      <c r="I20" s="616">
        <f>A!H1059</f>
        <v>11602</v>
      </c>
      <c r="J20" s="617">
        <f>A!I1059</f>
        <v>37457</v>
      </c>
      <c r="K20" s="614">
        <f>A!J1059</f>
        <v>15</v>
      </c>
      <c r="L20" s="616">
        <f>A!K1059</f>
        <v>11995.70893824355</v>
      </c>
      <c r="M20" s="617" t="str">
        <f>A!L1059</f>
        <v>07/20</v>
      </c>
      <c r="N20" s="614" t="str">
        <f>A!M1059</f>
        <v>15:00</v>
      </c>
      <c r="O20" s="616"/>
      <c r="P20" s="617"/>
      <c r="Q20" s="614"/>
      <c r="R20" s="616">
        <f>A!Q1059</f>
        <v>11548</v>
      </c>
      <c r="S20" s="617">
        <f>A!R1059</f>
        <v>37822</v>
      </c>
      <c r="T20" s="614">
        <f>A!S1059</f>
        <v>15</v>
      </c>
      <c r="U20" s="150">
        <f t="shared" si="1"/>
        <v>11548</v>
      </c>
      <c r="V20" s="26">
        <f t="shared" si="2"/>
        <v>11995.70893824355</v>
      </c>
      <c r="W20" s="27">
        <f t="shared" si="0"/>
        <v>3.8373464718010092E-2</v>
      </c>
      <c r="Y20" s="676">
        <f>A!T1059</f>
        <v>0</v>
      </c>
      <c r="Z20" s="681">
        <f>A!U1059</f>
        <v>0</v>
      </c>
      <c r="AA20" s="673">
        <f>A!V1059</f>
        <v>0</v>
      </c>
    </row>
    <row r="21" spans="2:27" ht="12" customHeight="1">
      <c r="B21" s="618" t="s">
        <v>113</v>
      </c>
      <c r="C21" s="614">
        <f>A!B1060</f>
        <v>11626.03706926033</v>
      </c>
      <c r="D21" s="615" t="str">
        <f>A!C1060</f>
        <v>20-Jul</v>
      </c>
      <c r="E21" s="614">
        <f>A!D1060</f>
        <v>15</v>
      </c>
      <c r="F21" s="616">
        <f>A!E1060</f>
        <v>11564</v>
      </c>
      <c r="G21" s="617">
        <f>A!F1060</f>
        <v>37457</v>
      </c>
      <c r="H21" s="614">
        <f>A!G1060</f>
        <v>15</v>
      </c>
      <c r="I21" s="616">
        <f>A!H1060</f>
        <v>11602</v>
      </c>
      <c r="J21" s="617">
        <f>A!I1060</f>
        <v>37457</v>
      </c>
      <c r="K21" s="614">
        <f>A!J1060</f>
        <v>15</v>
      </c>
      <c r="L21" s="616">
        <f>A!K1060</f>
        <v>11995.70893824365</v>
      </c>
      <c r="M21" s="617" t="str">
        <f>A!L1060</f>
        <v>07/20</v>
      </c>
      <c r="N21" s="614" t="str">
        <f>A!M1060</f>
        <v>15:00</v>
      </c>
      <c r="O21" s="616"/>
      <c r="P21" s="617"/>
      <c r="Q21" s="614"/>
      <c r="R21" s="616">
        <f>A!Q1060</f>
        <v>11548</v>
      </c>
      <c r="S21" s="617">
        <f>A!R1060</f>
        <v>37822</v>
      </c>
      <c r="T21" s="614">
        <f>A!S1060</f>
        <v>15</v>
      </c>
      <c r="U21" s="150">
        <f t="shared" si="1"/>
        <v>11548</v>
      </c>
      <c r="V21" s="26">
        <f t="shared" si="2"/>
        <v>11995.70893824365</v>
      </c>
      <c r="W21" s="27">
        <f t="shared" si="0"/>
        <v>3.8373464718018606E-2</v>
      </c>
      <c r="Y21" s="676">
        <f>A!T1060</f>
        <v>0</v>
      </c>
      <c r="Z21" s="681">
        <f>A!U1060</f>
        <v>0</v>
      </c>
      <c r="AA21" s="673">
        <f>A!V1060</f>
        <v>0</v>
      </c>
    </row>
    <row r="22" spans="2:27" ht="12" customHeight="1">
      <c r="B22" s="618" t="s">
        <v>114</v>
      </c>
      <c r="C22" s="614">
        <f>A!B1061</f>
        <v>11626.03706926033</v>
      </c>
      <c r="D22" s="615" t="str">
        <f>A!C1061</f>
        <v>20-Jul</v>
      </c>
      <c r="E22" s="614">
        <f>A!D1061</f>
        <v>15</v>
      </c>
      <c r="F22" s="616">
        <f>A!E1061</f>
        <v>11564</v>
      </c>
      <c r="G22" s="617">
        <f>A!F1061</f>
        <v>37457</v>
      </c>
      <c r="H22" s="614">
        <f>A!G1061</f>
        <v>15</v>
      </c>
      <c r="I22" s="616">
        <f>A!H1061</f>
        <v>11602</v>
      </c>
      <c r="J22" s="617">
        <f>A!I1061</f>
        <v>37457</v>
      </c>
      <c r="K22" s="614">
        <f>A!J1061</f>
        <v>15</v>
      </c>
      <c r="L22" s="616">
        <f>A!K1061</f>
        <v>11995.70893824365</v>
      </c>
      <c r="M22" s="617" t="str">
        <f>A!L1061</f>
        <v>07/20</v>
      </c>
      <c r="N22" s="614" t="str">
        <f>A!M1061</f>
        <v>15:00</v>
      </c>
      <c r="O22" s="616"/>
      <c r="P22" s="617"/>
      <c r="Q22" s="614"/>
      <c r="R22" s="616">
        <f>A!Q1061</f>
        <v>11461</v>
      </c>
      <c r="S22" s="617">
        <f>A!R1061</f>
        <v>37849</v>
      </c>
      <c r="T22" s="614">
        <f>A!S1061</f>
        <v>16</v>
      </c>
      <c r="U22" s="150">
        <f t="shared" si="1"/>
        <v>11461</v>
      </c>
      <c r="V22" s="26">
        <f t="shared" si="2"/>
        <v>11995.70893824365</v>
      </c>
      <c r="W22" s="27">
        <f t="shared" si="0"/>
        <v>4.5898751037040782E-2</v>
      </c>
      <c r="Y22" s="676">
        <f>A!T1061</f>
        <v>0</v>
      </c>
      <c r="Z22" s="681">
        <f>A!U1061</f>
        <v>0</v>
      </c>
      <c r="AA22" s="673">
        <f>A!V1061</f>
        <v>0</v>
      </c>
    </row>
    <row r="23" spans="2:27" ht="12" customHeight="1">
      <c r="B23" s="618" t="s">
        <v>115</v>
      </c>
      <c r="C23" s="614">
        <f>A!B1062</f>
        <v>10166.483125274943</v>
      </c>
      <c r="D23" s="615" t="str">
        <f>A!C1062</f>
        <v>20-Jul</v>
      </c>
      <c r="E23" s="614">
        <f>A!D1062</f>
        <v>15</v>
      </c>
      <c r="F23" s="616">
        <f>A!E1062</f>
        <v>10431</v>
      </c>
      <c r="G23" s="617">
        <f>A!F1062</f>
        <v>37457</v>
      </c>
      <c r="H23" s="614">
        <f>A!G1062</f>
        <v>15</v>
      </c>
      <c r="I23" s="616">
        <f>A!H1062</f>
        <v>10425</v>
      </c>
      <c r="J23" s="617">
        <f>A!I1062</f>
        <v>37457</v>
      </c>
      <c r="K23" s="614">
        <f>A!J1062</f>
        <v>15</v>
      </c>
      <c r="L23" s="616">
        <f>A!K1062</f>
        <v>10438.517476406219</v>
      </c>
      <c r="M23" s="617" t="str">
        <f>A!L1062</f>
        <v>07/20</v>
      </c>
      <c r="N23" s="614" t="str">
        <f>A!M1062</f>
        <v>15:00</v>
      </c>
      <c r="O23" s="616">
        <f>A!N1062</f>
        <v>10177</v>
      </c>
      <c r="P23" s="617">
        <f>A!O1062</f>
        <v>202</v>
      </c>
      <c r="Q23" s="614">
        <f>A!P1062</f>
        <v>15</v>
      </c>
      <c r="R23" s="616">
        <f>A!Q1062</f>
        <v>10274</v>
      </c>
      <c r="S23" s="617">
        <f>A!R1062</f>
        <v>37776</v>
      </c>
      <c r="T23" s="614">
        <f>A!S1062</f>
        <v>15</v>
      </c>
      <c r="U23" s="150">
        <f t="shared" si="1"/>
        <v>10166.483125274943</v>
      </c>
      <c r="V23" s="26">
        <f t="shared" si="2"/>
        <v>10438.517476406219</v>
      </c>
      <c r="W23" s="27">
        <f t="shared" si="0"/>
        <v>2.6363323603265036E-2</v>
      </c>
      <c r="Y23" s="676">
        <f>A!T1062</f>
        <v>0</v>
      </c>
      <c r="Z23" s="681">
        <f>A!U1062</f>
        <v>0</v>
      </c>
      <c r="AA23" s="673">
        <f>A!V1062</f>
        <v>0</v>
      </c>
    </row>
    <row r="24" spans="2:27" ht="12" customHeight="1">
      <c r="B24" s="618" t="s">
        <v>121</v>
      </c>
      <c r="C24" s="614">
        <f>A!B1063</f>
        <v>11204.896753388282</v>
      </c>
      <c r="D24" s="615" t="str">
        <f>A!C1063</f>
        <v>20-Jul</v>
      </c>
      <c r="E24" s="614">
        <f>A!D1063</f>
        <v>15</v>
      </c>
      <c r="F24" s="616">
        <f>A!E1063</f>
        <v>11590</v>
      </c>
      <c r="G24" s="617">
        <f>A!F1063</f>
        <v>37457</v>
      </c>
      <c r="H24" s="614">
        <f>A!G1063</f>
        <v>15</v>
      </c>
      <c r="I24" s="616">
        <f>A!H1063</f>
        <v>11587</v>
      </c>
      <c r="J24" s="617">
        <f>A!I1063</f>
        <v>37457</v>
      </c>
      <c r="K24" s="614">
        <f>A!J1063</f>
        <v>15</v>
      </c>
      <c r="L24" s="616">
        <f>A!K1063</f>
        <v>11450.751449098989</v>
      </c>
      <c r="M24" s="617" t="str">
        <f>A!L1063</f>
        <v>07/20</v>
      </c>
      <c r="N24" s="614" t="str">
        <f>A!M1063</f>
        <v>15:00</v>
      </c>
      <c r="O24" s="616">
        <f>A!N1063</f>
        <v>11186</v>
      </c>
      <c r="P24" s="617">
        <f>A!O1063</f>
        <v>202</v>
      </c>
      <c r="Q24" s="614">
        <f>A!P1063</f>
        <v>15</v>
      </c>
      <c r="R24" s="616">
        <f>A!Q1063</f>
        <v>11344</v>
      </c>
      <c r="S24" s="617">
        <f>A!R1063</f>
        <v>37822</v>
      </c>
      <c r="T24" s="614">
        <f>A!S1063</f>
        <v>14</v>
      </c>
      <c r="U24" s="150">
        <f t="shared" si="1"/>
        <v>11186</v>
      </c>
      <c r="V24" s="26">
        <f t="shared" si="2"/>
        <v>11590</v>
      </c>
      <c r="W24" s="27">
        <f t="shared" si="0"/>
        <v>3.5457959335048209E-2</v>
      </c>
      <c r="Y24" s="676">
        <f>A!T1063</f>
        <v>0</v>
      </c>
      <c r="Z24" s="681">
        <f>A!U1063</f>
        <v>0</v>
      </c>
      <c r="AA24" s="673">
        <f>A!V1063</f>
        <v>0</v>
      </c>
    </row>
    <row r="25" spans="2:27" ht="12" customHeight="1">
      <c r="B25" s="618" t="s">
        <v>125</v>
      </c>
      <c r="C25" s="614">
        <f>A!B1064</f>
        <v>11035.389839962188</v>
      </c>
      <c r="D25" s="615" t="str">
        <f>A!C1064</f>
        <v>20-Jul</v>
      </c>
      <c r="E25" s="614">
        <f>A!D1064</f>
        <v>15</v>
      </c>
      <c r="F25" s="616">
        <f>A!E1064</f>
        <v>10989</v>
      </c>
      <c r="G25" s="617">
        <f>A!F1064</f>
        <v>37457</v>
      </c>
      <c r="H25" s="614">
        <f>A!G1064</f>
        <v>15</v>
      </c>
      <c r="I25" s="616">
        <f>A!H1064</f>
        <v>11014</v>
      </c>
      <c r="J25" s="617">
        <f>A!I1064</f>
        <v>37457</v>
      </c>
      <c r="K25" s="614">
        <f>A!J1064</f>
        <v>15</v>
      </c>
      <c r="L25" s="616">
        <f>A!K1064</f>
        <v>11261.829575676351</v>
      </c>
      <c r="M25" s="617" t="str">
        <f>A!L1064</f>
        <v>07/20</v>
      </c>
      <c r="N25" s="614" t="str">
        <f>A!M1064</f>
        <v>15:00</v>
      </c>
      <c r="O25" s="616">
        <f>A!N1064</f>
        <v>11044</v>
      </c>
      <c r="P25" s="617">
        <f>A!O1064</f>
        <v>202</v>
      </c>
      <c r="Q25" s="614">
        <f>A!P1064</f>
        <v>15</v>
      </c>
      <c r="R25" s="616">
        <f>A!Q1064</f>
        <v>10684</v>
      </c>
      <c r="S25" s="617">
        <f>A!R1064</f>
        <v>37776</v>
      </c>
      <c r="T25" s="614">
        <f>A!S1064</f>
        <v>15</v>
      </c>
      <c r="U25" s="150">
        <f t="shared" si="1"/>
        <v>10684</v>
      </c>
      <c r="V25" s="26">
        <f t="shared" si="2"/>
        <v>11261.829575676351</v>
      </c>
      <c r="W25" s="27">
        <f t="shared" si="0"/>
        <v>5.2507510951248899E-2</v>
      </c>
      <c r="Y25" s="676">
        <f>A!T1064</f>
        <v>0</v>
      </c>
      <c r="Z25" s="681">
        <f>A!U1064</f>
        <v>0</v>
      </c>
      <c r="AA25" s="673">
        <f>A!V1064</f>
        <v>0</v>
      </c>
    </row>
    <row r="26" spans="2:27" ht="12" customHeight="1">
      <c r="B26" s="618" t="s">
        <v>127</v>
      </c>
      <c r="C26" s="614">
        <f>A!B1065</f>
        <v>10430.779128711938</v>
      </c>
      <c r="D26" s="615" t="str">
        <f>A!C1065</f>
        <v>20-Jul</v>
      </c>
      <c r="E26" s="614">
        <f>A!D1065</f>
        <v>15</v>
      </c>
      <c r="F26" s="616">
        <f>A!E1065</f>
        <v>10972</v>
      </c>
      <c r="G26" s="617">
        <f>A!F1065</f>
        <v>37457</v>
      </c>
      <c r="H26" s="614">
        <f>A!G1065</f>
        <v>15</v>
      </c>
      <c r="I26" s="616">
        <f>A!H1065</f>
        <v>10966</v>
      </c>
      <c r="J26" s="617">
        <f>A!I1065</f>
        <v>37457</v>
      </c>
      <c r="K26" s="614">
        <f>A!J1065</f>
        <v>15</v>
      </c>
      <c r="L26" s="616">
        <f>A!K1065</f>
        <v>10902.67497611466</v>
      </c>
      <c r="M26" s="617" t="str">
        <f>A!L1065</f>
        <v>07/20</v>
      </c>
      <c r="N26" s="614" t="str">
        <f>A!M1065</f>
        <v>15:00</v>
      </c>
      <c r="O26" s="616">
        <f>A!N1065</f>
        <v>10639</v>
      </c>
      <c r="P26" s="617">
        <f>A!O1065</f>
        <v>202</v>
      </c>
      <c r="Q26" s="614">
        <f>A!P1065</f>
        <v>15</v>
      </c>
      <c r="R26" s="616">
        <f>A!Q1065</f>
        <v>10747</v>
      </c>
      <c r="S26" s="617">
        <f>A!R1065</f>
        <v>37849</v>
      </c>
      <c r="T26" s="614">
        <f>A!S1065</f>
        <v>15</v>
      </c>
      <c r="U26" s="150">
        <f t="shared" si="1"/>
        <v>10430.779128711938</v>
      </c>
      <c r="V26" s="26">
        <f t="shared" si="2"/>
        <v>10972</v>
      </c>
      <c r="W26" s="27">
        <f t="shared" si="0"/>
        <v>5.0223524459586839E-2</v>
      </c>
      <c r="Y26" s="676">
        <f>A!T1065</f>
        <v>0</v>
      </c>
      <c r="Z26" s="681">
        <f>A!U1065</f>
        <v>0</v>
      </c>
      <c r="AA26" s="673">
        <f>A!V1065</f>
        <v>0</v>
      </c>
    </row>
    <row r="27" spans="2:27" ht="12" customHeight="1">
      <c r="B27" s="618" t="s">
        <v>130</v>
      </c>
      <c r="C27" s="614">
        <f>A!B1066</f>
        <v>9366.7480928703299</v>
      </c>
      <c r="D27" s="615" t="str">
        <f>A!C1066</f>
        <v>20-Jul</v>
      </c>
      <c r="E27" s="614">
        <f>A!D1066</f>
        <v>15</v>
      </c>
      <c r="F27" s="616">
        <f>A!E1066</f>
        <v>9538</v>
      </c>
      <c r="G27" s="617">
        <f>A!F1066</f>
        <v>37457</v>
      </c>
      <c r="H27" s="614">
        <f>A!G1066</f>
        <v>15</v>
      </c>
      <c r="I27" s="616">
        <f>A!H1066</f>
        <v>9531</v>
      </c>
      <c r="J27" s="617">
        <f>A!I1066</f>
        <v>37457</v>
      </c>
      <c r="K27" s="614">
        <f>A!J1066</f>
        <v>15</v>
      </c>
      <c r="L27" s="616">
        <f>A!K1066</f>
        <v>9588.2505528908587</v>
      </c>
      <c r="M27" s="617" t="str">
        <f>A!L1066</f>
        <v>07/20</v>
      </c>
      <c r="N27" s="614" t="str">
        <f>A!M1066</f>
        <v>15:00</v>
      </c>
      <c r="O27" s="616">
        <f>A!N1066</f>
        <v>9419</v>
      </c>
      <c r="P27" s="617">
        <f>A!O1066</f>
        <v>202</v>
      </c>
      <c r="Q27" s="614">
        <f>A!P1066</f>
        <v>15</v>
      </c>
      <c r="R27" s="616">
        <f>A!Q1066</f>
        <v>9585</v>
      </c>
      <c r="S27" s="617">
        <f>A!R1066</f>
        <v>37849</v>
      </c>
      <c r="T27" s="614">
        <f>A!S1066</f>
        <v>15</v>
      </c>
      <c r="U27" s="150">
        <f t="shared" si="1"/>
        <v>9366.7480928703299</v>
      </c>
      <c r="V27" s="26">
        <f t="shared" si="2"/>
        <v>9588.2505528908587</v>
      </c>
      <c r="W27" s="27">
        <f t="shared" si="0"/>
        <v>2.3304601102671813E-2</v>
      </c>
      <c r="Y27" s="676">
        <f>A!T1066</f>
        <v>0</v>
      </c>
      <c r="Z27" s="681">
        <f>A!U1066</f>
        <v>0</v>
      </c>
      <c r="AA27" s="673">
        <f>A!V1066</f>
        <v>0</v>
      </c>
    </row>
    <row r="28" spans="2:27" ht="12" customHeight="1">
      <c r="B28" s="618" t="s">
        <v>132</v>
      </c>
      <c r="C28" s="614">
        <f>A!B1067</f>
        <v>8028.3285466124171</v>
      </c>
      <c r="D28" s="615" t="str">
        <f>A!C1067</f>
        <v>20-Jul</v>
      </c>
      <c r="E28" s="614">
        <f>A!D1067</f>
        <v>15</v>
      </c>
      <c r="F28" s="616">
        <f>A!E1067</f>
        <v>8059</v>
      </c>
      <c r="G28" s="617">
        <f>A!F1067</f>
        <v>37457</v>
      </c>
      <c r="H28" s="614">
        <f>A!G1067</f>
        <v>15</v>
      </c>
      <c r="I28" s="616">
        <f>A!H1067</f>
        <v>8055</v>
      </c>
      <c r="J28" s="617">
        <f>A!I1067</f>
        <v>37457</v>
      </c>
      <c r="K28" s="614">
        <f>A!J1067</f>
        <v>15</v>
      </c>
      <c r="L28" s="616">
        <f>A!K1067</f>
        <v>8293.0409630453032</v>
      </c>
      <c r="M28" s="617" t="str">
        <f>A!L1067</f>
        <v>07/20</v>
      </c>
      <c r="N28" s="614" t="str">
        <f>A!M1067</f>
        <v>15:00</v>
      </c>
      <c r="O28" s="616">
        <f>A!N1067</f>
        <v>7992</v>
      </c>
      <c r="P28" s="617">
        <f>A!O1067</f>
        <v>202</v>
      </c>
      <c r="Q28" s="614">
        <f>A!P1067</f>
        <v>15</v>
      </c>
      <c r="R28" s="616">
        <f>A!Q1067</f>
        <v>8089</v>
      </c>
      <c r="S28" s="617">
        <f>A!R1067</f>
        <v>37849</v>
      </c>
      <c r="T28" s="614">
        <f>A!S1067</f>
        <v>15</v>
      </c>
      <c r="U28" s="150">
        <f t="shared" si="1"/>
        <v>7992</v>
      </c>
      <c r="V28" s="26">
        <f t="shared" si="2"/>
        <v>8293.0409630453032</v>
      </c>
      <c r="W28" s="27">
        <f t="shared" si="0"/>
        <v>3.7229615416962847E-2</v>
      </c>
      <c r="Y28" s="676">
        <f>A!T1067</f>
        <v>0</v>
      </c>
      <c r="Z28" s="681">
        <f>A!U1067</f>
        <v>0</v>
      </c>
      <c r="AA28" s="673">
        <f>A!V1067</f>
        <v>0</v>
      </c>
    </row>
    <row r="29" spans="2:27" ht="12" customHeight="1">
      <c r="B29" s="618" t="s">
        <v>135</v>
      </c>
      <c r="C29" s="614">
        <f>A!B1068</f>
        <v>8698.956160670863</v>
      </c>
      <c r="D29" s="615" t="str">
        <f>A!C1068</f>
        <v>20-Jul</v>
      </c>
      <c r="E29" s="614">
        <f>A!D1068</f>
        <v>15</v>
      </c>
      <c r="F29" s="616">
        <f>A!E1068</f>
        <v>8943</v>
      </c>
      <c r="G29" s="617">
        <f>A!F1068</f>
        <v>37457</v>
      </c>
      <c r="H29" s="614">
        <f>A!G1068</f>
        <v>15</v>
      </c>
      <c r="I29" s="616">
        <f>A!H1068</f>
        <v>8939</v>
      </c>
      <c r="J29" s="617">
        <f>A!I1068</f>
        <v>37457</v>
      </c>
      <c r="K29" s="614">
        <f>A!J1068</f>
        <v>15</v>
      </c>
      <c r="L29" s="616">
        <f>A!K1068</f>
        <v>9076.4427814605297</v>
      </c>
      <c r="M29" s="617" t="str">
        <f>A!L1068</f>
        <v>07/20</v>
      </c>
      <c r="N29" s="614" t="str">
        <f>A!M1068</f>
        <v>15:00</v>
      </c>
      <c r="O29" s="616">
        <f>A!N1068</f>
        <v>8846</v>
      </c>
      <c r="P29" s="617">
        <f>A!O1068</f>
        <v>202</v>
      </c>
      <c r="Q29" s="614">
        <f>A!P1068</f>
        <v>15</v>
      </c>
      <c r="R29" s="616">
        <f>A!Q1068</f>
        <v>8985</v>
      </c>
      <c r="S29" s="617">
        <f>A!R1068</f>
        <v>37849</v>
      </c>
      <c r="T29" s="614">
        <f>A!S1068</f>
        <v>15</v>
      </c>
      <c r="U29" s="150">
        <f t="shared" si="1"/>
        <v>8698.956160670863</v>
      </c>
      <c r="V29" s="26">
        <f t="shared" si="2"/>
        <v>9076.4427814605297</v>
      </c>
      <c r="W29" s="27">
        <f t="shared" si="0"/>
        <v>4.2344130120409773E-2</v>
      </c>
      <c r="Y29" s="676">
        <f>A!T1068</f>
        <v>0</v>
      </c>
      <c r="Z29" s="681">
        <f>A!U1068</f>
        <v>0</v>
      </c>
      <c r="AA29" s="673">
        <f>A!V1068</f>
        <v>0</v>
      </c>
    </row>
    <row r="30" spans="2:27" ht="12" customHeight="1" thickBot="1">
      <c r="B30" s="620" t="s">
        <v>138</v>
      </c>
      <c r="C30" s="614">
        <f>A!B1069</f>
        <v>7204.8270241150658</v>
      </c>
      <c r="D30" s="615" t="str">
        <f>A!C1069</f>
        <v>20-Jul</v>
      </c>
      <c r="E30" s="614">
        <f>A!D1069</f>
        <v>15</v>
      </c>
      <c r="F30" s="621">
        <f>A!E1069</f>
        <v>7350</v>
      </c>
      <c r="G30" s="617">
        <f>A!F1069</f>
        <v>37457</v>
      </c>
      <c r="H30" s="614">
        <f>A!G1069</f>
        <v>15</v>
      </c>
      <c r="I30" s="621">
        <f>A!H1069</f>
        <v>7346</v>
      </c>
      <c r="J30" s="617">
        <f>A!I1069</f>
        <v>37457</v>
      </c>
      <c r="K30" s="614">
        <f>A!J1069</f>
        <v>15</v>
      </c>
      <c r="L30" s="616">
        <f>A!K1069</f>
        <v>7767.9889719023276</v>
      </c>
      <c r="M30" s="617" t="str">
        <f>A!L1069</f>
        <v>07/20</v>
      </c>
      <c r="N30" s="614" t="str">
        <f>A!M1069</f>
        <v>15:00</v>
      </c>
      <c r="O30" s="616">
        <f>A!N1069</f>
        <v>7351</v>
      </c>
      <c r="P30" s="617">
        <f>A!O1069</f>
        <v>202</v>
      </c>
      <c r="Q30" s="614">
        <f>A!P1069</f>
        <v>15</v>
      </c>
      <c r="R30" s="616">
        <f>A!Q1069</f>
        <v>7471</v>
      </c>
      <c r="S30" s="617">
        <f>A!R1069</f>
        <v>37776</v>
      </c>
      <c r="T30" s="614">
        <f>A!S1069</f>
        <v>15</v>
      </c>
      <c r="U30" s="150">
        <f t="shared" si="1"/>
        <v>7204.8270241150658</v>
      </c>
      <c r="V30" s="26">
        <f t="shared" si="2"/>
        <v>7767.9889719023276</v>
      </c>
      <c r="W30" s="27">
        <f t="shared" si="0"/>
        <v>7.5947622246938351E-2</v>
      </c>
      <c r="Y30" s="676">
        <f>A!T1069</f>
        <v>0</v>
      </c>
      <c r="Z30" s="681">
        <f>A!U1069</f>
        <v>0</v>
      </c>
      <c r="AA30" s="673">
        <f>A!V1069</f>
        <v>0</v>
      </c>
    </row>
    <row r="31" spans="2:27" ht="12" customHeight="1" thickTop="1">
      <c r="B31" s="19" t="s">
        <v>267</v>
      </c>
      <c r="C31" s="20"/>
      <c r="D31" s="178"/>
      <c r="E31" s="20"/>
      <c r="F31" s="147"/>
      <c r="G31" s="179"/>
      <c r="H31" s="20"/>
      <c r="I31" s="20"/>
      <c r="J31" s="179"/>
      <c r="K31" s="20"/>
      <c r="L31" s="20"/>
      <c r="M31" s="179"/>
      <c r="N31" s="20"/>
      <c r="O31" s="20"/>
      <c r="P31" s="179"/>
      <c r="Q31" s="20"/>
      <c r="R31" s="20"/>
      <c r="S31" s="20"/>
      <c r="T31" s="20"/>
      <c r="U31" s="147" t="s">
        <v>24</v>
      </c>
      <c r="V31" s="20"/>
      <c r="W31" s="21"/>
      <c r="Y31" s="676"/>
      <c r="Z31" s="681"/>
      <c r="AA31" s="673"/>
    </row>
    <row r="32" spans="2:27" ht="12" customHeight="1">
      <c r="B32" s="170"/>
      <c r="C32" s="22" t="s">
        <v>245</v>
      </c>
      <c r="D32" s="22"/>
      <c r="E32" s="22"/>
      <c r="F32" s="377" t="s">
        <v>536</v>
      </c>
      <c r="G32" s="180"/>
      <c r="H32" s="22"/>
      <c r="I32" s="169" t="s">
        <v>258</v>
      </c>
      <c r="J32" s="106"/>
      <c r="L32" s="372" t="s">
        <v>433</v>
      </c>
      <c r="M32" s="106"/>
      <c r="O32" s="722" t="s">
        <v>469</v>
      </c>
      <c r="P32" s="120"/>
      <c r="Q32" s="48"/>
      <c r="R32" s="437" t="s">
        <v>482</v>
      </c>
      <c r="U32" s="148"/>
      <c r="V32" s="18"/>
      <c r="W32" s="23" t="s">
        <v>25</v>
      </c>
      <c r="Y32" s="676"/>
      <c r="Z32" s="681"/>
      <c r="AA32" s="673"/>
    </row>
    <row r="33" spans="2:27" ht="12" customHeight="1">
      <c r="B33" s="171"/>
      <c r="C33" s="24" t="s">
        <v>26</v>
      </c>
      <c r="D33" s="24" t="s">
        <v>77</v>
      </c>
      <c r="E33" s="24" t="s">
        <v>78</v>
      </c>
      <c r="F33" s="149" t="s">
        <v>13</v>
      </c>
      <c r="G33" s="181" t="s">
        <v>77</v>
      </c>
      <c r="H33" s="24" t="s">
        <v>78</v>
      </c>
      <c r="I33" s="149" t="s">
        <v>13</v>
      </c>
      <c r="J33" s="181" t="s">
        <v>77</v>
      </c>
      <c r="K33" s="24" t="s">
        <v>78</v>
      </c>
      <c r="L33" s="373" t="s">
        <v>434</v>
      </c>
      <c r="M33" s="181" t="s">
        <v>77</v>
      </c>
      <c r="N33" s="177" t="s">
        <v>78</v>
      </c>
      <c r="O33" s="373" t="s">
        <v>452</v>
      </c>
      <c r="P33" s="24" t="s">
        <v>77</v>
      </c>
      <c r="Q33" s="723" t="s">
        <v>78</v>
      </c>
      <c r="R33" s="353" t="s">
        <v>483</v>
      </c>
      <c r="S33" s="24" t="s">
        <v>77</v>
      </c>
      <c r="T33" s="177" t="s">
        <v>78</v>
      </c>
      <c r="U33" s="149" t="s">
        <v>27</v>
      </c>
      <c r="V33" s="24" t="s">
        <v>28</v>
      </c>
      <c r="W33" s="25" t="s">
        <v>259</v>
      </c>
      <c r="Y33" s="680" t="s">
        <v>522</v>
      </c>
      <c r="Z33" s="181" t="s">
        <v>77</v>
      </c>
      <c r="AA33" s="177" t="s">
        <v>78</v>
      </c>
    </row>
    <row r="34" spans="2:27" ht="12" customHeight="1">
      <c r="B34" s="172" t="s">
        <v>91</v>
      </c>
      <c r="C34" s="26">
        <f>A!B1140</f>
        <v>32174.05</v>
      </c>
      <c r="D34" s="26" t="str">
        <f>A!C1140</f>
        <v>08-Jul</v>
      </c>
      <c r="E34" s="26">
        <f>A!D1140</f>
        <v>15</v>
      </c>
      <c r="F34" s="150">
        <f>A!E1140</f>
        <v>31401</v>
      </c>
      <c r="G34" s="176">
        <f>A!F1140</f>
        <v>37092</v>
      </c>
      <c r="H34" s="26">
        <f>A!G1140</f>
        <v>15</v>
      </c>
      <c r="I34" s="150">
        <f>A!H1140</f>
        <v>31455</v>
      </c>
      <c r="J34" s="176">
        <f>A!I1140</f>
        <v>37092</v>
      </c>
      <c r="K34" s="26">
        <f>A!J1140</f>
        <v>15</v>
      </c>
      <c r="L34" s="150">
        <f>A!K1140</f>
        <v>33057.473802984721</v>
      </c>
      <c r="M34" s="176" t="str">
        <f>A!L1140</f>
        <v>07/20</v>
      </c>
      <c r="N34" s="26" t="str">
        <f>A!M1140</f>
        <v>15:00</v>
      </c>
      <c r="O34" s="150">
        <f>A!N1140</f>
        <v>32502</v>
      </c>
      <c r="P34" s="176">
        <f>A!O1140</f>
        <v>202</v>
      </c>
      <c r="Q34" s="26">
        <f>A!P1140</f>
        <v>15</v>
      </c>
      <c r="R34" s="150">
        <f>A!Q1140</f>
        <v>32072</v>
      </c>
      <c r="S34" s="176">
        <f>A!R1140</f>
        <v>37822</v>
      </c>
      <c r="T34" s="26">
        <f>A!S1140</f>
        <v>15</v>
      </c>
      <c r="U34" s="150">
        <f t="shared" ref="U34:U53" si="3">MINA(C34,F34,I34,L34,O34,R34)</f>
        <v>31401</v>
      </c>
      <c r="V34" s="26">
        <f t="shared" ref="V34:V53" si="4">MAXA(C34,F34,I34,L34,O34,R34)</f>
        <v>33057.473802984721</v>
      </c>
      <c r="W34" s="27">
        <f t="shared" ref="W34:W53" si="5">(V34-U34)/AVERAGE(C34,F34,I34,L34,O34,R34)</f>
        <v>5.1587066383175534E-2</v>
      </c>
      <c r="Y34" s="676">
        <f>A!T1080</f>
        <v>0</v>
      </c>
      <c r="Z34" s="681">
        <f>A!U1080</f>
        <v>0</v>
      </c>
      <c r="AA34" s="673">
        <f>A!V1080</f>
        <v>0</v>
      </c>
    </row>
    <row r="35" spans="2:27" ht="12" customHeight="1">
      <c r="B35" s="173" t="s">
        <v>96</v>
      </c>
      <c r="C35" s="26">
        <f>A!B1141</f>
        <v>37328</v>
      </c>
      <c r="D35" s="26" t="str">
        <f>A!C1141</f>
        <v>03-Sep</v>
      </c>
      <c r="E35" s="26">
        <f>A!D1141</f>
        <v>15</v>
      </c>
      <c r="F35" s="150">
        <f>A!E1141</f>
        <v>36750</v>
      </c>
      <c r="G35" s="176">
        <f>A!F1141</f>
        <v>38233</v>
      </c>
      <c r="H35" s="26">
        <f>A!G1141</f>
        <v>16</v>
      </c>
      <c r="I35" s="150">
        <f>A!H1141</f>
        <v>37033</v>
      </c>
      <c r="J35" s="176">
        <f>A!I1141</f>
        <v>38233</v>
      </c>
      <c r="K35" s="26">
        <f>A!J1141</f>
        <v>16</v>
      </c>
      <c r="L35" s="150">
        <f>A!K1141</f>
        <v>37372.520867808336</v>
      </c>
      <c r="M35" s="176" t="str">
        <f>A!L1141</f>
        <v>09/17</v>
      </c>
      <c r="N35" s="26" t="str">
        <f>A!M1141</f>
        <v>15:00</v>
      </c>
      <c r="O35" s="150">
        <f>A!N1141</f>
        <v>37261</v>
      </c>
      <c r="P35" s="176">
        <f>A!O1141</f>
        <v>247</v>
      </c>
      <c r="Q35" s="26">
        <f>A!P1141</f>
        <v>15</v>
      </c>
      <c r="R35" s="150">
        <f>A!Q1141</f>
        <v>36991</v>
      </c>
      <c r="S35" s="176">
        <f>A!R1141</f>
        <v>37867</v>
      </c>
      <c r="T35" s="26">
        <f>A!S1141</f>
        <v>16</v>
      </c>
      <c r="U35" s="150">
        <f t="shared" si="3"/>
        <v>36750</v>
      </c>
      <c r="V35" s="26">
        <f t="shared" si="4"/>
        <v>37372.520867808336</v>
      </c>
      <c r="W35" s="27">
        <f t="shared" si="5"/>
        <v>1.6769328898675228E-2</v>
      </c>
      <c r="Y35" s="676">
        <f>A!T1081</f>
        <v>0</v>
      </c>
      <c r="Z35" s="681">
        <f>A!U1081</f>
        <v>0</v>
      </c>
      <c r="AA35" s="673">
        <f>A!V1081</f>
        <v>0</v>
      </c>
    </row>
    <row r="36" spans="2:27" ht="12" customHeight="1">
      <c r="B36" s="173" t="s">
        <v>98</v>
      </c>
      <c r="C36" s="26">
        <f>A!B1142</f>
        <v>40317.599999999999</v>
      </c>
      <c r="D36" s="26" t="str">
        <f>A!C1142</f>
        <v>03-Sep</v>
      </c>
      <c r="E36" s="26">
        <f>A!D1142</f>
        <v>16</v>
      </c>
      <c r="F36" s="150">
        <f>A!E1142</f>
        <v>53813</v>
      </c>
      <c r="G36" s="176">
        <f>A!F1142</f>
        <v>37531</v>
      </c>
      <c r="H36" s="26">
        <f>A!G1142</f>
        <v>9</v>
      </c>
      <c r="I36" s="150">
        <f>A!H1142</f>
        <v>53823</v>
      </c>
      <c r="J36" s="176">
        <f>A!I1142</f>
        <v>37531</v>
      </c>
      <c r="K36" s="26">
        <f>A!J1142</f>
        <v>9</v>
      </c>
      <c r="L36" s="150">
        <f>A!K1142</f>
        <v>40097.015442985277</v>
      </c>
      <c r="M36" s="176" t="str">
        <f>A!L1142</f>
        <v>10/02</v>
      </c>
      <c r="N36" s="26" t="str">
        <f>A!M1142</f>
        <v>10:00</v>
      </c>
      <c r="O36" s="150">
        <f>A!N1142</f>
        <v>39904</v>
      </c>
      <c r="P36" s="176">
        <f>A!O1142</f>
        <v>247</v>
      </c>
      <c r="Q36" s="26">
        <f>A!P1142</f>
        <v>16</v>
      </c>
      <c r="R36" s="150">
        <f>A!Q1142</f>
        <v>39920</v>
      </c>
      <c r="S36" s="176">
        <f>A!R1142</f>
        <v>37867</v>
      </c>
      <c r="T36" s="26">
        <f>A!S1142</f>
        <v>16</v>
      </c>
      <c r="U36" s="150">
        <f t="shared" si="3"/>
        <v>39904</v>
      </c>
      <c r="V36" s="26">
        <f t="shared" si="4"/>
        <v>53823</v>
      </c>
      <c r="W36" s="27">
        <f t="shared" si="5"/>
        <v>0.31176526324412102</v>
      </c>
      <c r="Y36" s="676">
        <f>A!T1082</f>
        <v>0</v>
      </c>
      <c r="Z36" s="681">
        <f>A!U1082</f>
        <v>0</v>
      </c>
      <c r="AA36" s="673">
        <f>A!V1082</f>
        <v>0</v>
      </c>
    </row>
    <row r="37" spans="2:27" ht="12" customHeight="1">
      <c r="B37" s="173" t="s">
        <v>102</v>
      </c>
      <c r="C37" s="26">
        <f>A!B1143</f>
        <v>43492</v>
      </c>
      <c r="D37" s="26" t="str">
        <f>A!C1143</f>
        <v>02-Oct</v>
      </c>
      <c r="E37" s="26">
        <f>A!D1143</f>
        <v>9</v>
      </c>
      <c r="F37" s="150">
        <f>A!E1143</f>
        <v>43628</v>
      </c>
      <c r="G37" s="176">
        <f>A!F1143</f>
        <v>37531</v>
      </c>
      <c r="H37" s="26">
        <f>A!G1143</f>
        <v>9</v>
      </c>
      <c r="I37" s="150">
        <f>A!H1143</f>
        <v>64572</v>
      </c>
      <c r="J37" s="176">
        <f>A!I1143</f>
        <v>37531</v>
      </c>
      <c r="K37" s="26">
        <f>A!J1143</f>
        <v>9</v>
      </c>
      <c r="L37" s="150">
        <f>A!K1143</f>
        <v>43597.944904315278</v>
      </c>
      <c r="M37" s="176" t="str">
        <f>A!L1143</f>
        <v>10/02</v>
      </c>
      <c r="N37" s="26" t="str">
        <f>A!M1143</f>
        <v>09:00</v>
      </c>
      <c r="O37" s="150">
        <f>A!N1143</f>
        <v>43978</v>
      </c>
      <c r="P37" s="176">
        <f>A!O1143</f>
        <v>276</v>
      </c>
      <c r="Q37" s="26">
        <f>A!P1143</f>
        <v>9</v>
      </c>
      <c r="R37" s="150">
        <f>A!Q1143</f>
        <v>42415</v>
      </c>
      <c r="S37" s="176">
        <f>A!R1143</f>
        <v>37812</v>
      </c>
      <c r="T37" s="26">
        <f>A!S1143</f>
        <v>11</v>
      </c>
      <c r="U37" s="150">
        <f t="shared" si="3"/>
        <v>42415</v>
      </c>
      <c r="V37" s="26">
        <f t="shared" si="4"/>
        <v>64572</v>
      </c>
      <c r="W37" s="27">
        <f t="shared" si="5"/>
        <v>0.47195615639831862</v>
      </c>
      <c r="Y37" s="676">
        <f>A!T1083</f>
        <v>0</v>
      </c>
      <c r="Z37" s="681">
        <f>A!U1083</f>
        <v>0</v>
      </c>
      <c r="AA37" s="673">
        <f>A!V1083</f>
        <v>0</v>
      </c>
    </row>
    <row r="38" spans="2:27" ht="12" customHeight="1">
      <c r="B38" s="371" t="s">
        <v>356</v>
      </c>
      <c r="C38" s="26">
        <f>A!B1144</f>
        <v>41651.699999999997</v>
      </c>
      <c r="D38" s="26" t="str">
        <f>A!C1144</f>
        <v>02-Oct</v>
      </c>
      <c r="E38" s="26">
        <f>A!D1144</f>
        <v>10</v>
      </c>
      <c r="F38" s="150">
        <f>A!E1144</f>
        <v>50819</v>
      </c>
      <c r="G38" s="176">
        <f>A!F1144</f>
        <v>37531</v>
      </c>
      <c r="H38" s="26">
        <f>A!G1144</f>
        <v>9</v>
      </c>
      <c r="I38" s="150">
        <f>A!H1144</f>
        <v>59549</v>
      </c>
      <c r="J38" s="176">
        <f>A!I1144</f>
        <v>37531</v>
      </c>
      <c r="K38" s="26">
        <f>A!J1144</f>
        <v>9</v>
      </c>
      <c r="L38" s="150">
        <f>A!K1144</f>
        <v>41608.473712680003</v>
      </c>
      <c r="M38" s="176" t="str">
        <f>A!L1144</f>
        <v>10/02</v>
      </c>
      <c r="N38" s="26" t="str">
        <f>A!M1144</f>
        <v>10:00</v>
      </c>
      <c r="O38" s="150">
        <f>A!N1144</f>
        <v>41366</v>
      </c>
      <c r="P38" s="176">
        <f>A!O1144</f>
        <v>247</v>
      </c>
      <c r="Q38" s="26">
        <f>A!P1144</f>
        <v>15</v>
      </c>
      <c r="R38" s="150">
        <f>A!Q1144</f>
        <v>41132</v>
      </c>
      <c r="S38" s="176">
        <f>A!R1144</f>
        <v>37867</v>
      </c>
      <c r="T38" s="26">
        <f>A!S1144</f>
        <v>16</v>
      </c>
      <c r="U38" s="150">
        <f t="shared" si="3"/>
        <v>41132</v>
      </c>
      <c r="V38" s="26">
        <f t="shared" si="4"/>
        <v>59549</v>
      </c>
      <c r="W38" s="27">
        <f t="shared" si="5"/>
        <v>0.40018661945093847</v>
      </c>
      <c r="Y38" s="676">
        <f>A!T1084</f>
        <v>0</v>
      </c>
      <c r="Z38" s="681">
        <f>A!U1084</f>
        <v>0</v>
      </c>
      <c r="AA38" s="673">
        <f>A!V1084</f>
        <v>0</v>
      </c>
    </row>
    <row r="39" spans="2:27" ht="12" customHeight="1">
      <c r="B39" s="173" t="s">
        <v>105</v>
      </c>
      <c r="C39" s="26">
        <f>A!B1145</f>
        <v>32091.73</v>
      </c>
      <c r="D39" s="26" t="str">
        <f>A!C1145</f>
        <v>08-Jul</v>
      </c>
      <c r="E39" s="26">
        <f>A!D1145</f>
        <v>15</v>
      </c>
      <c r="F39" s="150">
        <f>A!E1145</f>
        <v>31401</v>
      </c>
      <c r="G39" s="176">
        <f>A!F1145</f>
        <v>37092</v>
      </c>
      <c r="H39" s="26">
        <f>A!G1145</f>
        <v>15</v>
      </c>
      <c r="I39" s="150">
        <f>A!H1145</f>
        <v>31454</v>
      </c>
      <c r="J39" s="176">
        <f>A!I1145</f>
        <v>37092</v>
      </c>
      <c r="K39" s="26">
        <f>A!J1145</f>
        <v>15</v>
      </c>
      <c r="L39" s="150">
        <f>A!K1145</f>
        <v>33057.448725815004</v>
      </c>
      <c r="M39" s="176" t="str">
        <f>A!L1145</f>
        <v>07/20</v>
      </c>
      <c r="N39" s="26" t="str">
        <f>A!M1145</f>
        <v>15:00</v>
      </c>
      <c r="O39" s="150">
        <f>A!N1145</f>
        <v>32502</v>
      </c>
      <c r="P39" s="176">
        <f>A!O1145</f>
        <v>202</v>
      </c>
      <c r="Q39" s="26">
        <f>A!P1145</f>
        <v>15</v>
      </c>
      <c r="R39" s="150">
        <f>A!Q1145</f>
        <v>32077</v>
      </c>
      <c r="S39" s="176">
        <f>A!R1145</f>
        <v>37822</v>
      </c>
      <c r="T39" s="26">
        <f>A!S1145</f>
        <v>15</v>
      </c>
      <c r="U39" s="150">
        <f t="shared" si="3"/>
        <v>31401</v>
      </c>
      <c r="V39" s="26">
        <f t="shared" si="4"/>
        <v>33057.448725815004</v>
      </c>
      <c r="W39" s="27">
        <f t="shared" si="5"/>
        <v>5.1607271313347483E-2</v>
      </c>
      <c r="Y39" s="676">
        <f>A!T1085</f>
        <v>0</v>
      </c>
      <c r="Z39" s="681">
        <f>A!U1085</f>
        <v>0</v>
      </c>
      <c r="AA39" s="673">
        <f>A!V1085</f>
        <v>0</v>
      </c>
    </row>
    <row r="40" spans="2:27" ht="12" customHeight="1">
      <c r="B40" s="173" t="s">
        <v>108</v>
      </c>
      <c r="C40" s="26">
        <f>A!B1146</f>
        <v>38857.160000000003</v>
      </c>
      <c r="D40" s="26" t="str">
        <f>A!C1146</f>
        <v>02-Oct</v>
      </c>
      <c r="E40" s="26">
        <f>A!D1146</f>
        <v>10</v>
      </c>
      <c r="F40" s="150">
        <f>A!E1146</f>
        <v>40613</v>
      </c>
      <c r="G40" s="176">
        <f>A!F1146</f>
        <v>37531</v>
      </c>
      <c r="H40" s="26">
        <f>A!G1146</f>
        <v>9</v>
      </c>
      <c r="I40" s="150">
        <f>A!H1146</f>
        <v>41019</v>
      </c>
      <c r="J40" s="176">
        <f>A!I1146</f>
        <v>37531</v>
      </c>
      <c r="K40" s="26">
        <f>A!J1146</f>
        <v>9</v>
      </c>
      <c r="L40" s="150">
        <f>A!K1146</f>
        <v>38691.48626768306</v>
      </c>
      <c r="M40" s="176" t="str">
        <f>A!L1146</f>
        <v>10/02</v>
      </c>
      <c r="N40" s="26" t="str">
        <f>A!M1146</f>
        <v>11:00</v>
      </c>
      <c r="O40" s="150">
        <f>A!N1146</f>
        <v>38322</v>
      </c>
      <c r="P40" s="176">
        <f>A!O1146</f>
        <v>276</v>
      </c>
      <c r="Q40" s="26">
        <f>A!P1146</f>
        <v>10</v>
      </c>
      <c r="R40" s="150">
        <f>A!Q1146</f>
        <v>38451</v>
      </c>
      <c r="S40" s="176">
        <f>A!R1146</f>
        <v>37896</v>
      </c>
      <c r="T40" s="26">
        <f>A!S1146</f>
        <v>10</v>
      </c>
      <c r="U40" s="150">
        <f t="shared" si="3"/>
        <v>38322</v>
      </c>
      <c r="V40" s="26">
        <f t="shared" si="4"/>
        <v>41019</v>
      </c>
      <c r="W40" s="27">
        <f t="shared" si="5"/>
        <v>6.8581266939362978E-2</v>
      </c>
      <c r="Y40" s="676">
        <f>A!T1086</f>
        <v>0</v>
      </c>
      <c r="Z40" s="681">
        <f>A!U1086</f>
        <v>0</v>
      </c>
      <c r="AA40" s="673">
        <f>A!V1086</f>
        <v>0</v>
      </c>
    </row>
    <row r="41" spans="2:27" ht="12" customHeight="1">
      <c r="B41" s="173" t="s">
        <v>109</v>
      </c>
      <c r="C41" s="26">
        <f>A!B1147</f>
        <v>41178.6</v>
      </c>
      <c r="D41" s="26" t="str">
        <f>A!C1147</f>
        <v>16-Sep</v>
      </c>
      <c r="E41" s="26">
        <f>A!D1147</f>
        <v>15</v>
      </c>
      <c r="F41" s="150">
        <f>A!E1147</f>
        <v>40543</v>
      </c>
      <c r="G41" s="176">
        <f>A!F1147</f>
        <v>37517</v>
      </c>
      <c r="H41" s="26">
        <f>A!G1147</f>
        <v>14</v>
      </c>
      <c r="I41" s="150">
        <f>A!H1147</f>
        <v>49838</v>
      </c>
      <c r="J41" s="176">
        <f>A!I1147</f>
        <v>37882</v>
      </c>
      <c r="K41" s="26">
        <f>A!J1147</f>
        <v>15</v>
      </c>
      <c r="L41" s="150">
        <f>A!K1147</f>
        <v>41112.205984313332</v>
      </c>
      <c r="M41" s="176" t="str">
        <f>A!L1147</f>
        <v>09/16</v>
      </c>
      <c r="N41" s="26" t="str">
        <f>A!M1147</f>
        <v>15:00</v>
      </c>
      <c r="O41" s="150"/>
      <c r="P41" s="176"/>
      <c r="Q41" s="26"/>
      <c r="R41" s="150">
        <f>A!Q1147</f>
        <v>40774</v>
      </c>
      <c r="S41" s="176">
        <f>A!R1147</f>
        <v>37880</v>
      </c>
      <c r="T41" s="26">
        <f>A!S1147</f>
        <v>14</v>
      </c>
      <c r="U41" s="150">
        <f t="shared" si="3"/>
        <v>40543</v>
      </c>
      <c r="V41" s="26">
        <f t="shared" si="4"/>
        <v>49838</v>
      </c>
      <c r="W41" s="27">
        <f t="shared" si="5"/>
        <v>0.21773676828963115</v>
      </c>
      <c r="Y41" s="676">
        <f>A!T1087</f>
        <v>0</v>
      </c>
      <c r="Z41" s="681">
        <f>A!U1087</f>
        <v>0</v>
      </c>
      <c r="AA41" s="673">
        <f>A!V1087</f>
        <v>0</v>
      </c>
    </row>
    <row r="42" spans="2:27" ht="12" customHeight="1">
      <c r="B42" s="173" t="s">
        <v>111</v>
      </c>
      <c r="C42" s="26">
        <f>A!B1148</f>
        <v>32091.73</v>
      </c>
      <c r="D42" s="26" t="str">
        <f>A!C1148</f>
        <v>08-Jul</v>
      </c>
      <c r="E42" s="26">
        <f>A!D1148</f>
        <v>15</v>
      </c>
      <c r="F42" s="150">
        <f>A!E1148</f>
        <v>31401</v>
      </c>
      <c r="G42" s="176">
        <f>A!F1148</f>
        <v>37092</v>
      </c>
      <c r="H42" s="26">
        <f>A!G1148</f>
        <v>15</v>
      </c>
      <c r="I42" s="150">
        <f>A!H1148</f>
        <v>31455</v>
      </c>
      <c r="J42" s="176">
        <f>A!I1148</f>
        <v>37092</v>
      </c>
      <c r="K42" s="26">
        <f>A!J1148</f>
        <v>15</v>
      </c>
      <c r="L42" s="150"/>
      <c r="M42" s="176"/>
      <c r="N42" s="26"/>
      <c r="O42" s="150"/>
      <c r="P42" s="176"/>
      <c r="Q42" s="26"/>
      <c r="R42" s="150">
        <f>A!Q1148</f>
        <v>32073</v>
      </c>
      <c r="S42" s="176">
        <f>A!R1148</f>
        <v>37822</v>
      </c>
      <c r="T42" s="26">
        <f>A!S1148</f>
        <v>15</v>
      </c>
      <c r="U42" s="150">
        <f t="shared" si="3"/>
        <v>31401</v>
      </c>
      <c r="V42" s="26">
        <f t="shared" si="4"/>
        <v>32091.73</v>
      </c>
      <c r="W42" s="27">
        <f t="shared" si="5"/>
        <v>2.1751725092431749E-2</v>
      </c>
      <c r="Y42" s="676">
        <f>A!T1088</f>
        <v>0</v>
      </c>
      <c r="Z42" s="681">
        <f>A!U1088</f>
        <v>0</v>
      </c>
      <c r="AA42" s="673">
        <f>A!V1088</f>
        <v>0</v>
      </c>
    </row>
    <row r="43" spans="2:27" ht="12" customHeight="1">
      <c r="B43" s="173" t="s">
        <v>112</v>
      </c>
      <c r="C43" s="26">
        <f>A!B1149</f>
        <v>32174.05</v>
      </c>
      <c r="D43" s="26" t="str">
        <f>A!C1149</f>
        <v>08-Jul</v>
      </c>
      <c r="E43" s="26">
        <f>A!D1149</f>
        <v>15</v>
      </c>
      <c r="F43" s="150">
        <f>A!E1149</f>
        <v>31401</v>
      </c>
      <c r="G43" s="176">
        <f>A!F1149</f>
        <v>37092</v>
      </c>
      <c r="H43" s="26">
        <f>A!G1149</f>
        <v>15</v>
      </c>
      <c r="I43" s="150">
        <f>A!H1149</f>
        <v>31455</v>
      </c>
      <c r="J43" s="176">
        <f>A!I1149</f>
        <v>37092</v>
      </c>
      <c r="K43" s="26">
        <f>A!J1149</f>
        <v>15</v>
      </c>
      <c r="L43" s="150">
        <f>A!K1149</f>
        <v>33057.473802984721</v>
      </c>
      <c r="M43" s="176" t="str">
        <f>A!L1149</f>
        <v>07/20</v>
      </c>
      <c r="N43" s="26" t="str">
        <f>A!M1149</f>
        <v>15:00</v>
      </c>
      <c r="O43" s="150"/>
      <c r="P43" s="176"/>
      <c r="Q43" s="26"/>
      <c r="R43" s="150">
        <f>A!Q1149</f>
        <v>32072</v>
      </c>
      <c r="S43" s="176">
        <f>A!R1149</f>
        <v>37822</v>
      </c>
      <c r="T43" s="26">
        <f>A!S1149</f>
        <v>15</v>
      </c>
      <c r="U43" s="150">
        <f t="shared" si="3"/>
        <v>31401</v>
      </c>
      <c r="V43" s="26">
        <f t="shared" si="4"/>
        <v>33057.473802984721</v>
      </c>
      <c r="W43" s="27">
        <f t="shared" si="5"/>
        <v>5.1713247006852404E-2</v>
      </c>
      <c r="Y43" s="676">
        <f>A!T1089</f>
        <v>0</v>
      </c>
      <c r="Z43" s="681">
        <f>A!U1089</f>
        <v>0</v>
      </c>
      <c r="AA43" s="673">
        <f>A!V1089</f>
        <v>0</v>
      </c>
    </row>
    <row r="44" spans="2:27" ht="12" customHeight="1">
      <c r="B44" s="173" t="s">
        <v>113</v>
      </c>
      <c r="C44" s="26">
        <f>A!B1150</f>
        <v>32174.05</v>
      </c>
      <c r="D44" s="26" t="str">
        <f>A!C1150</f>
        <v>08-Jul</v>
      </c>
      <c r="E44" s="26">
        <f>A!D1150</f>
        <v>15</v>
      </c>
      <c r="F44" s="150">
        <f>A!E1150</f>
        <v>31401</v>
      </c>
      <c r="G44" s="176">
        <f>A!F1150</f>
        <v>37092</v>
      </c>
      <c r="H44" s="26">
        <f>A!G1150</f>
        <v>15</v>
      </c>
      <c r="I44" s="150">
        <f>A!H1150</f>
        <v>31455</v>
      </c>
      <c r="J44" s="176">
        <f>A!I1150</f>
        <v>37092</v>
      </c>
      <c r="K44" s="26">
        <f>A!J1150</f>
        <v>15</v>
      </c>
      <c r="L44" s="150">
        <f>A!K1150</f>
        <v>33057.473802984998</v>
      </c>
      <c r="M44" s="176" t="str">
        <f>A!L1150</f>
        <v>07/20</v>
      </c>
      <c r="N44" s="26" t="str">
        <f>A!M1150</f>
        <v>15:00</v>
      </c>
      <c r="O44" s="150"/>
      <c r="P44" s="176"/>
      <c r="Q44" s="26"/>
      <c r="R44" s="150">
        <f>A!Q1150</f>
        <v>32072</v>
      </c>
      <c r="S44" s="176">
        <f>A!R1150</f>
        <v>37822</v>
      </c>
      <c r="T44" s="26">
        <f>A!S1150</f>
        <v>15</v>
      </c>
      <c r="U44" s="150">
        <f t="shared" si="3"/>
        <v>31401</v>
      </c>
      <c r="V44" s="26">
        <f t="shared" si="4"/>
        <v>33057.473802984998</v>
      </c>
      <c r="W44" s="27">
        <f t="shared" si="5"/>
        <v>5.1713247006860946E-2</v>
      </c>
      <c r="Y44" s="676">
        <f>A!T1090</f>
        <v>0</v>
      </c>
      <c r="Z44" s="681">
        <f>A!U1090</f>
        <v>0</v>
      </c>
      <c r="AA44" s="673">
        <f>A!V1090</f>
        <v>0</v>
      </c>
    </row>
    <row r="45" spans="2:27" ht="12" customHeight="1">
      <c r="B45" s="173" t="s">
        <v>114</v>
      </c>
      <c r="C45" s="26">
        <f>A!B1151</f>
        <v>32174.05</v>
      </c>
      <c r="D45" s="26" t="str">
        <f>A!C1151</f>
        <v>08-Jul</v>
      </c>
      <c r="E45" s="26">
        <f>A!D1151</f>
        <v>15</v>
      </c>
      <c r="F45" s="150">
        <f>A!E1151</f>
        <v>31401</v>
      </c>
      <c r="G45" s="176">
        <f>A!F1151</f>
        <v>37092</v>
      </c>
      <c r="H45" s="26">
        <f>A!G1151</f>
        <v>15</v>
      </c>
      <c r="I45" s="150">
        <f>A!H1151</f>
        <v>31455</v>
      </c>
      <c r="J45" s="176">
        <f>A!I1151</f>
        <v>37822</v>
      </c>
      <c r="K45" s="26">
        <f>A!J1151</f>
        <v>15</v>
      </c>
      <c r="L45" s="150">
        <f>A!K1151</f>
        <v>33057.473802984998</v>
      </c>
      <c r="M45" s="176" t="str">
        <f>A!L1151</f>
        <v>07/20</v>
      </c>
      <c r="N45" s="26" t="str">
        <f>A!M1151</f>
        <v>15:00</v>
      </c>
      <c r="O45" s="150"/>
      <c r="P45" s="176"/>
      <c r="Q45" s="26"/>
      <c r="R45" s="150">
        <f>A!Q1151</f>
        <v>31777</v>
      </c>
      <c r="S45" s="176">
        <f>A!R1151</f>
        <v>37810</v>
      </c>
      <c r="T45" s="26">
        <f>A!S1151</f>
        <v>16</v>
      </c>
      <c r="U45" s="150">
        <f t="shared" si="3"/>
        <v>31401</v>
      </c>
      <c r="V45" s="26">
        <f t="shared" si="4"/>
        <v>33057.473802984998</v>
      </c>
      <c r="W45" s="27">
        <f t="shared" si="5"/>
        <v>5.1808674106658424E-2</v>
      </c>
      <c r="Y45" s="676">
        <f>A!T1091</f>
        <v>0</v>
      </c>
      <c r="Z45" s="681">
        <f>A!U1091</f>
        <v>0</v>
      </c>
      <c r="AA45" s="673">
        <f>A!V1091</f>
        <v>0</v>
      </c>
    </row>
    <row r="46" spans="2:27" ht="12" customHeight="1">
      <c r="B46" s="173" t="s">
        <v>115</v>
      </c>
      <c r="C46" s="26">
        <f>A!B1152</f>
        <v>27485.51</v>
      </c>
      <c r="D46" s="26" t="str">
        <f>A!C1152</f>
        <v>28-Oct</v>
      </c>
      <c r="E46" s="26">
        <f>A!D1152</f>
        <v>15</v>
      </c>
      <c r="F46" s="150">
        <f>A!E1152</f>
        <v>27707</v>
      </c>
      <c r="G46" s="176">
        <f>A!F1152</f>
        <v>37119</v>
      </c>
      <c r="H46" s="26">
        <f>A!G1152</f>
        <v>16</v>
      </c>
      <c r="I46" s="150">
        <f>A!H1152</f>
        <v>27706</v>
      </c>
      <c r="J46" s="176">
        <f>A!I1152</f>
        <v>37119</v>
      </c>
      <c r="K46" s="26">
        <f>A!J1152</f>
        <v>16</v>
      </c>
      <c r="L46" s="150">
        <f>A!K1152</f>
        <v>27656.420100725223</v>
      </c>
      <c r="M46" s="176" t="str">
        <f>A!L1152</f>
        <v>06/29</v>
      </c>
      <c r="N46" s="26" t="str">
        <f>A!M1152</f>
        <v>16:00</v>
      </c>
      <c r="O46" s="150">
        <f>A!N1152</f>
        <v>26567</v>
      </c>
      <c r="P46" s="176">
        <f>A!O1152</f>
        <v>181</v>
      </c>
      <c r="Q46" s="26">
        <f>A!P1152</f>
        <v>16</v>
      </c>
      <c r="R46" s="150">
        <f>A!Q1152</f>
        <v>27555</v>
      </c>
      <c r="S46" s="176">
        <f>A!R1152</f>
        <v>37801</v>
      </c>
      <c r="T46" s="26">
        <f>A!S1152</f>
        <v>15</v>
      </c>
      <c r="U46" s="150">
        <f t="shared" si="3"/>
        <v>26567</v>
      </c>
      <c r="V46" s="26">
        <f t="shared" si="4"/>
        <v>27707</v>
      </c>
      <c r="W46" s="27">
        <f t="shared" si="5"/>
        <v>4.1535872667873334E-2</v>
      </c>
      <c r="Y46" s="676">
        <f>A!T1092</f>
        <v>0</v>
      </c>
      <c r="Z46" s="681">
        <f>A!U1092</f>
        <v>0</v>
      </c>
      <c r="AA46" s="673">
        <f>A!V1092</f>
        <v>0</v>
      </c>
    </row>
    <row r="47" spans="2:27" ht="12" customHeight="1">
      <c r="B47" s="173" t="s">
        <v>121</v>
      </c>
      <c r="C47" s="26">
        <f>A!B1153</f>
        <v>30593.05</v>
      </c>
      <c r="D47" s="26" t="str">
        <f>A!C1153</f>
        <v>29-Apr</v>
      </c>
      <c r="E47" s="26">
        <f>A!D1153</f>
        <v>19</v>
      </c>
      <c r="F47" s="150">
        <f>A!E1153</f>
        <v>31188</v>
      </c>
      <c r="G47" s="176">
        <f>A!F1153</f>
        <v>37092</v>
      </c>
      <c r="H47" s="26">
        <f>A!G1153</f>
        <v>15</v>
      </c>
      <c r="I47" s="150">
        <f>A!H1153</f>
        <v>31188</v>
      </c>
      <c r="J47" s="176">
        <f>A!I1153</f>
        <v>37092</v>
      </c>
      <c r="K47" s="26">
        <f>A!J1153</f>
        <v>15</v>
      </c>
      <c r="L47" s="150">
        <f>A!K1153</f>
        <v>31194.549336175001</v>
      </c>
      <c r="M47" s="176" t="str">
        <f>A!L1153</f>
        <v>06/17</v>
      </c>
      <c r="N47" s="26" t="str">
        <f>A!M1153</f>
        <v>14:00</v>
      </c>
      <c r="O47" s="150">
        <f>A!N1153</f>
        <v>29948</v>
      </c>
      <c r="P47" s="176">
        <f>A!O1153</f>
        <v>169</v>
      </c>
      <c r="Q47" s="26">
        <f>A!P1153</f>
        <v>14</v>
      </c>
      <c r="R47" s="150">
        <f>A!Q1153</f>
        <v>31097</v>
      </c>
      <c r="S47" s="176">
        <f>A!R1153</f>
        <v>37789</v>
      </c>
      <c r="T47" s="26">
        <f>A!S1153</f>
        <v>13</v>
      </c>
      <c r="U47" s="150">
        <f t="shared" si="3"/>
        <v>29948</v>
      </c>
      <c r="V47" s="26">
        <f t="shared" si="4"/>
        <v>31194.549336175001</v>
      </c>
      <c r="W47" s="27">
        <f t="shared" si="5"/>
        <v>4.0383092598601331E-2</v>
      </c>
      <c r="Y47" s="676">
        <f>A!T1093</f>
        <v>0</v>
      </c>
      <c r="Z47" s="681">
        <f>A!U1093</f>
        <v>0</v>
      </c>
      <c r="AA47" s="673">
        <f>A!V1093</f>
        <v>0</v>
      </c>
    </row>
    <row r="48" spans="2:27" ht="12" customHeight="1">
      <c r="B48" s="173" t="s">
        <v>125</v>
      </c>
      <c r="C48" s="26">
        <f>A!B1154</f>
        <v>27329.599999999999</v>
      </c>
      <c r="D48" s="26" t="str">
        <f>A!C1154</f>
        <v>28-Sep</v>
      </c>
      <c r="E48" s="26">
        <f>A!D1154</f>
        <v>15</v>
      </c>
      <c r="F48" s="150">
        <f>A!E1154</f>
        <v>27878</v>
      </c>
      <c r="G48" s="176">
        <f>A!F1154</f>
        <v>38213</v>
      </c>
      <c r="H48" s="26">
        <f>A!G1154</f>
        <v>16</v>
      </c>
      <c r="I48" s="150">
        <f>A!H1154</f>
        <v>27878</v>
      </c>
      <c r="J48" s="176">
        <f>A!I1154</f>
        <v>38191</v>
      </c>
      <c r="K48" s="26">
        <f>A!J1154</f>
        <v>16</v>
      </c>
      <c r="L48" s="150">
        <f>A!K1154</f>
        <v>27731.07105767736</v>
      </c>
      <c r="M48" s="176" t="str">
        <f>A!L1154</f>
        <v>06/29</v>
      </c>
      <c r="N48" s="26" t="str">
        <f>A!M1154</f>
        <v>16:00</v>
      </c>
      <c r="O48" s="150">
        <f>A!N1154</f>
        <v>26675</v>
      </c>
      <c r="P48" s="176">
        <f>A!O1154</f>
        <v>202</v>
      </c>
      <c r="Q48" s="26">
        <f>A!P1154</f>
        <v>16</v>
      </c>
      <c r="R48" s="150">
        <f>A!Q1154</f>
        <v>28343</v>
      </c>
      <c r="S48" s="176">
        <f>A!R1154</f>
        <v>37764</v>
      </c>
      <c r="T48" s="26">
        <f>A!S1154</f>
        <v>15</v>
      </c>
      <c r="U48" s="150">
        <f t="shared" si="3"/>
        <v>26675</v>
      </c>
      <c r="V48" s="26">
        <f t="shared" si="4"/>
        <v>28343</v>
      </c>
      <c r="W48" s="27">
        <f t="shared" si="5"/>
        <v>6.0349261925566902E-2</v>
      </c>
      <c r="Y48" s="676">
        <f>A!T1094</f>
        <v>0</v>
      </c>
      <c r="Z48" s="681">
        <f>A!U1094</f>
        <v>0</v>
      </c>
      <c r="AA48" s="673">
        <f>A!V1094</f>
        <v>0</v>
      </c>
    </row>
    <row r="49" spans="2:27" ht="12" customHeight="1">
      <c r="B49" s="173" t="s">
        <v>127</v>
      </c>
      <c r="C49" s="26">
        <f>A!B1155</f>
        <v>27383.59</v>
      </c>
      <c r="D49" s="26" t="str">
        <f>A!C1155</f>
        <v>12-Mai</v>
      </c>
      <c r="E49" s="26">
        <f>A!D1155</f>
        <v>15</v>
      </c>
      <c r="F49" s="150">
        <f>A!E1155</f>
        <v>27868</v>
      </c>
      <c r="G49" s="176">
        <f>A!F1155</f>
        <v>37484</v>
      </c>
      <c r="H49" s="26">
        <f>A!G1155</f>
        <v>16</v>
      </c>
      <c r="I49" s="150">
        <f>A!H1155</f>
        <v>27866</v>
      </c>
      <c r="J49" s="176">
        <f>A!I1155</f>
        <v>37484</v>
      </c>
      <c r="K49" s="26">
        <f>A!J1155</f>
        <v>16</v>
      </c>
      <c r="L49" s="150">
        <f>A!K1155</f>
        <v>27698.162017040719</v>
      </c>
      <c r="M49" s="176" t="str">
        <f>A!L1155</f>
        <v>06/29</v>
      </c>
      <c r="N49" s="26" t="str">
        <f>A!M1155</f>
        <v>16:00</v>
      </c>
      <c r="O49" s="150">
        <f>A!N1155</f>
        <v>26514</v>
      </c>
      <c r="P49" s="176">
        <f>A!O1155</f>
        <v>181</v>
      </c>
      <c r="Q49" s="26">
        <f>A!P1155</f>
        <v>16</v>
      </c>
      <c r="R49" s="150">
        <f>A!Q1155</f>
        <v>27636</v>
      </c>
      <c r="S49" s="176">
        <f>A!R1155</f>
        <v>37801</v>
      </c>
      <c r="T49" s="26">
        <f>A!S1155</f>
        <v>15</v>
      </c>
      <c r="U49" s="150">
        <f t="shared" si="3"/>
        <v>26514</v>
      </c>
      <c r="V49" s="26">
        <f t="shared" si="4"/>
        <v>27868</v>
      </c>
      <c r="W49" s="27">
        <f t="shared" si="5"/>
        <v>4.9246585431628277E-2</v>
      </c>
      <c r="Y49" s="676">
        <f>A!T1095</f>
        <v>0</v>
      </c>
      <c r="Z49" s="681">
        <f>A!U1095</f>
        <v>0</v>
      </c>
      <c r="AA49" s="673">
        <f>A!V1095</f>
        <v>0</v>
      </c>
    </row>
    <row r="50" spans="2:27" ht="12" customHeight="1">
      <c r="B50" s="173" t="s">
        <v>130</v>
      </c>
      <c r="C50" s="26">
        <f>A!B1156</f>
        <v>27739.77</v>
      </c>
      <c r="D50" s="26" t="str">
        <f>A!C1156</f>
        <v>26-Jul</v>
      </c>
      <c r="E50" s="26">
        <f>A!D1156</f>
        <v>16</v>
      </c>
      <c r="F50" s="150">
        <f>A!E1156</f>
        <v>27466</v>
      </c>
      <c r="G50" s="176">
        <f>A!F1156</f>
        <v>37445</v>
      </c>
      <c r="H50" s="26">
        <f>A!G1156</f>
        <v>16</v>
      </c>
      <c r="I50" s="150">
        <f>A!H1156</f>
        <v>27466</v>
      </c>
      <c r="J50" s="176">
        <f>A!I1156</f>
        <v>37445</v>
      </c>
      <c r="K50" s="26">
        <f>A!J1156</f>
        <v>16</v>
      </c>
      <c r="L50" s="150">
        <f>A!K1156</f>
        <v>27564.341467625833</v>
      </c>
      <c r="M50" s="176" t="str">
        <f>A!L1156</f>
        <v>06/29</v>
      </c>
      <c r="N50" s="26" t="str">
        <f>A!M1156</f>
        <v>16:00</v>
      </c>
      <c r="O50" s="150">
        <f>A!N1156</f>
        <v>26683</v>
      </c>
      <c r="P50" s="176">
        <f>A!O1156</f>
        <v>181</v>
      </c>
      <c r="Q50" s="26">
        <f>A!P1156</f>
        <v>16</v>
      </c>
      <c r="R50" s="150">
        <f>A!Q1156</f>
        <v>27462</v>
      </c>
      <c r="S50" s="176">
        <f>A!R1156</f>
        <v>37801</v>
      </c>
      <c r="T50" s="26">
        <f>A!S1156</f>
        <v>15</v>
      </c>
      <c r="U50" s="150">
        <f t="shared" si="3"/>
        <v>26683</v>
      </c>
      <c r="V50" s="26">
        <f t="shared" si="4"/>
        <v>27739.77</v>
      </c>
      <c r="W50" s="27">
        <f t="shared" si="5"/>
        <v>3.8572679934998258E-2</v>
      </c>
      <c r="Y50" s="676">
        <f>A!T1096</f>
        <v>0</v>
      </c>
      <c r="Z50" s="681">
        <f>A!U1096</f>
        <v>0</v>
      </c>
      <c r="AA50" s="673">
        <f>A!V1096</f>
        <v>0</v>
      </c>
    </row>
    <row r="51" spans="2:27" ht="12" customHeight="1">
      <c r="B51" s="173" t="s">
        <v>132</v>
      </c>
      <c r="C51" s="26">
        <f>A!B1157</f>
        <v>19834.099999999999</v>
      </c>
      <c r="D51" s="26" t="str">
        <f>A!C1157</f>
        <v>29-Mai</v>
      </c>
      <c r="E51" s="26">
        <f>A!D1157</f>
        <v>15</v>
      </c>
      <c r="F51" s="150">
        <f>A!E1157</f>
        <v>19576</v>
      </c>
      <c r="G51" s="176">
        <f>A!F1157</f>
        <v>37370</v>
      </c>
      <c r="H51" s="26">
        <f>A!G1157</f>
        <v>16</v>
      </c>
      <c r="I51" s="150">
        <f>A!H1157</f>
        <v>19575</v>
      </c>
      <c r="J51" s="176">
        <f>A!I1157</f>
        <v>37370</v>
      </c>
      <c r="K51" s="26">
        <f>A!J1157</f>
        <v>16</v>
      </c>
      <c r="L51" s="150">
        <f>A!K1157</f>
        <v>19656.140169213584</v>
      </c>
      <c r="M51" s="176" t="str">
        <f>A!L1157</f>
        <v>07/20</v>
      </c>
      <c r="N51" s="26" t="str">
        <f>A!M1157</f>
        <v>15:00</v>
      </c>
      <c r="O51" s="150">
        <f>A!N1157</f>
        <v>18776</v>
      </c>
      <c r="P51" s="176">
        <f>A!O1157</f>
        <v>156</v>
      </c>
      <c r="Q51" s="26">
        <f>A!P1157</f>
        <v>15</v>
      </c>
      <c r="R51" s="150">
        <f>A!Q1157</f>
        <v>19626</v>
      </c>
      <c r="S51" s="176">
        <f>A!R1157</f>
        <v>37810</v>
      </c>
      <c r="T51" s="26">
        <f>A!S1157</f>
        <v>15</v>
      </c>
      <c r="U51" s="150">
        <f t="shared" si="3"/>
        <v>18776</v>
      </c>
      <c r="V51" s="26">
        <f t="shared" si="4"/>
        <v>19834.099999999999</v>
      </c>
      <c r="W51" s="27">
        <f t="shared" si="5"/>
        <v>5.4241492211097316E-2</v>
      </c>
      <c r="Y51" s="676">
        <f>A!T1097</f>
        <v>0</v>
      </c>
      <c r="Z51" s="681">
        <f>A!U1097</f>
        <v>0</v>
      </c>
      <c r="AA51" s="673">
        <f>A!V1097</f>
        <v>0</v>
      </c>
    </row>
    <row r="52" spans="2:27" ht="12" customHeight="1">
      <c r="B52" s="173" t="s">
        <v>135</v>
      </c>
      <c r="C52" s="26">
        <f>A!B1158</f>
        <v>19575</v>
      </c>
      <c r="D52" s="26" t="str">
        <f>A!C1158</f>
        <v>30-Aug</v>
      </c>
      <c r="E52" s="26">
        <f>A!D1158</f>
        <v>16</v>
      </c>
      <c r="F52" s="150">
        <f>A!E1158</f>
        <v>19766</v>
      </c>
      <c r="G52" s="176">
        <f>A!F1158</f>
        <v>37370</v>
      </c>
      <c r="H52" s="26">
        <f>A!G1158</f>
        <v>16</v>
      </c>
      <c r="I52" s="150">
        <f>A!H1158</f>
        <v>19766</v>
      </c>
      <c r="J52" s="176">
        <f>A!I1158</f>
        <v>37370</v>
      </c>
      <c r="K52" s="26">
        <f>A!J1158</f>
        <v>16</v>
      </c>
      <c r="L52" s="150">
        <f>A!K1158</f>
        <v>19812.465045646444</v>
      </c>
      <c r="M52" s="176" t="str">
        <f>A!L1158</f>
        <v>07/20</v>
      </c>
      <c r="N52" s="26" t="str">
        <f>A!M1158</f>
        <v>15:00</v>
      </c>
      <c r="O52" s="150">
        <f>A!N1158</f>
        <v>18794</v>
      </c>
      <c r="P52" s="176">
        <f>A!O1158</f>
        <v>156</v>
      </c>
      <c r="Q52" s="26">
        <f>A!P1158</f>
        <v>15</v>
      </c>
      <c r="R52" s="150">
        <f>A!Q1158</f>
        <v>19799</v>
      </c>
      <c r="S52" s="176">
        <f>A!R1158</f>
        <v>37849</v>
      </c>
      <c r="T52" s="26">
        <f>A!S1158</f>
        <v>15</v>
      </c>
      <c r="U52" s="150">
        <f t="shared" si="3"/>
        <v>18794</v>
      </c>
      <c r="V52" s="26">
        <f t="shared" si="4"/>
        <v>19812.465045646444</v>
      </c>
      <c r="W52" s="27">
        <f t="shared" si="5"/>
        <v>5.2001209161130227E-2</v>
      </c>
      <c r="Y52" s="676">
        <f>A!T1098</f>
        <v>0</v>
      </c>
      <c r="Z52" s="681">
        <f>A!U1098</f>
        <v>0</v>
      </c>
      <c r="AA52" s="673">
        <f>A!V1098</f>
        <v>0</v>
      </c>
    </row>
    <row r="53" spans="2:27" ht="12" customHeight="1" thickBot="1">
      <c r="B53" s="174" t="s">
        <v>138</v>
      </c>
      <c r="C53" s="151">
        <f>A!B1159</f>
        <v>20075.2</v>
      </c>
      <c r="D53" s="29" t="str">
        <f>A!C1159</f>
        <v>17-Jun</v>
      </c>
      <c r="E53" s="29">
        <f>A!D1159</f>
        <v>16</v>
      </c>
      <c r="F53" s="151">
        <f>A!E1159</f>
        <v>19475</v>
      </c>
      <c r="G53" s="182">
        <f>A!F1159</f>
        <v>37370</v>
      </c>
      <c r="H53" s="29">
        <f>A!G1159</f>
        <v>16</v>
      </c>
      <c r="I53" s="151">
        <f>A!H1159</f>
        <v>19474</v>
      </c>
      <c r="J53" s="182">
        <f>A!I1159</f>
        <v>37370</v>
      </c>
      <c r="K53" s="29">
        <f>A!J1159</f>
        <v>16</v>
      </c>
      <c r="L53" s="151">
        <f>A!K1159</f>
        <v>19538.760936243307</v>
      </c>
      <c r="M53" s="182" t="str">
        <f>A!L1159</f>
        <v>07/20</v>
      </c>
      <c r="N53" s="29" t="str">
        <f>A!M1159</f>
        <v>15:00</v>
      </c>
      <c r="O53" s="151">
        <f>A!N1159</f>
        <v>18764</v>
      </c>
      <c r="P53" s="182">
        <f>A!O1159</f>
        <v>202</v>
      </c>
      <c r="Q53" s="667">
        <f>A!P1159</f>
        <v>15</v>
      </c>
      <c r="R53" s="668">
        <f>A!Q1159</f>
        <v>19497</v>
      </c>
      <c r="S53" s="610">
        <f>A!R1159</f>
        <v>37776</v>
      </c>
      <c r="T53" s="669">
        <f>A!S1159</f>
        <v>15</v>
      </c>
      <c r="U53" s="151">
        <f t="shared" si="3"/>
        <v>18764</v>
      </c>
      <c r="V53" s="29">
        <f t="shared" si="4"/>
        <v>20075.2</v>
      </c>
      <c r="W53" s="30">
        <f t="shared" si="5"/>
        <v>6.7342349437146121E-2</v>
      </c>
      <c r="Y53" s="676">
        <f>A!T1099</f>
        <v>0</v>
      </c>
      <c r="Z53" s="681">
        <f>A!U1099</f>
        <v>0</v>
      </c>
      <c r="AA53" s="673">
        <f>A!V1099</f>
        <v>0</v>
      </c>
    </row>
    <row r="54" spans="2:27" ht="12" customHeight="1" thickTop="1">
      <c r="B54" s="713"/>
      <c r="C54" s="712"/>
      <c r="D54" s="712"/>
      <c r="E54" s="712"/>
      <c r="F54" s="712"/>
      <c r="G54" s="714"/>
      <c r="H54" s="712"/>
      <c r="I54" s="712"/>
      <c r="J54" s="714"/>
      <c r="K54" s="712"/>
      <c r="L54" s="712"/>
      <c r="M54" s="714"/>
      <c r="N54" s="712"/>
      <c r="O54" s="712"/>
      <c r="P54" s="714"/>
      <c r="Q54" s="712"/>
      <c r="R54" s="712"/>
      <c r="S54" s="714"/>
      <c r="T54" s="712"/>
      <c r="U54" s="201"/>
      <c r="V54" s="201"/>
      <c r="W54" s="672"/>
      <c r="Y54" s="676"/>
      <c r="Z54" s="681"/>
      <c r="AA54" s="673"/>
    </row>
    <row r="55" spans="2:27" ht="17.25" customHeight="1" thickBot="1">
      <c r="B55" s="718" t="s">
        <v>575</v>
      </c>
      <c r="C55" s="716"/>
      <c r="D55" s="716"/>
      <c r="E55" s="716"/>
      <c r="F55" s="716"/>
      <c r="G55" s="717"/>
      <c r="H55" s="716"/>
      <c r="I55" s="716"/>
      <c r="J55" s="717"/>
      <c r="K55" s="716"/>
      <c r="L55" s="716"/>
      <c r="M55" s="717"/>
      <c r="N55" s="716"/>
      <c r="O55" s="716"/>
      <c r="P55" s="717"/>
      <c r="Q55" s="716"/>
      <c r="R55" s="716"/>
      <c r="S55" s="717"/>
      <c r="T55" s="716"/>
      <c r="U55" s="29"/>
      <c r="V55" s="29"/>
      <c r="W55" s="603"/>
      <c r="Y55" s="676"/>
      <c r="Z55" s="681"/>
      <c r="AA55" s="673"/>
    </row>
    <row r="56" spans="2:27" ht="12" customHeight="1" thickTop="1">
      <c r="B56" s="622" t="s">
        <v>241</v>
      </c>
      <c r="C56" s="623"/>
      <c r="D56" s="623"/>
      <c r="E56" s="623"/>
      <c r="F56" s="623"/>
      <c r="G56" s="624"/>
      <c r="H56" s="623"/>
      <c r="I56" s="623"/>
      <c r="J56" s="624"/>
      <c r="K56" s="623"/>
      <c r="L56" s="623"/>
      <c r="M56" s="624"/>
      <c r="N56" s="623"/>
      <c r="O56" s="623"/>
      <c r="P56" s="624"/>
      <c r="Q56" s="623"/>
      <c r="R56" s="20"/>
      <c r="S56" s="20"/>
      <c r="T56" s="20"/>
      <c r="U56" s="147" t="s">
        <v>24</v>
      </c>
      <c r="V56" s="20"/>
      <c r="W56" s="21"/>
      <c r="Y56" s="676"/>
      <c r="Z56" s="681"/>
      <c r="AA56" s="673"/>
    </row>
    <row r="57" spans="2:27" ht="12" customHeight="1">
      <c r="B57" s="625"/>
      <c r="C57" s="626" t="s">
        <v>245</v>
      </c>
      <c r="D57" s="626"/>
      <c r="E57" s="626"/>
      <c r="F57" s="377" t="s">
        <v>536</v>
      </c>
      <c r="G57" s="627"/>
      <c r="H57" s="626"/>
      <c r="I57" s="372" t="s">
        <v>258</v>
      </c>
      <c r="J57" s="628"/>
      <c r="K57" s="509"/>
      <c r="L57" s="372" t="s">
        <v>433</v>
      </c>
      <c r="M57" s="628"/>
      <c r="N57" s="509"/>
      <c r="O57" s="724" t="s">
        <v>469</v>
      </c>
      <c r="P57" s="592"/>
      <c r="Q57" s="725"/>
      <c r="R57" s="437" t="s">
        <v>482</v>
      </c>
      <c r="U57" s="148"/>
      <c r="V57" s="18"/>
      <c r="W57" s="23" t="s">
        <v>25</v>
      </c>
      <c r="Y57" s="676"/>
      <c r="Z57" s="681"/>
      <c r="AA57" s="673"/>
    </row>
    <row r="58" spans="2:27" ht="12" customHeight="1">
      <c r="B58" s="629"/>
      <c r="C58" s="630" t="s">
        <v>26</v>
      </c>
      <c r="D58" s="630" t="s">
        <v>77</v>
      </c>
      <c r="E58" s="630" t="s">
        <v>78</v>
      </c>
      <c r="F58" s="631" t="s">
        <v>13</v>
      </c>
      <c r="G58" s="632" t="s">
        <v>77</v>
      </c>
      <c r="H58" s="630" t="s">
        <v>78</v>
      </c>
      <c r="I58" s="631" t="s">
        <v>13</v>
      </c>
      <c r="J58" s="632" t="s">
        <v>77</v>
      </c>
      <c r="K58" s="633" t="s">
        <v>78</v>
      </c>
      <c r="L58" s="634" t="s">
        <v>434</v>
      </c>
      <c r="M58" s="632" t="s">
        <v>77</v>
      </c>
      <c r="N58" s="633" t="s">
        <v>78</v>
      </c>
      <c r="O58" s="634" t="s">
        <v>452</v>
      </c>
      <c r="P58" s="630" t="s">
        <v>77</v>
      </c>
      <c r="Q58" s="726" t="s">
        <v>78</v>
      </c>
      <c r="R58" s="353" t="s">
        <v>483</v>
      </c>
      <c r="S58" s="24" t="s">
        <v>77</v>
      </c>
      <c r="T58" s="177" t="s">
        <v>78</v>
      </c>
      <c r="U58" s="149" t="s">
        <v>27</v>
      </c>
      <c r="V58" s="24" t="s">
        <v>28</v>
      </c>
      <c r="W58" s="25" t="s">
        <v>259</v>
      </c>
      <c r="Y58" s="680" t="s">
        <v>522</v>
      </c>
      <c r="Z58" s="181" t="s">
        <v>77</v>
      </c>
      <c r="AA58" s="177" t="s">
        <v>78</v>
      </c>
    </row>
    <row r="59" spans="2:27" ht="12" customHeight="1">
      <c r="B59" s="613" t="s">
        <v>91</v>
      </c>
      <c r="C59" s="614">
        <f>A!B1080</f>
        <v>23277.4</v>
      </c>
      <c r="D59" s="614" t="str">
        <f>A!C1080</f>
        <v>20-Jul</v>
      </c>
      <c r="E59" s="614">
        <f>A!D1080</f>
        <v>16</v>
      </c>
      <c r="F59" s="616">
        <f>A!E1080</f>
        <v>23203</v>
      </c>
      <c r="G59" s="617">
        <f>A!F1080</f>
        <v>37457</v>
      </c>
      <c r="H59" s="614">
        <f>A!G1080</f>
        <v>15</v>
      </c>
      <c r="I59" s="616">
        <f>A!H1080</f>
        <v>23205</v>
      </c>
      <c r="J59" s="617">
        <f>A!I1080</f>
        <v>37457</v>
      </c>
      <c r="K59" s="614">
        <f>A!J1080</f>
        <v>15</v>
      </c>
      <c r="L59" s="616">
        <f>A!K1080</f>
        <v>23463.175508715332</v>
      </c>
      <c r="M59" s="617" t="str">
        <f>A!L1080</f>
        <v>07/20</v>
      </c>
      <c r="N59" s="614" t="str">
        <f>A!M1080</f>
        <v>15:00</v>
      </c>
      <c r="O59" s="616">
        <f>A!N1080</f>
        <v>23457</v>
      </c>
      <c r="P59" s="617">
        <f>A!O1080</f>
        <v>202</v>
      </c>
      <c r="Q59" s="614">
        <f>A!P1080</f>
        <v>15</v>
      </c>
      <c r="R59" s="616">
        <f>A!Q1080</f>
        <v>22908</v>
      </c>
      <c r="S59" s="617">
        <f>A!R1080</f>
        <v>37776</v>
      </c>
      <c r="T59" s="614">
        <f>A!S1080</f>
        <v>15</v>
      </c>
      <c r="U59" s="150">
        <f t="shared" ref="U59:U78" si="6">MINA(C59,F59,I59,L59,O59,R59)</f>
        <v>22908</v>
      </c>
      <c r="V59" s="26">
        <f t="shared" ref="V59:V78" si="7">MAXA(C59,F59,I59,L59,O59,R59)</f>
        <v>23463.175508715332</v>
      </c>
      <c r="W59" s="27">
        <f t="shared" ref="W59:W78" si="8">(V59-U59)/AVERAGE(C59,F59,I59,L59,O59,R59)</f>
        <v>2.3876192980832218E-2</v>
      </c>
      <c r="Y59" s="676">
        <f>A!T1110</f>
        <v>0</v>
      </c>
      <c r="Z59" s="681">
        <f>A!U1110</f>
        <v>0</v>
      </c>
      <c r="AA59" s="673">
        <f>A!V1110</f>
        <v>0</v>
      </c>
    </row>
    <row r="60" spans="2:27" ht="12" customHeight="1">
      <c r="B60" s="618" t="s">
        <v>96</v>
      </c>
      <c r="C60" s="614">
        <f>A!B1081</f>
        <v>23094.3</v>
      </c>
      <c r="D60" s="614" t="str">
        <f>A!C1081</f>
        <v>10-Sep</v>
      </c>
      <c r="E60" s="614">
        <f>A!D1081</f>
        <v>15</v>
      </c>
      <c r="F60" s="616">
        <f>A!E1081</f>
        <v>23080</v>
      </c>
      <c r="G60" s="617">
        <f>A!F1081</f>
        <v>38240</v>
      </c>
      <c r="H60" s="614">
        <f>A!G1081</f>
        <v>16</v>
      </c>
      <c r="I60" s="616">
        <f>A!H1081</f>
        <v>23119</v>
      </c>
      <c r="J60" s="617">
        <f>A!I1081</f>
        <v>38142</v>
      </c>
      <c r="K60" s="614">
        <f>A!J1081</f>
        <v>16</v>
      </c>
      <c r="L60" s="616">
        <f>A!K1081</f>
        <v>23145.065142337222</v>
      </c>
      <c r="M60" s="617" t="str">
        <f>A!L1081</f>
        <v>07/11</v>
      </c>
      <c r="N60" s="614" t="str">
        <f>A!M1081</f>
        <v>16:00</v>
      </c>
      <c r="O60" s="616">
        <f>A!N1081</f>
        <v>23078</v>
      </c>
      <c r="P60" s="617">
        <f>A!O1081</f>
        <v>254</v>
      </c>
      <c r="Q60" s="614">
        <f>A!P1081</f>
        <v>15</v>
      </c>
      <c r="R60" s="616">
        <f>A!Q1081</f>
        <v>22649</v>
      </c>
      <c r="S60" s="617">
        <f>A!R1081</f>
        <v>37785</v>
      </c>
      <c r="T60" s="614">
        <f>A!S1081</f>
        <v>16</v>
      </c>
      <c r="U60" s="150">
        <f t="shared" si="6"/>
        <v>22649</v>
      </c>
      <c r="V60" s="26">
        <f t="shared" si="7"/>
        <v>23145.065142337222</v>
      </c>
      <c r="W60" s="27">
        <f t="shared" si="8"/>
        <v>2.1542235646083006E-2</v>
      </c>
      <c r="Y60" s="676">
        <f>A!T1111</f>
        <v>0</v>
      </c>
      <c r="Z60" s="681">
        <f>A!U1111</f>
        <v>0</v>
      </c>
      <c r="AA60" s="673">
        <f>A!V1111</f>
        <v>0</v>
      </c>
    </row>
    <row r="61" spans="2:27" ht="12" customHeight="1">
      <c r="B61" s="618" t="s">
        <v>98</v>
      </c>
      <c r="C61" s="614">
        <f>A!B1082</f>
        <v>31315.599999999999</v>
      </c>
      <c r="D61" s="614" t="str">
        <f>A!C1082</f>
        <v>24-Apr</v>
      </c>
      <c r="E61" s="614">
        <f>A!D1082</f>
        <v>16</v>
      </c>
      <c r="F61" s="616">
        <f>A!E1082</f>
        <v>31119</v>
      </c>
      <c r="G61" s="617">
        <f>A!F1082</f>
        <v>38101</v>
      </c>
      <c r="H61" s="614">
        <f>A!G1082</f>
        <v>16</v>
      </c>
      <c r="I61" s="616">
        <f>A!H1082</f>
        <v>31072</v>
      </c>
      <c r="J61" s="617">
        <f>A!I1082</f>
        <v>37370</v>
      </c>
      <c r="K61" s="614">
        <f>A!J1082</f>
        <v>16</v>
      </c>
      <c r="L61" s="616">
        <f>A!K1082</f>
        <v>31528.725409228056</v>
      </c>
      <c r="M61" s="617" t="str">
        <f>A!L1082</f>
        <v>04/24</v>
      </c>
      <c r="N61" s="614" t="str">
        <f>A!M1082</f>
        <v>15:00</v>
      </c>
      <c r="O61" s="616">
        <f>A!N1082</f>
        <v>31134</v>
      </c>
      <c r="P61" s="617">
        <f>A!O1082</f>
        <v>155</v>
      </c>
      <c r="Q61" s="614">
        <f>A!P1082</f>
        <v>16</v>
      </c>
      <c r="R61" s="616">
        <f>A!Q1082</f>
        <v>30967</v>
      </c>
      <c r="S61" s="617">
        <f>A!R1082</f>
        <v>37735</v>
      </c>
      <c r="T61" s="614">
        <f>A!S1082</f>
        <v>15</v>
      </c>
      <c r="U61" s="150">
        <f t="shared" si="6"/>
        <v>30967</v>
      </c>
      <c r="V61" s="26">
        <f t="shared" si="7"/>
        <v>31528.725409228056</v>
      </c>
      <c r="W61" s="27">
        <f t="shared" si="8"/>
        <v>1.8010145534268034E-2</v>
      </c>
      <c r="Y61" s="676">
        <f>A!T1112</f>
        <v>0</v>
      </c>
      <c r="Z61" s="681">
        <f>A!U1112</f>
        <v>0</v>
      </c>
      <c r="AA61" s="673">
        <f>A!V1112</f>
        <v>0</v>
      </c>
    </row>
    <row r="62" spans="2:27" ht="12" customHeight="1">
      <c r="B62" s="618" t="s">
        <v>102</v>
      </c>
      <c r="C62" s="614">
        <f>A!B1083</f>
        <v>33226.1</v>
      </c>
      <c r="D62" s="614" t="str">
        <f>A!C1083</f>
        <v>14-Jun</v>
      </c>
      <c r="E62" s="614">
        <f>A!D1083</f>
        <v>14</v>
      </c>
      <c r="F62" s="616">
        <f>A!E1083</f>
        <v>33410</v>
      </c>
      <c r="G62" s="617">
        <f>A!F1083</f>
        <v>37421</v>
      </c>
      <c r="H62" s="614">
        <f>A!G1083</f>
        <v>14</v>
      </c>
      <c r="I62" s="616">
        <f>A!H1083</f>
        <v>34490</v>
      </c>
      <c r="J62" s="617">
        <f>A!I1083</f>
        <v>37421</v>
      </c>
      <c r="K62" s="614">
        <f>A!J1083</f>
        <v>15</v>
      </c>
      <c r="L62" s="616">
        <f>A!K1083</f>
        <v>34692.193139345552</v>
      </c>
      <c r="M62" s="617" t="str">
        <f>A!L1083</f>
        <v>06/14</v>
      </c>
      <c r="N62" s="614" t="str">
        <f>A!M1083</f>
        <v>14:00</v>
      </c>
      <c r="O62" s="616">
        <f>A!N1083</f>
        <v>33997</v>
      </c>
      <c r="P62" s="617">
        <f>A!O1083</f>
        <v>115</v>
      </c>
      <c r="Q62" s="614">
        <f>A!P1083</f>
        <v>16</v>
      </c>
      <c r="R62" s="616">
        <f>A!Q1083</f>
        <v>33421</v>
      </c>
      <c r="S62" s="617">
        <f>A!R1083</f>
        <v>37873</v>
      </c>
      <c r="T62" s="614">
        <f>A!S1083</f>
        <v>14</v>
      </c>
      <c r="U62" s="150">
        <f t="shared" si="6"/>
        <v>33226.1</v>
      </c>
      <c r="V62" s="26">
        <f t="shared" si="7"/>
        <v>34692.193139345552</v>
      </c>
      <c r="W62" s="27">
        <f t="shared" si="8"/>
        <v>4.3282421166981777E-2</v>
      </c>
      <c r="Y62" s="676">
        <f>A!T1113</f>
        <v>0</v>
      </c>
      <c r="Z62" s="681">
        <f>A!U1113</f>
        <v>0</v>
      </c>
      <c r="AA62" s="673">
        <f>A!V1113</f>
        <v>0</v>
      </c>
    </row>
    <row r="63" spans="2:27" ht="12" customHeight="1">
      <c r="B63" s="619" t="s">
        <v>356</v>
      </c>
      <c r="C63" s="614">
        <f>A!B1084</f>
        <v>32828.9</v>
      </c>
      <c r="D63" s="614" t="str">
        <f>A!C1084</f>
        <v>24-Apr</v>
      </c>
      <c r="E63" s="614">
        <f>A!D1084</f>
        <v>15</v>
      </c>
      <c r="F63" s="616">
        <f>A!E1084</f>
        <v>32086</v>
      </c>
      <c r="G63" s="617">
        <f>A!F1084</f>
        <v>37392</v>
      </c>
      <c r="H63" s="614">
        <f>A!G1084</f>
        <v>16</v>
      </c>
      <c r="I63" s="616">
        <f>A!H1084</f>
        <v>32086</v>
      </c>
      <c r="J63" s="617">
        <f>A!I1084</f>
        <v>37392</v>
      </c>
      <c r="K63" s="614">
        <f>A!J1084</f>
        <v>16</v>
      </c>
      <c r="L63" s="616">
        <f>A!K1084</f>
        <v>32737.101095173057</v>
      </c>
      <c r="M63" s="617" t="str">
        <f>A!L1084</f>
        <v>04/24</v>
      </c>
      <c r="N63" s="614" t="str">
        <f>A!M1084</f>
        <v>15:00</v>
      </c>
      <c r="O63" s="616">
        <f>A!N1084</f>
        <v>32940</v>
      </c>
      <c r="P63" s="617">
        <f>A!O1084</f>
        <v>115</v>
      </c>
      <c r="Q63" s="614">
        <f>A!P1084</f>
        <v>16</v>
      </c>
      <c r="R63" s="616">
        <f>A!Q1084</f>
        <v>32180</v>
      </c>
      <c r="S63" s="617">
        <f>A!R1084</f>
        <v>37735</v>
      </c>
      <c r="T63" s="614">
        <f>A!S1084</f>
        <v>15</v>
      </c>
      <c r="U63" s="150">
        <f t="shared" si="6"/>
        <v>32086</v>
      </c>
      <c r="V63" s="26">
        <f t="shared" si="7"/>
        <v>32940</v>
      </c>
      <c r="W63" s="27">
        <f t="shared" si="8"/>
        <v>2.6296071863619919E-2</v>
      </c>
      <c r="Y63" s="676">
        <f>A!T1114</f>
        <v>0</v>
      </c>
      <c r="Z63" s="681">
        <f>A!U1114</f>
        <v>0</v>
      </c>
      <c r="AA63" s="673">
        <f>A!V1114</f>
        <v>0</v>
      </c>
    </row>
    <row r="64" spans="2:27" ht="12" customHeight="1">
      <c r="B64" s="618" t="s">
        <v>105</v>
      </c>
      <c r="C64" s="614">
        <f>A!B1085</f>
        <v>23277.5</v>
      </c>
      <c r="D64" s="614" t="str">
        <f>A!C1085</f>
        <v>29-Jul</v>
      </c>
      <c r="E64" s="614">
        <f>A!D1085</f>
        <v>15</v>
      </c>
      <c r="F64" s="616">
        <f>A!E1085</f>
        <v>23203</v>
      </c>
      <c r="G64" s="617">
        <f>A!F1085</f>
        <v>37457</v>
      </c>
      <c r="H64" s="614">
        <f>A!G1085</f>
        <v>15</v>
      </c>
      <c r="I64" s="616">
        <f>A!H1085</f>
        <v>23205</v>
      </c>
      <c r="J64" s="617">
        <f>A!I1085</f>
        <v>37457</v>
      </c>
      <c r="K64" s="614">
        <f>A!J1085</f>
        <v>15</v>
      </c>
      <c r="L64" s="616">
        <f>A!K1085</f>
        <v>23463.135987177277</v>
      </c>
      <c r="M64" s="617" t="str">
        <f>A!L1085</f>
        <v>07/20</v>
      </c>
      <c r="N64" s="614" t="str">
        <f>A!M1085</f>
        <v>15:00</v>
      </c>
      <c r="O64" s="616">
        <f>A!N1085</f>
        <v>23457</v>
      </c>
      <c r="P64" s="617">
        <f>A!O1085</f>
        <v>202</v>
      </c>
      <c r="Q64" s="614">
        <f>A!P1085</f>
        <v>15</v>
      </c>
      <c r="R64" s="616">
        <f>A!Q1085</f>
        <v>22876</v>
      </c>
      <c r="S64" s="617">
        <f>A!R1085</f>
        <v>37812</v>
      </c>
      <c r="T64" s="614">
        <f>A!S1085</f>
        <v>15</v>
      </c>
      <c r="U64" s="150">
        <f t="shared" si="6"/>
        <v>22876</v>
      </c>
      <c r="V64" s="26">
        <f t="shared" si="7"/>
        <v>23463.135987177277</v>
      </c>
      <c r="W64" s="27">
        <f t="shared" si="8"/>
        <v>2.5256485544717277E-2</v>
      </c>
      <c r="Y64" s="676">
        <f>A!T1115</f>
        <v>0</v>
      </c>
      <c r="Z64" s="681">
        <f>A!U1115</f>
        <v>0</v>
      </c>
      <c r="AA64" s="673">
        <f>A!V1115</f>
        <v>0</v>
      </c>
    </row>
    <row r="65" spans="2:27" ht="12" customHeight="1">
      <c r="B65" s="618" t="s">
        <v>108</v>
      </c>
      <c r="C65" s="614">
        <f>A!B1086</f>
        <v>32060.7</v>
      </c>
      <c r="D65" s="614" t="str">
        <f>A!C1086</f>
        <v>24-Apr</v>
      </c>
      <c r="E65" s="614">
        <f>A!D1086</f>
        <v>16</v>
      </c>
      <c r="F65" s="616">
        <f>A!E1086</f>
        <v>32111</v>
      </c>
      <c r="G65" s="617">
        <f>A!F1086</f>
        <v>37735</v>
      </c>
      <c r="H65" s="614">
        <f>A!G1086</f>
        <v>16</v>
      </c>
      <c r="I65" s="616">
        <f>A!H1086</f>
        <v>32065</v>
      </c>
      <c r="J65" s="617">
        <f>A!I1086</f>
        <v>38101</v>
      </c>
      <c r="K65" s="614">
        <f>A!J1086</f>
        <v>16</v>
      </c>
      <c r="L65" s="616">
        <f>A!K1086</f>
        <v>32409.297602015555</v>
      </c>
      <c r="M65" s="617" t="str">
        <f>A!L1086</f>
        <v>04/24</v>
      </c>
      <c r="N65" s="614" t="str">
        <f>A!M1086</f>
        <v>16:00</v>
      </c>
      <c r="O65" s="616">
        <f>A!N1086</f>
        <v>31981</v>
      </c>
      <c r="P65" s="617">
        <f>A!O1086</f>
        <v>115</v>
      </c>
      <c r="Q65" s="614">
        <f>A!P1086</f>
        <v>16</v>
      </c>
      <c r="R65" s="616">
        <f>A!Q1086</f>
        <v>32179</v>
      </c>
      <c r="S65" s="617">
        <f>A!R1086</f>
        <v>37735</v>
      </c>
      <c r="T65" s="614">
        <f>A!S1086</f>
        <v>15</v>
      </c>
      <c r="U65" s="150">
        <f t="shared" si="6"/>
        <v>31981</v>
      </c>
      <c r="V65" s="26">
        <f t="shared" si="7"/>
        <v>32409.297602015555</v>
      </c>
      <c r="W65" s="27">
        <f t="shared" si="8"/>
        <v>1.3328348931332541E-2</v>
      </c>
      <c r="Y65" s="676">
        <f>A!T1116</f>
        <v>0</v>
      </c>
      <c r="Z65" s="681">
        <f>A!U1116</f>
        <v>0</v>
      </c>
      <c r="AA65" s="673">
        <f>A!V1116</f>
        <v>0</v>
      </c>
    </row>
    <row r="66" spans="2:27" ht="12" customHeight="1">
      <c r="B66" s="618" t="s">
        <v>109</v>
      </c>
      <c r="C66" s="614">
        <f>A!B1087</f>
        <v>23277.5</v>
      </c>
      <c r="D66" s="614" t="str">
        <f>A!C1087</f>
        <v>29-Jul</v>
      </c>
      <c r="E66" s="614">
        <f>A!D1087</f>
        <v>15</v>
      </c>
      <c r="F66" s="616">
        <f>A!E1087</f>
        <v>23203</v>
      </c>
      <c r="G66" s="617">
        <f>A!F1087</f>
        <v>37457</v>
      </c>
      <c r="H66" s="614">
        <f>A!G1087</f>
        <v>15</v>
      </c>
      <c r="I66" s="616">
        <f>A!H1087</f>
        <v>23205</v>
      </c>
      <c r="J66" s="617">
        <f>A!I1087</f>
        <v>37457</v>
      </c>
      <c r="K66" s="614">
        <f>A!J1087</f>
        <v>15</v>
      </c>
      <c r="L66" s="616">
        <f>A!K1087</f>
        <v>23463.122178536581</v>
      </c>
      <c r="M66" s="617" t="str">
        <f>A!L1087</f>
        <v>07/20</v>
      </c>
      <c r="N66" s="614" t="str">
        <f>A!M1087</f>
        <v>15:00</v>
      </c>
      <c r="O66" s="616"/>
      <c r="P66" s="617"/>
      <c r="Q66" s="614"/>
      <c r="R66" s="616">
        <f>A!Q1087</f>
        <v>22877</v>
      </c>
      <c r="S66" s="617">
        <f>A!R1087</f>
        <v>37810</v>
      </c>
      <c r="T66" s="614">
        <f>A!S1087</f>
        <v>16</v>
      </c>
      <c r="U66" s="150">
        <f t="shared" si="6"/>
        <v>22877</v>
      </c>
      <c r="V66" s="26">
        <f t="shared" si="7"/>
        <v>23463.122178536581</v>
      </c>
      <c r="W66" s="27">
        <f t="shared" si="8"/>
        <v>2.5258307929375941E-2</v>
      </c>
      <c r="Y66" s="676">
        <f>A!T1117</f>
        <v>0</v>
      </c>
      <c r="Z66" s="681">
        <f>A!U1117</f>
        <v>0</v>
      </c>
      <c r="AA66" s="673">
        <f>A!V1117</f>
        <v>0</v>
      </c>
    </row>
    <row r="67" spans="2:27" ht="12" customHeight="1">
      <c r="B67" s="618" t="s">
        <v>111</v>
      </c>
      <c r="C67" s="614">
        <f>A!B1088</f>
        <v>23265.7</v>
      </c>
      <c r="D67" s="614" t="str">
        <f>A!C1088</f>
        <v>10-Sep</v>
      </c>
      <c r="E67" s="614">
        <f>A!D1088</f>
        <v>16</v>
      </c>
      <c r="F67" s="616">
        <f>A!E1088</f>
        <v>23203</v>
      </c>
      <c r="G67" s="617">
        <f>A!F1088</f>
        <v>37457</v>
      </c>
      <c r="H67" s="614">
        <f>A!G1088</f>
        <v>15</v>
      </c>
      <c r="I67" s="616">
        <f>A!H1088</f>
        <v>23205</v>
      </c>
      <c r="J67" s="617">
        <f>A!I1088</f>
        <v>37457</v>
      </c>
      <c r="K67" s="614">
        <f>A!J1088</f>
        <v>15</v>
      </c>
      <c r="L67" s="616"/>
      <c r="M67" s="617"/>
      <c r="N67" s="614"/>
      <c r="O67" s="616"/>
      <c r="P67" s="617"/>
      <c r="Q67" s="614"/>
      <c r="R67" s="616">
        <f>A!Q1088</f>
        <v>22893</v>
      </c>
      <c r="S67" s="617">
        <f>A!R1088</f>
        <v>37831</v>
      </c>
      <c r="T67" s="614">
        <f>A!S1088</f>
        <v>15</v>
      </c>
      <c r="U67" s="150">
        <f t="shared" si="6"/>
        <v>22893</v>
      </c>
      <c r="V67" s="26">
        <f t="shared" si="7"/>
        <v>23265.7</v>
      </c>
      <c r="W67" s="27">
        <f t="shared" si="8"/>
        <v>1.6105143642368185E-2</v>
      </c>
      <c r="Y67" s="676">
        <f>A!T1118</f>
        <v>0</v>
      </c>
      <c r="Z67" s="681">
        <f>A!U1118</f>
        <v>0</v>
      </c>
      <c r="AA67" s="673">
        <f>A!V1118</f>
        <v>0</v>
      </c>
    </row>
    <row r="68" spans="2:27" ht="12" customHeight="1">
      <c r="B68" s="618" t="s">
        <v>112</v>
      </c>
      <c r="C68" s="614">
        <f>A!B1089</f>
        <v>23277.4</v>
      </c>
      <c r="D68" s="614" t="str">
        <f>A!C1089</f>
        <v>20-Jul</v>
      </c>
      <c r="E68" s="614">
        <f>A!D1089</f>
        <v>16</v>
      </c>
      <c r="F68" s="616">
        <f>A!E1089</f>
        <v>23203</v>
      </c>
      <c r="G68" s="617">
        <f>A!F1089</f>
        <v>37457</v>
      </c>
      <c r="H68" s="614">
        <f>A!G1089</f>
        <v>15</v>
      </c>
      <c r="I68" s="616">
        <f>A!H1089</f>
        <v>23205</v>
      </c>
      <c r="J68" s="617">
        <f>A!I1089</f>
        <v>37457</v>
      </c>
      <c r="K68" s="614">
        <f>A!J1089</f>
        <v>15</v>
      </c>
      <c r="L68" s="616">
        <f>A!K1089</f>
        <v>23463.175508715362</v>
      </c>
      <c r="M68" s="617" t="str">
        <f>A!L1089</f>
        <v>07/20</v>
      </c>
      <c r="N68" s="614" t="str">
        <f>A!M1089</f>
        <v>15:00</v>
      </c>
      <c r="O68" s="616"/>
      <c r="P68" s="617"/>
      <c r="Q68" s="614"/>
      <c r="R68" s="616">
        <f>A!Q1089</f>
        <v>22893</v>
      </c>
      <c r="S68" s="617">
        <f>A!R1089</f>
        <v>37831</v>
      </c>
      <c r="T68" s="614">
        <f>A!S1089</f>
        <v>15</v>
      </c>
      <c r="U68" s="150">
        <f t="shared" si="6"/>
        <v>22893</v>
      </c>
      <c r="V68" s="26">
        <f t="shared" si="7"/>
        <v>23463.175508715362</v>
      </c>
      <c r="W68" s="27">
        <f t="shared" si="8"/>
        <v>2.4567725240534077E-2</v>
      </c>
      <c r="Y68" s="676">
        <f>A!T1119</f>
        <v>0</v>
      </c>
      <c r="Z68" s="681">
        <f>A!U1119</f>
        <v>0</v>
      </c>
      <c r="AA68" s="673">
        <f>A!V1119</f>
        <v>0</v>
      </c>
    </row>
    <row r="69" spans="2:27" ht="12" customHeight="1">
      <c r="B69" s="618" t="s">
        <v>113</v>
      </c>
      <c r="C69" s="614">
        <f>A!B1090</f>
        <v>23277.4</v>
      </c>
      <c r="D69" s="614" t="str">
        <f>A!C1090</f>
        <v>20-Jul</v>
      </c>
      <c r="E69" s="614">
        <f>A!D1090</f>
        <v>16</v>
      </c>
      <c r="F69" s="616">
        <f>A!E1090</f>
        <v>23203</v>
      </c>
      <c r="G69" s="617">
        <f>A!F1090</f>
        <v>37457</v>
      </c>
      <c r="H69" s="614">
        <f>A!G1090</f>
        <v>15</v>
      </c>
      <c r="I69" s="616">
        <f>A!H1090</f>
        <v>23205</v>
      </c>
      <c r="J69" s="617">
        <f>A!I1090</f>
        <v>37457</v>
      </c>
      <c r="K69" s="614">
        <f>A!J1090</f>
        <v>15</v>
      </c>
      <c r="L69" s="616">
        <f>A!K1090</f>
        <v>23463.175508715834</v>
      </c>
      <c r="M69" s="617" t="str">
        <f>A!L1090</f>
        <v>07/20</v>
      </c>
      <c r="N69" s="614" t="str">
        <f>A!M1090</f>
        <v>15:00</v>
      </c>
      <c r="O69" s="616"/>
      <c r="P69" s="617"/>
      <c r="Q69" s="614"/>
      <c r="R69" s="616">
        <f>A!Q1090</f>
        <v>22893</v>
      </c>
      <c r="S69" s="617">
        <f>A!R1090</f>
        <v>37831</v>
      </c>
      <c r="T69" s="614">
        <f>A!S1090</f>
        <v>15</v>
      </c>
      <c r="U69" s="150">
        <f t="shared" si="6"/>
        <v>22893</v>
      </c>
      <c r="V69" s="26">
        <f t="shared" si="7"/>
        <v>23463.175508715834</v>
      </c>
      <c r="W69" s="27">
        <f t="shared" si="8"/>
        <v>2.4567725240554356E-2</v>
      </c>
      <c r="Y69" s="676">
        <f>A!T1120</f>
        <v>0</v>
      </c>
      <c r="Z69" s="681">
        <f>A!U1120</f>
        <v>0</v>
      </c>
      <c r="AA69" s="673">
        <f>A!V1120</f>
        <v>0</v>
      </c>
    </row>
    <row r="70" spans="2:27" ht="12" customHeight="1">
      <c r="B70" s="618" t="s">
        <v>114</v>
      </c>
      <c r="C70" s="614">
        <f>A!B1091</f>
        <v>23277.4</v>
      </c>
      <c r="D70" s="614" t="str">
        <f>A!C1091</f>
        <v>20-Jul</v>
      </c>
      <c r="E70" s="614">
        <f>A!D1091</f>
        <v>16</v>
      </c>
      <c r="F70" s="616">
        <f>A!E1091</f>
        <v>23203</v>
      </c>
      <c r="G70" s="617">
        <f>A!F1091</f>
        <v>37457</v>
      </c>
      <c r="H70" s="614">
        <f>A!G1091</f>
        <v>15</v>
      </c>
      <c r="I70" s="616">
        <f>A!H1091</f>
        <v>23205</v>
      </c>
      <c r="J70" s="617">
        <f>A!I1091</f>
        <v>37457</v>
      </c>
      <c r="K70" s="614">
        <f>A!J1091</f>
        <v>15</v>
      </c>
      <c r="L70" s="616">
        <f>A!K1091</f>
        <v>23463.175508715638</v>
      </c>
      <c r="M70" s="617" t="str">
        <f>A!L1091</f>
        <v>07/20</v>
      </c>
      <c r="N70" s="614" t="str">
        <f>A!M1091</f>
        <v>15:00</v>
      </c>
      <c r="O70" s="616"/>
      <c r="P70" s="617"/>
      <c r="Q70" s="614"/>
      <c r="R70" s="616">
        <f>A!Q1091</f>
        <v>22875</v>
      </c>
      <c r="S70" s="617">
        <f>A!R1091</f>
        <v>37849</v>
      </c>
      <c r="T70" s="614">
        <f>A!S1091</f>
        <v>16</v>
      </c>
      <c r="U70" s="150">
        <f t="shared" si="6"/>
        <v>22875</v>
      </c>
      <c r="V70" s="26">
        <f t="shared" si="7"/>
        <v>23463.175508715638</v>
      </c>
      <c r="W70" s="27">
        <f t="shared" si="8"/>
        <v>2.5347241116158097E-2</v>
      </c>
      <c r="Y70" s="676">
        <f>A!T1121</f>
        <v>0</v>
      </c>
      <c r="Z70" s="681">
        <f>A!U1121</f>
        <v>0</v>
      </c>
      <c r="AA70" s="673">
        <f>A!V1121</f>
        <v>0</v>
      </c>
    </row>
    <row r="71" spans="2:27" ht="12" customHeight="1">
      <c r="B71" s="618" t="s">
        <v>115</v>
      </c>
      <c r="C71" s="614">
        <f>A!B1092</f>
        <v>19549.2</v>
      </c>
      <c r="D71" s="614" t="str">
        <f>A!C1092</f>
        <v>28-Oct</v>
      </c>
      <c r="E71" s="614">
        <f>A!D1092</f>
        <v>15</v>
      </c>
      <c r="F71" s="616">
        <f>A!E1092</f>
        <v>20009</v>
      </c>
      <c r="G71" s="617">
        <f>A!F1092</f>
        <v>37776</v>
      </c>
      <c r="H71" s="614">
        <f>A!G1092</f>
        <v>16</v>
      </c>
      <c r="I71" s="616">
        <f>A!H1092</f>
        <v>20008</v>
      </c>
      <c r="J71" s="617">
        <f>A!I1092</f>
        <v>37509</v>
      </c>
      <c r="K71" s="614">
        <f>A!J1092</f>
        <v>16</v>
      </c>
      <c r="L71" s="616">
        <f>A!K1092</f>
        <v>19795.91045822786</v>
      </c>
      <c r="M71" s="617" t="str">
        <f>A!L1092</f>
        <v>07/20</v>
      </c>
      <c r="N71" s="614" t="str">
        <f>A!M1092</f>
        <v>15:00</v>
      </c>
      <c r="O71" s="616">
        <f>A!N1092</f>
        <v>18776</v>
      </c>
      <c r="P71" s="617">
        <f>A!O1092</f>
        <v>156</v>
      </c>
      <c r="Q71" s="614">
        <f>A!P1092</f>
        <v>15</v>
      </c>
      <c r="R71" s="616">
        <f>A!Q1092</f>
        <v>19818</v>
      </c>
      <c r="S71" s="617">
        <f>A!R1092</f>
        <v>37831</v>
      </c>
      <c r="T71" s="614">
        <f>A!S1092</f>
        <v>15</v>
      </c>
      <c r="U71" s="150">
        <f t="shared" si="6"/>
        <v>18776</v>
      </c>
      <c r="V71" s="26">
        <f t="shared" si="7"/>
        <v>20009</v>
      </c>
      <c r="W71" s="27">
        <f t="shared" si="8"/>
        <v>6.2718243008020133E-2</v>
      </c>
      <c r="Y71" s="676">
        <f>A!T1122</f>
        <v>0</v>
      </c>
      <c r="Z71" s="681">
        <f>A!U1122</f>
        <v>0</v>
      </c>
      <c r="AA71" s="673">
        <f>A!V1122</f>
        <v>0</v>
      </c>
    </row>
    <row r="72" spans="2:27" ht="12" customHeight="1">
      <c r="B72" s="618" t="s">
        <v>121</v>
      </c>
      <c r="C72" s="614">
        <f>A!B1093</f>
        <v>21729.200000000001</v>
      </c>
      <c r="D72" s="614" t="str">
        <f>A!C1093</f>
        <v>29-Apr</v>
      </c>
      <c r="E72" s="614">
        <f>A!D1093</f>
        <v>19</v>
      </c>
      <c r="F72" s="616">
        <f>A!E1093</f>
        <v>22513</v>
      </c>
      <c r="G72" s="617">
        <f>A!F1093</f>
        <v>37448</v>
      </c>
      <c r="H72" s="614">
        <f>A!G1093</f>
        <v>15</v>
      </c>
      <c r="I72" s="616">
        <f>A!H1093</f>
        <v>22513</v>
      </c>
      <c r="J72" s="617">
        <f>A!I1093</f>
        <v>37813</v>
      </c>
      <c r="K72" s="614">
        <f>A!J1093</f>
        <v>15</v>
      </c>
      <c r="L72" s="616">
        <f>A!K1093</f>
        <v>22227.967030350082</v>
      </c>
      <c r="M72" s="617" t="str">
        <f>A!L1093</f>
        <v>07/20</v>
      </c>
      <c r="N72" s="614" t="str">
        <f>A!M1093</f>
        <v>16:00</v>
      </c>
      <c r="O72" s="616">
        <f>A!N1093</f>
        <v>21121</v>
      </c>
      <c r="P72" s="617">
        <f>A!O1093</f>
        <v>156</v>
      </c>
      <c r="Q72" s="614">
        <f>A!P1093</f>
        <v>13</v>
      </c>
      <c r="R72" s="616">
        <f>A!Q1093</f>
        <v>22269</v>
      </c>
      <c r="S72" s="617">
        <f>A!R1093</f>
        <v>37822</v>
      </c>
      <c r="T72" s="614">
        <f>A!S1093</f>
        <v>14</v>
      </c>
      <c r="U72" s="150">
        <f t="shared" si="6"/>
        <v>21121</v>
      </c>
      <c r="V72" s="26">
        <f t="shared" si="7"/>
        <v>22513</v>
      </c>
      <c r="W72" s="27">
        <f t="shared" si="8"/>
        <v>6.309435807398249E-2</v>
      </c>
      <c r="Y72" s="676">
        <f>A!T1123</f>
        <v>0</v>
      </c>
      <c r="Z72" s="681">
        <f>A!U1123</f>
        <v>0</v>
      </c>
      <c r="AA72" s="673">
        <f>A!V1123</f>
        <v>0</v>
      </c>
    </row>
    <row r="73" spans="2:27" ht="12" customHeight="1">
      <c r="B73" s="618" t="s">
        <v>125</v>
      </c>
      <c r="C73" s="614">
        <f>A!B1094</f>
        <v>19415.900000000001</v>
      </c>
      <c r="D73" s="614" t="str">
        <f>A!C1094</f>
        <v>28-Sep</v>
      </c>
      <c r="E73" s="614">
        <f>A!D1094</f>
        <v>15</v>
      </c>
      <c r="F73" s="616">
        <f>A!E1094</f>
        <v>20159</v>
      </c>
      <c r="G73" s="617">
        <f>A!F1094</f>
        <v>38133</v>
      </c>
      <c r="H73" s="614">
        <f>A!G1094</f>
        <v>16</v>
      </c>
      <c r="I73" s="616">
        <f>A!H1094</f>
        <v>20154</v>
      </c>
      <c r="J73" s="617">
        <f>A!I1094</f>
        <v>38133</v>
      </c>
      <c r="K73" s="614">
        <f>A!J1094</f>
        <v>16</v>
      </c>
      <c r="L73" s="616">
        <f>A!K1094</f>
        <v>20012.575134381084</v>
      </c>
      <c r="M73" s="617" t="str">
        <f>A!L1094</f>
        <v>07/30</v>
      </c>
      <c r="N73" s="614" t="str">
        <f>A!M1094</f>
        <v>16:00</v>
      </c>
      <c r="O73" s="616">
        <f>A!N1094</f>
        <v>18969</v>
      </c>
      <c r="P73" s="617">
        <f>A!O1094</f>
        <v>202</v>
      </c>
      <c r="Q73" s="614">
        <f>A!P1094</f>
        <v>16</v>
      </c>
      <c r="R73" s="616">
        <f>A!Q1094</f>
        <v>20378</v>
      </c>
      <c r="S73" s="617">
        <f>A!R1094</f>
        <v>37764</v>
      </c>
      <c r="T73" s="614">
        <f>A!S1094</f>
        <v>15</v>
      </c>
      <c r="U73" s="150">
        <f t="shared" si="6"/>
        <v>18969</v>
      </c>
      <c r="V73" s="26">
        <f t="shared" si="7"/>
        <v>20378</v>
      </c>
      <c r="W73" s="27">
        <f t="shared" si="8"/>
        <v>7.0989237123578824E-2</v>
      </c>
      <c r="Y73" s="676">
        <f>A!T1124</f>
        <v>0</v>
      </c>
      <c r="Z73" s="681">
        <f>A!U1124</f>
        <v>0</v>
      </c>
      <c r="AA73" s="673">
        <f>A!V1124</f>
        <v>0</v>
      </c>
    </row>
    <row r="74" spans="2:27" ht="12" customHeight="1">
      <c r="B74" s="618" t="s">
        <v>127</v>
      </c>
      <c r="C74" s="614">
        <f>A!B1095</f>
        <v>19488.8</v>
      </c>
      <c r="D74" s="614" t="str">
        <f>A!C1095</f>
        <v>12-Mai</v>
      </c>
      <c r="E74" s="614">
        <f>A!D1095</f>
        <v>15</v>
      </c>
      <c r="F74" s="616">
        <f>A!E1095</f>
        <v>20137</v>
      </c>
      <c r="G74" s="617">
        <f>A!F1095</f>
        <v>37448</v>
      </c>
      <c r="H74" s="614">
        <f>A!G1095</f>
        <v>16</v>
      </c>
      <c r="I74" s="616">
        <f>A!H1095</f>
        <v>20135</v>
      </c>
      <c r="J74" s="617">
        <f>A!I1095</f>
        <v>37448</v>
      </c>
      <c r="K74" s="614">
        <f>A!J1095</f>
        <v>16</v>
      </c>
      <c r="L74" s="616">
        <f>A!K1095</f>
        <v>19901.871442357831</v>
      </c>
      <c r="M74" s="617" t="str">
        <f>A!L1095</f>
        <v>07/20</v>
      </c>
      <c r="N74" s="614" t="str">
        <f>A!M1095</f>
        <v>15:00</v>
      </c>
      <c r="O74" s="616">
        <f>A!N1095</f>
        <v>18785</v>
      </c>
      <c r="P74" s="617">
        <f>A!O1095</f>
        <v>156</v>
      </c>
      <c r="Q74" s="614">
        <f>A!P1095</f>
        <v>15</v>
      </c>
      <c r="R74" s="616">
        <f>A!Q1095</f>
        <v>19920</v>
      </c>
      <c r="S74" s="617">
        <f>A!R1095</f>
        <v>37849</v>
      </c>
      <c r="T74" s="614">
        <f>A!S1095</f>
        <v>15</v>
      </c>
      <c r="U74" s="150">
        <f t="shared" si="6"/>
        <v>18785</v>
      </c>
      <c r="V74" s="26">
        <f t="shared" si="7"/>
        <v>20137</v>
      </c>
      <c r="W74" s="27">
        <f t="shared" si="8"/>
        <v>6.85322259122952E-2</v>
      </c>
      <c r="Y74" s="676">
        <f>A!T1125</f>
        <v>0</v>
      </c>
      <c r="Z74" s="681">
        <f>A!U1125</f>
        <v>0</v>
      </c>
      <c r="AA74" s="673">
        <f>A!V1125</f>
        <v>0</v>
      </c>
    </row>
    <row r="75" spans="2:27" ht="12" customHeight="1">
      <c r="B75" s="618" t="s">
        <v>130</v>
      </c>
      <c r="C75" s="614">
        <f>A!B1096</f>
        <v>19702.7</v>
      </c>
      <c r="D75" s="614" t="str">
        <f>A!C1096</f>
        <v>26-Jul</v>
      </c>
      <c r="E75" s="614">
        <f>A!D1096</f>
        <v>16</v>
      </c>
      <c r="F75" s="616">
        <f>A!E1096</f>
        <v>19850</v>
      </c>
      <c r="G75" s="617">
        <f>A!F1096</f>
        <v>37370</v>
      </c>
      <c r="H75" s="614">
        <f>A!G1096</f>
        <v>16</v>
      </c>
      <c r="I75" s="616">
        <f>A!H1096</f>
        <v>19850</v>
      </c>
      <c r="J75" s="617">
        <f>A!I1096</f>
        <v>37370</v>
      </c>
      <c r="K75" s="614">
        <f>A!J1096</f>
        <v>16</v>
      </c>
      <c r="L75" s="616">
        <f>A!K1096</f>
        <v>19599.053827255666</v>
      </c>
      <c r="M75" s="617" t="str">
        <f>A!L1096</f>
        <v>07/20</v>
      </c>
      <c r="N75" s="614" t="str">
        <f>A!M1096</f>
        <v>15:00</v>
      </c>
      <c r="O75" s="616">
        <f>A!N1096</f>
        <v>18759</v>
      </c>
      <c r="P75" s="617">
        <f>A!O1096</f>
        <v>156</v>
      </c>
      <c r="Q75" s="614">
        <f>A!P1096</f>
        <v>15</v>
      </c>
      <c r="R75" s="616">
        <f>A!Q1096</f>
        <v>19661</v>
      </c>
      <c r="S75" s="617">
        <f>A!R1096</f>
        <v>37776</v>
      </c>
      <c r="T75" s="614">
        <f>A!S1096</f>
        <v>15</v>
      </c>
      <c r="U75" s="150">
        <f t="shared" si="6"/>
        <v>18759</v>
      </c>
      <c r="V75" s="26">
        <f t="shared" si="7"/>
        <v>19850</v>
      </c>
      <c r="W75" s="27">
        <f t="shared" si="8"/>
        <v>5.5747762119360868E-2</v>
      </c>
      <c r="Y75" s="676">
        <f>A!T1126</f>
        <v>0</v>
      </c>
      <c r="Z75" s="681">
        <f>A!U1126</f>
        <v>0</v>
      </c>
      <c r="AA75" s="673">
        <f>A!V1126</f>
        <v>0</v>
      </c>
    </row>
    <row r="76" spans="2:27" ht="12" customHeight="1">
      <c r="B76" s="618" t="s">
        <v>132</v>
      </c>
      <c r="C76" s="614">
        <f>A!B1097</f>
        <v>19834.099999999999</v>
      </c>
      <c r="D76" s="614" t="str">
        <f>A!C1097</f>
        <v>29-Mai</v>
      </c>
      <c r="E76" s="614">
        <f>A!D1097</f>
        <v>15</v>
      </c>
      <c r="F76" s="616">
        <f>A!E1097</f>
        <v>19576</v>
      </c>
      <c r="G76" s="617">
        <f>A!F1097</f>
        <v>37370</v>
      </c>
      <c r="H76" s="614">
        <f>A!G1097</f>
        <v>16</v>
      </c>
      <c r="I76" s="616">
        <f>A!H1097</f>
        <v>19575</v>
      </c>
      <c r="J76" s="617">
        <f>A!I1097</f>
        <v>37370</v>
      </c>
      <c r="K76" s="614">
        <f>A!J1097</f>
        <v>16</v>
      </c>
      <c r="L76" s="616">
        <f>A!K1097</f>
        <v>19656.140169213584</v>
      </c>
      <c r="M76" s="617" t="str">
        <f>A!L1097</f>
        <v>07/20</v>
      </c>
      <c r="N76" s="614" t="str">
        <f>A!M1097</f>
        <v>15:00</v>
      </c>
      <c r="O76" s="616">
        <f>A!N1097</f>
        <v>18776</v>
      </c>
      <c r="P76" s="617">
        <f>A!O1097</f>
        <v>156</v>
      </c>
      <c r="Q76" s="614">
        <f>A!P1097</f>
        <v>15</v>
      </c>
      <c r="R76" s="616">
        <f>A!Q1097</f>
        <v>19626</v>
      </c>
      <c r="S76" s="617">
        <f>A!R1097</f>
        <v>37810</v>
      </c>
      <c r="T76" s="614">
        <f>A!S1097</f>
        <v>15</v>
      </c>
      <c r="U76" s="150">
        <f t="shared" si="6"/>
        <v>18776</v>
      </c>
      <c r="V76" s="26">
        <f t="shared" si="7"/>
        <v>19834.099999999999</v>
      </c>
      <c r="W76" s="27">
        <f t="shared" si="8"/>
        <v>5.4241492211097316E-2</v>
      </c>
      <c r="Y76" s="676">
        <f>A!T1127</f>
        <v>0</v>
      </c>
      <c r="Z76" s="681">
        <f>A!U1127</f>
        <v>0</v>
      </c>
      <c r="AA76" s="673">
        <f>A!V1127</f>
        <v>0</v>
      </c>
    </row>
    <row r="77" spans="2:27" ht="12" customHeight="1">
      <c r="B77" s="618" t="s">
        <v>135</v>
      </c>
      <c r="C77" s="614">
        <f>A!B1098</f>
        <v>19575</v>
      </c>
      <c r="D77" s="614" t="str">
        <f>A!C1098</f>
        <v>30-Aug</v>
      </c>
      <c r="E77" s="614">
        <f>A!D1098</f>
        <v>16</v>
      </c>
      <c r="F77" s="616">
        <f>A!E1098</f>
        <v>19766</v>
      </c>
      <c r="G77" s="617">
        <f>A!F1098</f>
        <v>37370</v>
      </c>
      <c r="H77" s="614">
        <f>A!G1098</f>
        <v>16</v>
      </c>
      <c r="I77" s="616">
        <f>A!H1098</f>
        <v>19766</v>
      </c>
      <c r="J77" s="617">
        <f>A!I1098</f>
        <v>37370</v>
      </c>
      <c r="K77" s="614">
        <f>A!J1098</f>
        <v>16</v>
      </c>
      <c r="L77" s="616">
        <f>A!K1098</f>
        <v>19812.465045646444</v>
      </c>
      <c r="M77" s="617" t="str">
        <f>A!L1098</f>
        <v>07/20</v>
      </c>
      <c r="N77" s="614" t="str">
        <f>A!M1098</f>
        <v>15:00</v>
      </c>
      <c r="O77" s="616">
        <f>A!N1098</f>
        <v>18794</v>
      </c>
      <c r="P77" s="617">
        <f>A!O1098</f>
        <v>156</v>
      </c>
      <c r="Q77" s="614">
        <f>A!P1098</f>
        <v>15</v>
      </c>
      <c r="R77" s="616">
        <f>A!Q1098</f>
        <v>19799</v>
      </c>
      <c r="S77" s="617">
        <f>A!R1098</f>
        <v>37849</v>
      </c>
      <c r="T77" s="614">
        <f>A!S1098</f>
        <v>15</v>
      </c>
      <c r="U77" s="150">
        <f t="shared" si="6"/>
        <v>18794</v>
      </c>
      <c r="V77" s="26">
        <f t="shared" si="7"/>
        <v>19812.465045646444</v>
      </c>
      <c r="W77" s="27">
        <f t="shared" si="8"/>
        <v>5.2001209161130227E-2</v>
      </c>
      <c r="Y77" s="676">
        <f>A!T1128</f>
        <v>0</v>
      </c>
      <c r="Z77" s="681">
        <f>A!U1128</f>
        <v>0</v>
      </c>
      <c r="AA77" s="673">
        <f>A!V1128</f>
        <v>0</v>
      </c>
    </row>
    <row r="78" spans="2:27" ht="12" customHeight="1" thickBot="1">
      <c r="B78" s="620" t="s">
        <v>138</v>
      </c>
      <c r="C78" s="716">
        <f>A!B1099</f>
        <v>20075.2</v>
      </c>
      <c r="D78" s="716" t="str">
        <f>A!C1099</f>
        <v>17-Jun</v>
      </c>
      <c r="E78" s="716">
        <f>A!D1099</f>
        <v>16</v>
      </c>
      <c r="F78" s="621">
        <f>A!E1099</f>
        <v>19475</v>
      </c>
      <c r="G78" s="717">
        <f>A!F1099</f>
        <v>37370</v>
      </c>
      <c r="H78" s="716">
        <f>A!G1099</f>
        <v>16</v>
      </c>
      <c r="I78" s="621">
        <f>A!H1099</f>
        <v>19474</v>
      </c>
      <c r="J78" s="717">
        <f>A!I1099</f>
        <v>37370</v>
      </c>
      <c r="K78" s="716">
        <f>A!J1099</f>
        <v>16</v>
      </c>
      <c r="L78" s="621">
        <f>A!K1099</f>
        <v>19538.760936243307</v>
      </c>
      <c r="M78" s="717" t="str">
        <f>A!L1099</f>
        <v>07/20</v>
      </c>
      <c r="N78" s="716" t="str">
        <f>A!M1099</f>
        <v>15:00</v>
      </c>
      <c r="O78" s="621">
        <f>A!N1099</f>
        <v>18759</v>
      </c>
      <c r="P78" s="717">
        <f>A!O1099</f>
        <v>156</v>
      </c>
      <c r="Q78" s="716">
        <f>A!P1099</f>
        <v>15</v>
      </c>
      <c r="R78" s="621">
        <f>A!Q1099</f>
        <v>19497</v>
      </c>
      <c r="S78" s="717">
        <f>A!R1099</f>
        <v>37776</v>
      </c>
      <c r="T78" s="716">
        <f>A!S1099</f>
        <v>15</v>
      </c>
      <c r="U78" s="150">
        <f t="shared" si="6"/>
        <v>18759</v>
      </c>
      <c r="V78" s="26">
        <f t="shared" si="7"/>
        <v>20075.2</v>
      </c>
      <c r="W78" s="27">
        <f t="shared" si="8"/>
        <v>6.7602039401035999E-2</v>
      </c>
      <c r="Y78" s="676">
        <f>A!T1129</f>
        <v>0</v>
      </c>
      <c r="Z78" s="681">
        <f>A!U1129</f>
        <v>0</v>
      </c>
      <c r="AA78" s="673">
        <f>A!V1129</f>
        <v>0</v>
      </c>
    </row>
    <row r="79" spans="2:27" ht="12" customHeight="1" thickTop="1">
      <c r="B79" s="622" t="s">
        <v>242</v>
      </c>
      <c r="C79" s="623"/>
      <c r="D79" s="635"/>
      <c r="E79" s="623"/>
      <c r="F79" s="623"/>
      <c r="G79" s="624"/>
      <c r="H79" s="623"/>
      <c r="I79" s="623"/>
      <c r="J79" s="624"/>
      <c r="K79" s="623"/>
      <c r="L79" s="623"/>
      <c r="M79" s="624"/>
      <c r="N79" s="623"/>
      <c r="O79" s="623"/>
      <c r="P79" s="624"/>
      <c r="Q79" s="623"/>
      <c r="R79" s="20"/>
      <c r="S79" s="20"/>
      <c r="T79" s="20"/>
      <c r="U79" s="147" t="s">
        <v>24</v>
      </c>
      <c r="V79" s="20"/>
      <c r="W79" s="21"/>
      <c r="Y79" s="676"/>
      <c r="Z79" s="681"/>
      <c r="AA79" s="673"/>
    </row>
    <row r="80" spans="2:27" ht="12" customHeight="1">
      <c r="B80" s="625"/>
      <c r="C80" s="626" t="s">
        <v>245</v>
      </c>
      <c r="D80" s="626"/>
      <c r="E80" s="626"/>
      <c r="F80" s="377" t="s">
        <v>536</v>
      </c>
      <c r="G80" s="627"/>
      <c r="H80" s="626"/>
      <c r="I80" s="372" t="s">
        <v>258</v>
      </c>
      <c r="J80" s="628"/>
      <c r="K80" s="509"/>
      <c r="L80" s="372" t="s">
        <v>433</v>
      </c>
      <c r="M80" s="628"/>
      <c r="N80" s="509"/>
      <c r="O80" s="724" t="s">
        <v>469</v>
      </c>
      <c r="P80" s="592"/>
      <c r="Q80" s="725"/>
      <c r="R80" s="437" t="s">
        <v>482</v>
      </c>
      <c r="U80" s="148"/>
      <c r="V80" s="18"/>
      <c r="W80" s="23" t="s">
        <v>25</v>
      </c>
      <c r="Y80" s="676"/>
      <c r="Z80" s="681"/>
      <c r="AA80" s="673"/>
    </row>
    <row r="81" spans="2:27" ht="12" customHeight="1">
      <c r="B81" s="629"/>
      <c r="C81" s="630" t="s">
        <v>26</v>
      </c>
      <c r="D81" s="630" t="s">
        <v>77</v>
      </c>
      <c r="E81" s="630" t="s">
        <v>78</v>
      </c>
      <c r="F81" s="631" t="s">
        <v>13</v>
      </c>
      <c r="G81" s="632" t="s">
        <v>77</v>
      </c>
      <c r="H81" s="630" t="s">
        <v>78</v>
      </c>
      <c r="I81" s="631" t="s">
        <v>13</v>
      </c>
      <c r="J81" s="632" t="s">
        <v>77</v>
      </c>
      <c r="K81" s="633" t="s">
        <v>78</v>
      </c>
      <c r="L81" s="634" t="s">
        <v>434</v>
      </c>
      <c r="M81" s="632" t="s">
        <v>77</v>
      </c>
      <c r="N81" s="633" t="s">
        <v>78</v>
      </c>
      <c r="O81" s="727" t="s">
        <v>452</v>
      </c>
      <c r="P81" s="630" t="s">
        <v>77</v>
      </c>
      <c r="Q81" s="728" t="s">
        <v>78</v>
      </c>
      <c r="R81" s="353" t="s">
        <v>483</v>
      </c>
      <c r="S81" s="24" t="s">
        <v>77</v>
      </c>
      <c r="T81" s="177" t="s">
        <v>78</v>
      </c>
      <c r="U81" s="149" t="s">
        <v>27</v>
      </c>
      <c r="V81" s="24" t="s">
        <v>28</v>
      </c>
      <c r="W81" s="25" t="s">
        <v>259</v>
      </c>
      <c r="Y81" s="680" t="s">
        <v>522</v>
      </c>
      <c r="Z81" s="181" t="s">
        <v>77</v>
      </c>
      <c r="AA81" s="177" t="s">
        <v>78</v>
      </c>
    </row>
    <row r="82" spans="2:27" ht="12" customHeight="1">
      <c r="B82" s="613" t="s">
        <v>91</v>
      </c>
      <c r="C82" s="614">
        <f>A!B1110</f>
        <v>9635.7000000000007</v>
      </c>
      <c r="D82" s="614" t="str">
        <f>A!C1110</f>
        <v>03-Sep</v>
      </c>
      <c r="E82" s="614">
        <f>A!D1110</f>
        <v>16</v>
      </c>
      <c r="F82" s="616">
        <f>A!E1110</f>
        <v>9304</v>
      </c>
      <c r="G82" s="617">
        <f>A!F1110</f>
        <v>37137</v>
      </c>
      <c r="H82" s="614">
        <f>A!G1110</f>
        <v>15</v>
      </c>
      <c r="I82" s="616">
        <f>A!H1110</f>
        <v>9394</v>
      </c>
      <c r="J82" s="617">
        <f>A!I1110</f>
        <v>37137</v>
      </c>
      <c r="K82" s="614">
        <f>A!J1110</f>
        <v>15</v>
      </c>
      <c r="L82" s="616">
        <f>A!K1110</f>
        <v>10595.085021236</v>
      </c>
      <c r="M82" s="617" t="str">
        <f>A!L1110</f>
        <v>07/10</v>
      </c>
      <c r="N82" s="614" t="str">
        <f>A!M1110</f>
        <v>13:00</v>
      </c>
      <c r="O82" s="616">
        <f>A!N1110</f>
        <v>10375</v>
      </c>
      <c r="P82" s="617">
        <f>A!O1110</f>
        <v>247</v>
      </c>
      <c r="Q82" s="614">
        <f>A!P1110</f>
        <v>15</v>
      </c>
      <c r="R82" s="616">
        <f>A!Q1110</f>
        <v>10392</v>
      </c>
      <c r="S82" s="617">
        <f>A!R1110</f>
        <v>37867</v>
      </c>
      <c r="T82" s="614">
        <f>A!S1110</f>
        <v>15</v>
      </c>
      <c r="U82" s="150">
        <f t="shared" ref="U82:U101" si="9">MINA(C82,F82,I82,L82,O82,R82)</f>
        <v>9304</v>
      </c>
      <c r="V82" s="26">
        <f t="shared" ref="V82:V101" si="10">MAXA(C82,F82,I82,L82,O82,R82)</f>
        <v>10595.085021236</v>
      </c>
      <c r="W82" s="27">
        <f t="shared" ref="W82:W101" si="11">(V82-U82)/AVERAGE(C82,F82,I82,L82,O82,R82)</f>
        <v>0.12976645042292817</v>
      </c>
      <c r="Y82" s="676">
        <f>A!T1140</f>
        <v>0</v>
      </c>
      <c r="Z82" s="681">
        <f>A!U1140</f>
        <v>0</v>
      </c>
      <c r="AA82" s="673">
        <f>A!V1140</f>
        <v>0</v>
      </c>
    </row>
    <row r="83" spans="2:27" ht="12" customHeight="1">
      <c r="B83" s="618" t="s">
        <v>96</v>
      </c>
      <c r="C83" s="614">
        <f>A!B1111</f>
        <v>15907</v>
      </c>
      <c r="D83" s="614" t="str">
        <f>A!C1111</f>
        <v>03-Sep</v>
      </c>
      <c r="E83" s="614">
        <f>A!D1111</f>
        <v>15</v>
      </c>
      <c r="F83" s="616">
        <f>A!E1111</f>
        <v>15139</v>
      </c>
      <c r="G83" s="617">
        <f>A!F1111</f>
        <v>37137</v>
      </c>
      <c r="H83" s="614">
        <f>A!G1111</f>
        <v>15</v>
      </c>
      <c r="I83" s="616">
        <f>A!H1111</f>
        <v>15270</v>
      </c>
      <c r="J83" s="617">
        <f>A!I1111</f>
        <v>37137</v>
      </c>
      <c r="K83" s="614">
        <f>A!J1111</f>
        <v>15</v>
      </c>
      <c r="L83" s="616">
        <f>A!K1111</f>
        <v>16644.30725183864</v>
      </c>
      <c r="M83" s="617" t="str">
        <f>A!L1111</f>
        <v>08/04</v>
      </c>
      <c r="N83" s="614" t="str">
        <f>A!M1111</f>
        <v>15:00</v>
      </c>
      <c r="O83" s="616">
        <f>A!N1111</f>
        <v>16112</v>
      </c>
      <c r="P83" s="617">
        <f>A!O1111</f>
        <v>217</v>
      </c>
      <c r="Q83" s="614">
        <f>A!P1111</f>
        <v>15</v>
      </c>
      <c r="R83" s="616">
        <f>A!Q1111</f>
        <v>16077</v>
      </c>
      <c r="S83" s="617">
        <f>A!R1111</f>
        <v>37867</v>
      </c>
      <c r="T83" s="614">
        <f>A!S1111</f>
        <v>16</v>
      </c>
      <c r="U83" s="150">
        <f t="shared" si="9"/>
        <v>15139</v>
      </c>
      <c r="V83" s="26">
        <f t="shared" si="10"/>
        <v>16644.30725183864</v>
      </c>
      <c r="W83" s="27">
        <f t="shared" si="11"/>
        <v>9.4922850958090485E-2</v>
      </c>
      <c r="Y83" s="676">
        <f>A!T1141</f>
        <v>0</v>
      </c>
      <c r="Z83" s="681">
        <f>A!U1141</f>
        <v>0</v>
      </c>
      <c r="AA83" s="673">
        <f>A!V1141</f>
        <v>0</v>
      </c>
    </row>
    <row r="84" spans="2:27" ht="12" customHeight="1">
      <c r="B84" s="618" t="s">
        <v>98</v>
      </c>
      <c r="C84" s="614">
        <f>A!B1112</f>
        <v>23147.3</v>
      </c>
      <c r="D84" s="614" t="str">
        <f>A!C1112</f>
        <v>02-Oct</v>
      </c>
      <c r="E84" s="614">
        <f>A!D1112</f>
        <v>10</v>
      </c>
      <c r="F84" s="616">
        <f>A!E1112</f>
        <v>31497</v>
      </c>
      <c r="G84" s="617">
        <f>A!F1112</f>
        <v>37531</v>
      </c>
      <c r="H84" s="614">
        <f>A!G1112</f>
        <v>9</v>
      </c>
      <c r="I84" s="616">
        <f>A!H1112</f>
        <v>31503</v>
      </c>
      <c r="J84" s="617">
        <f>A!I1112</f>
        <v>37531</v>
      </c>
      <c r="K84" s="614">
        <f>A!J1112</f>
        <v>9</v>
      </c>
      <c r="L84" s="616">
        <f>A!K1112</f>
        <v>22756.174991940276</v>
      </c>
      <c r="M84" s="617" t="str">
        <f>A!L1112</f>
        <v>10/02</v>
      </c>
      <c r="N84" s="614" t="str">
        <f>A!M1112</f>
        <v>10:00</v>
      </c>
      <c r="O84" s="616">
        <f>A!N1112</f>
        <v>21697</v>
      </c>
      <c r="P84" s="617">
        <f>A!O1112</f>
        <v>261</v>
      </c>
      <c r="Q84" s="614">
        <f>A!P1112</f>
        <v>12</v>
      </c>
      <c r="R84" s="616">
        <f>A!Q1112</f>
        <v>21929</v>
      </c>
      <c r="S84" s="617">
        <f>A!R1112</f>
        <v>37895</v>
      </c>
      <c r="T84" s="614">
        <f>A!S1112</f>
        <v>20</v>
      </c>
      <c r="U84" s="150">
        <f t="shared" si="9"/>
        <v>21697</v>
      </c>
      <c r="V84" s="26">
        <f t="shared" si="10"/>
        <v>31503</v>
      </c>
      <c r="W84" s="27">
        <f t="shared" si="11"/>
        <v>0.38573528167660004</v>
      </c>
      <c r="Y84" s="676">
        <f>A!T1142</f>
        <v>0</v>
      </c>
      <c r="Z84" s="681">
        <f>A!U1142</f>
        <v>0</v>
      </c>
      <c r="AA84" s="673">
        <f>A!V1142</f>
        <v>0</v>
      </c>
    </row>
    <row r="85" spans="2:27" ht="12" customHeight="1">
      <c r="B85" s="618" t="s">
        <v>102</v>
      </c>
      <c r="C85" s="614">
        <f>A!B1113</f>
        <v>27825.200000000001</v>
      </c>
      <c r="D85" s="614" t="str">
        <f>A!C1113</f>
        <v>18-Sep</v>
      </c>
      <c r="E85" s="614">
        <f>A!D1113</f>
        <v>16</v>
      </c>
      <c r="F85" s="616">
        <f>A!E1113</f>
        <v>26941</v>
      </c>
      <c r="G85" s="617">
        <f>A!F1113</f>
        <v>37882</v>
      </c>
      <c r="H85" s="614">
        <f>A!G1113</f>
        <v>15</v>
      </c>
      <c r="I85" s="616">
        <f>A!H1113</f>
        <v>40809</v>
      </c>
      <c r="J85" s="617">
        <f>A!I1113</f>
        <v>37531</v>
      </c>
      <c r="K85" s="614">
        <f>A!J1113</f>
        <v>9</v>
      </c>
      <c r="L85" s="616">
        <f>A!K1113</f>
        <v>27596.700484402721</v>
      </c>
      <c r="M85" s="617" t="str">
        <f>A!L1113</f>
        <v>09/18</v>
      </c>
      <c r="N85" s="614" t="str">
        <f>A!M1113</f>
        <v>16:00</v>
      </c>
      <c r="O85" s="616">
        <f>A!N1113</f>
        <v>28184</v>
      </c>
      <c r="P85" s="617">
        <f>A!O1113</f>
        <v>262</v>
      </c>
      <c r="Q85" s="614">
        <f>A!P1113</f>
        <v>15</v>
      </c>
      <c r="R85" s="616">
        <f>A!Q1113</f>
        <v>27488</v>
      </c>
      <c r="S85" s="617">
        <f>A!R1113</f>
        <v>37882</v>
      </c>
      <c r="T85" s="614">
        <f>A!S1113</f>
        <v>15</v>
      </c>
      <c r="U85" s="150">
        <f t="shared" si="9"/>
        <v>26941</v>
      </c>
      <c r="V85" s="26">
        <f t="shared" si="10"/>
        <v>40809</v>
      </c>
      <c r="W85" s="27">
        <f t="shared" si="11"/>
        <v>0.46525489421014227</v>
      </c>
      <c r="Y85" s="676">
        <f>A!T1143</f>
        <v>0</v>
      </c>
      <c r="Z85" s="681">
        <f>A!U1143</f>
        <v>0</v>
      </c>
      <c r="AA85" s="673">
        <f>A!V1143</f>
        <v>0</v>
      </c>
    </row>
    <row r="86" spans="2:27" ht="12" customHeight="1">
      <c r="B86" s="619" t="s">
        <v>356</v>
      </c>
      <c r="C86" s="614">
        <f>A!B1114</f>
        <v>24848.3</v>
      </c>
      <c r="D86" s="614" t="str">
        <f>A!C1114</f>
        <v>02-Oct</v>
      </c>
      <c r="E86" s="614">
        <f>A!D1114</f>
        <v>9</v>
      </c>
      <c r="F86" s="616">
        <f>A!E1114</f>
        <v>30451</v>
      </c>
      <c r="G86" s="617">
        <f>A!F1114</f>
        <v>37531</v>
      </c>
      <c r="H86" s="614">
        <f>A!G1114</f>
        <v>9</v>
      </c>
      <c r="I86" s="616">
        <f>A!H1114</f>
        <v>36011</v>
      </c>
      <c r="J86" s="617">
        <f>A!I1114</f>
        <v>37531</v>
      </c>
      <c r="K86" s="614">
        <f>A!J1114</f>
        <v>9</v>
      </c>
      <c r="L86" s="616">
        <f>A!K1114</f>
        <v>24435.765246347612</v>
      </c>
      <c r="M86" s="617" t="str">
        <f>A!L1114</f>
        <v>10/02</v>
      </c>
      <c r="N86" s="614" t="str">
        <f>A!M1114</f>
        <v>10:00</v>
      </c>
      <c r="O86" s="616">
        <f>A!N1114</f>
        <v>24225</v>
      </c>
      <c r="P86" s="617">
        <f>A!O1114</f>
        <v>247</v>
      </c>
      <c r="Q86" s="614">
        <f>A!P1114</f>
        <v>17</v>
      </c>
      <c r="R86" s="616">
        <f>A!Q1114</f>
        <v>23794</v>
      </c>
      <c r="S86" s="617">
        <f>A!R1114</f>
        <v>37895</v>
      </c>
      <c r="T86" s="614">
        <f>A!S1114</f>
        <v>20</v>
      </c>
      <c r="U86" s="150">
        <f t="shared" si="9"/>
        <v>23794</v>
      </c>
      <c r="V86" s="26">
        <f t="shared" si="10"/>
        <v>36011</v>
      </c>
      <c r="W86" s="27">
        <f t="shared" si="11"/>
        <v>0.44760462122818234</v>
      </c>
      <c r="Y86" s="676">
        <f>A!T1144</f>
        <v>0</v>
      </c>
      <c r="Z86" s="681">
        <f>A!U1144</f>
        <v>0</v>
      </c>
      <c r="AA86" s="673">
        <f>A!V1144</f>
        <v>0</v>
      </c>
    </row>
    <row r="87" spans="2:27" ht="12" customHeight="1">
      <c r="B87" s="618" t="s">
        <v>105</v>
      </c>
      <c r="C87" s="614">
        <f>A!B1115</f>
        <v>9751.26</v>
      </c>
      <c r="D87" s="614" t="str">
        <f>A!C1115</f>
        <v>01-Oct</v>
      </c>
      <c r="E87" s="614">
        <f>A!D1115</f>
        <v>13</v>
      </c>
      <c r="F87" s="616">
        <f>A!E1115</f>
        <v>9303</v>
      </c>
      <c r="G87" s="617">
        <f>A!F1115</f>
        <v>37137</v>
      </c>
      <c r="H87" s="614">
        <f>A!G1115</f>
        <v>15</v>
      </c>
      <c r="I87" s="616">
        <f>A!H1115</f>
        <v>9393</v>
      </c>
      <c r="J87" s="617">
        <f>A!I1115</f>
        <v>37137</v>
      </c>
      <c r="K87" s="614">
        <f>A!J1115</f>
        <v>15</v>
      </c>
      <c r="L87" s="616">
        <f>A!K1115</f>
        <v>10595.642610246778</v>
      </c>
      <c r="M87" s="617" t="str">
        <f>A!L1115</f>
        <v>07/10</v>
      </c>
      <c r="N87" s="614" t="str">
        <f>A!M1115</f>
        <v>13:00</v>
      </c>
      <c r="O87" s="616">
        <f>A!N1115</f>
        <v>10755</v>
      </c>
      <c r="P87" s="617">
        <f>A!O1115</f>
        <v>276</v>
      </c>
      <c r="Q87" s="614">
        <f>A!P1115</f>
        <v>8</v>
      </c>
      <c r="R87" s="616">
        <f>A!Q1115</f>
        <v>11603</v>
      </c>
      <c r="S87" s="617">
        <f>A!R1115</f>
        <v>37836</v>
      </c>
      <c r="T87" s="614">
        <f>A!S1115</f>
        <v>7</v>
      </c>
      <c r="U87" s="150">
        <f t="shared" si="9"/>
        <v>9303</v>
      </c>
      <c r="V87" s="26">
        <f t="shared" si="10"/>
        <v>11603</v>
      </c>
      <c r="W87" s="27">
        <f t="shared" si="11"/>
        <v>0.2247523963547893</v>
      </c>
      <c r="Y87" s="676">
        <f>A!T1145</f>
        <v>0</v>
      </c>
      <c r="Z87" s="681">
        <f>A!U1145</f>
        <v>0</v>
      </c>
      <c r="AA87" s="673">
        <f>A!V1145</f>
        <v>0</v>
      </c>
    </row>
    <row r="88" spans="2:27" ht="12" customHeight="1">
      <c r="B88" s="618" t="s">
        <v>108</v>
      </c>
      <c r="C88" s="614">
        <f>A!B1116</f>
        <v>9275.16</v>
      </c>
      <c r="D88" s="614" t="str">
        <f>A!C1116</f>
        <v>02-Oct</v>
      </c>
      <c r="E88" s="614">
        <f>A!D1116</f>
        <v>10</v>
      </c>
      <c r="F88" s="616">
        <f>A!E1116</f>
        <v>10026</v>
      </c>
      <c r="G88" s="617">
        <f>A!F1116</f>
        <v>37531</v>
      </c>
      <c r="H88" s="614">
        <f>A!G1116</f>
        <v>9</v>
      </c>
      <c r="I88" s="616">
        <f>A!H1116</f>
        <v>10336</v>
      </c>
      <c r="J88" s="617">
        <f>A!I1116</f>
        <v>37531</v>
      </c>
      <c r="K88" s="614">
        <f>A!J1116</f>
        <v>9</v>
      </c>
      <c r="L88" s="616">
        <f>A!K1116</f>
        <v>8907.2199211284442</v>
      </c>
      <c r="M88" s="617" t="str">
        <f>A!L1116</f>
        <v>10/02</v>
      </c>
      <c r="N88" s="614" t="str">
        <f>A!M1116</f>
        <v>10:00</v>
      </c>
      <c r="O88" s="616">
        <f>A!N1116</f>
        <v>8859</v>
      </c>
      <c r="P88" s="617">
        <f>A!O1116</f>
        <v>247</v>
      </c>
      <c r="Q88" s="614">
        <f>A!P1116</f>
        <v>17</v>
      </c>
      <c r="R88" s="616">
        <f>A!Q1116</f>
        <v>8934</v>
      </c>
      <c r="S88" s="617">
        <f>A!R1116</f>
        <v>37867</v>
      </c>
      <c r="T88" s="614">
        <f>A!S1116</f>
        <v>17</v>
      </c>
      <c r="U88" s="150">
        <f t="shared" si="9"/>
        <v>8859</v>
      </c>
      <c r="V88" s="26">
        <f t="shared" si="10"/>
        <v>10336</v>
      </c>
      <c r="W88" s="27">
        <f t="shared" si="11"/>
        <v>0.15730230998329489</v>
      </c>
      <c r="Y88" s="676">
        <f>A!T1146</f>
        <v>0</v>
      </c>
      <c r="Z88" s="681">
        <f>A!U1146</f>
        <v>0</v>
      </c>
      <c r="AA88" s="673">
        <f>A!V1146</f>
        <v>0</v>
      </c>
    </row>
    <row r="89" spans="2:27" ht="12" customHeight="1">
      <c r="B89" s="618" t="s">
        <v>109</v>
      </c>
      <c r="C89" s="614">
        <f>A!B1117</f>
        <v>27075.3</v>
      </c>
      <c r="D89" s="614" t="str">
        <f>A!C1117</f>
        <v>16-Sep</v>
      </c>
      <c r="E89" s="614">
        <f>A!D1117</f>
        <v>15</v>
      </c>
      <c r="F89" s="616">
        <f>A!E1117</f>
        <v>25578</v>
      </c>
      <c r="G89" s="617">
        <f>A!F1117</f>
        <v>37517</v>
      </c>
      <c r="H89" s="614">
        <f>A!G1117</f>
        <v>14</v>
      </c>
      <c r="I89" s="616">
        <f>A!H1117</f>
        <v>32396</v>
      </c>
      <c r="J89" s="617">
        <f>A!I1117</f>
        <v>37882</v>
      </c>
      <c r="K89" s="614">
        <f>A!J1117</f>
        <v>15</v>
      </c>
      <c r="L89" s="616">
        <f>A!K1117</f>
        <v>26767.676668863169</v>
      </c>
      <c r="M89" s="617" t="str">
        <f>A!L1117</f>
        <v>09/16</v>
      </c>
      <c r="N89" s="614" t="str">
        <f>A!M1117</f>
        <v>15:00</v>
      </c>
      <c r="O89" s="616"/>
      <c r="P89" s="617"/>
      <c r="Q89" s="614"/>
      <c r="R89" s="616">
        <f>A!Q1117</f>
        <v>26645</v>
      </c>
      <c r="S89" s="617">
        <f>A!R1117</f>
        <v>37880</v>
      </c>
      <c r="T89" s="614">
        <f>A!S1117</f>
        <v>14</v>
      </c>
      <c r="U89" s="150">
        <f t="shared" si="9"/>
        <v>25578</v>
      </c>
      <c r="V89" s="26">
        <f t="shared" si="10"/>
        <v>32396</v>
      </c>
      <c r="W89" s="27">
        <f t="shared" si="11"/>
        <v>0.24620477635912616</v>
      </c>
      <c r="Y89" s="676">
        <f>A!T1147</f>
        <v>0</v>
      </c>
      <c r="Z89" s="681">
        <f>A!U1147</f>
        <v>0</v>
      </c>
      <c r="AA89" s="673">
        <f>A!V1147</f>
        <v>0</v>
      </c>
    </row>
    <row r="90" spans="2:27" ht="12" customHeight="1">
      <c r="B90" s="618" t="s">
        <v>111</v>
      </c>
      <c r="C90" s="614">
        <f>A!B1118</f>
        <v>11138.9</v>
      </c>
      <c r="D90" s="614" t="str">
        <f>A!C1118</f>
        <v>16-Sep</v>
      </c>
      <c r="E90" s="614">
        <f>A!D1118</f>
        <v>15</v>
      </c>
      <c r="F90" s="616">
        <f>A!E1118</f>
        <v>9304</v>
      </c>
      <c r="G90" s="617">
        <f>A!F1118</f>
        <v>37137</v>
      </c>
      <c r="H90" s="614">
        <f>A!G1118</f>
        <v>15</v>
      </c>
      <c r="I90" s="616">
        <f>A!H1118</f>
        <v>9391</v>
      </c>
      <c r="J90" s="617">
        <f>A!I1118</f>
        <v>37867</v>
      </c>
      <c r="K90" s="614">
        <f>A!J1118</f>
        <v>15</v>
      </c>
      <c r="L90" s="616"/>
      <c r="M90" s="617"/>
      <c r="N90" s="614"/>
      <c r="O90" s="616"/>
      <c r="P90" s="617"/>
      <c r="Q90" s="614"/>
      <c r="R90" s="616">
        <f>A!Q1118</f>
        <v>10377</v>
      </c>
      <c r="S90" s="617">
        <f>A!R1118</f>
        <v>37873</v>
      </c>
      <c r="T90" s="614">
        <f>A!S1118</f>
        <v>15</v>
      </c>
      <c r="U90" s="150">
        <f t="shared" si="9"/>
        <v>9304</v>
      </c>
      <c r="V90" s="26">
        <f t="shared" si="10"/>
        <v>11138.9</v>
      </c>
      <c r="W90" s="27">
        <f t="shared" si="11"/>
        <v>0.18252762310716741</v>
      </c>
      <c r="Y90" s="676">
        <f>A!T1148</f>
        <v>0</v>
      </c>
      <c r="Z90" s="681">
        <f>A!U1148</f>
        <v>0</v>
      </c>
      <c r="AA90" s="673">
        <f>A!V1148</f>
        <v>0</v>
      </c>
    </row>
    <row r="91" spans="2:27" ht="12" customHeight="1">
      <c r="B91" s="618" t="s">
        <v>112</v>
      </c>
      <c r="C91" s="614">
        <f>A!B1119</f>
        <v>9751.0400000000009</v>
      </c>
      <c r="D91" s="614" t="str">
        <f>A!C1119</f>
        <v>01-Oct</v>
      </c>
      <c r="E91" s="614">
        <f>A!D1119</f>
        <v>13</v>
      </c>
      <c r="F91" s="616">
        <f>A!E1119</f>
        <v>9304</v>
      </c>
      <c r="G91" s="617">
        <f>A!F1119</f>
        <v>37137</v>
      </c>
      <c r="H91" s="614">
        <f>A!G1119</f>
        <v>15</v>
      </c>
      <c r="I91" s="616">
        <f>A!H1119</f>
        <v>9394</v>
      </c>
      <c r="J91" s="617">
        <f>A!I1119</f>
        <v>37867</v>
      </c>
      <c r="K91" s="614">
        <f>A!J1119</f>
        <v>15</v>
      </c>
      <c r="L91" s="616">
        <f>A!K1119</f>
        <v>10595.085021235862</v>
      </c>
      <c r="M91" s="617" t="str">
        <f>A!L1119</f>
        <v>07/10</v>
      </c>
      <c r="N91" s="614" t="str">
        <f>A!M1119</f>
        <v>13:00</v>
      </c>
      <c r="O91" s="616"/>
      <c r="P91" s="617"/>
      <c r="Q91" s="614"/>
      <c r="R91" s="616">
        <f>A!Q1119</f>
        <v>10394</v>
      </c>
      <c r="S91" s="617">
        <f>A!R1119</f>
        <v>37867</v>
      </c>
      <c r="T91" s="614">
        <f>A!S1119</f>
        <v>15</v>
      </c>
      <c r="U91" s="150">
        <f t="shared" si="9"/>
        <v>9304</v>
      </c>
      <c r="V91" s="26">
        <f t="shared" si="10"/>
        <v>10595.085021235862</v>
      </c>
      <c r="W91" s="27">
        <f t="shared" si="11"/>
        <v>0.13057584816184711</v>
      </c>
      <c r="Y91" s="676">
        <f>A!T1149</f>
        <v>0</v>
      </c>
      <c r="Z91" s="681">
        <f>A!U1149</f>
        <v>0</v>
      </c>
      <c r="AA91" s="673">
        <f>A!V1149</f>
        <v>0</v>
      </c>
    </row>
    <row r="92" spans="2:27" ht="12" customHeight="1">
      <c r="B92" s="618" t="s">
        <v>113</v>
      </c>
      <c r="C92" s="614">
        <f>A!B1120</f>
        <v>9635.7000000000007</v>
      </c>
      <c r="D92" s="614" t="str">
        <f>A!C1120</f>
        <v>03-Sep</v>
      </c>
      <c r="E92" s="614">
        <f>A!D1120</f>
        <v>16</v>
      </c>
      <c r="F92" s="616">
        <f>A!E1120</f>
        <v>11105</v>
      </c>
      <c r="G92" s="617">
        <f>A!F1120</f>
        <v>38284</v>
      </c>
      <c r="H92" s="614">
        <f>A!G1120</f>
        <v>14</v>
      </c>
      <c r="I92" s="616">
        <f>A!H1120</f>
        <v>11101</v>
      </c>
      <c r="J92" s="617">
        <f>A!I1120</f>
        <v>37762</v>
      </c>
      <c r="K92" s="614">
        <f>A!J1120</f>
        <v>15</v>
      </c>
      <c r="L92" s="616">
        <f>A!K1120</f>
        <v>11375.324837683278</v>
      </c>
      <c r="M92" s="617" t="str">
        <f>A!L1120</f>
        <v>10/24</v>
      </c>
      <c r="N92" s="614" t="str">
        <f>A!M1120</f>
        <v>13:00</v>
      </c>
      <c r="O92" s="616"/>
      <c r="P92" s="617"/>
      <c r="Q92" s="614"/>
      <c r="R92" s="616">
        <f>A!Q1120</f>
        <v>10394</v>
      </c>
      <c r="S92" s="617">
        <f>A!R1120</f>
        <v>37867</v>
      </c>
      <c r="T92" s="614">
        <f>A!S1120</f>
        <v>15</v>
      </c>
      <c r="U92" s="150">
        <f t="shared" si="9"/>
        <v>9635.7000000000007</v>
      </c>
      <c r="V92" s="26">
        <f t="shared" si="10"/>
        <v>11375.324837683278</v>
      </c>
      <c r="W92" s="27">
        <f t="shared" si="11"/>
        <v>0.16224506460660795</v>
      </c>
      <c r="Y92" s="676">
        <f>A!T1150</f>
        <v>0</v>
      </c>
      <c r="Z92" s="681">
        <f>A!U1150</f>
        <v>0</v>
      </c>
      <c r="AA92" s="673">
        <f>A!V1150</f>
        <v>0</v>
      </c>
    </row>
    <row r="93" spans="2:27" ht="12" customHeight="1">
      <c r="B93" s="173" t="s">
        <v>114</v>
      </c>
      <c r="C93" s="26">
        <f>A!B1121</f>
        <v>9635.7000000000007</v>
      </c>
      <c r="D93" s="26" t="str">
        <f>A!C1121</f>
        <v>03-Sep</v>
      </c>
      <c r="E93" s="26">
        <f>A!D1121</f>
        <v>16</v>
      </c>
      <c r="F93" s="150">
        <f>A!E1121</f>
        <v>9304</v>
      </c>
      <c r="G93" s="176">
        <f>A!F1121</f>
        <v>37137</v>
      </c>
      <c r="H93" s="26">
        <f>A!G1121</f>
        <v>15</v>
      </c>
      <c r="I93" s="150">
        <f>A!H1121</f>
        <v>9391</v>
      </c>
      <c r="J93" s="176">
        <f>A!I1121</f>
        <v>37867</v>
      </c>
      <c r="K93" s="26">
        <f>A!J1121</f>
        <v>15</v>
      </c>
      <c r="L93" s="150">
        <f>A!K1121</f>
        <v>10595.085021235916</v>
      </c>
      <c r="M93" s="176" t="str">
        <f>A!L1121</f>
        <v>07/10</v>
      </c>
      <c r="N93" s="26" t="str">
        <f>A!M1121</f>
        <v>13:00</v>
      </c>
      <c r="O93" s="150"/>
      <c r="P93" s="176"/>
      <c r="Q93" s="26"/>
      <c r="R93" s="616">
        <f>A!Q1121</f>
        <v>10139</v>
      </c>
      <c r="S93" s="617">
        <f>A!R1121</f>
        <v>37867</v>
      </c>
      <c r="T93" s="614">
        <f>A!S1121</f>
        <v>15</v>
      </c>
      <c r="U93" s="150">
        <f t="shared" si="9"/>
        <v>9304</v>
      </c>
      <c r="V93" s="26">
        <f t="shared" si="10"/>
        <v>10595.085021235916</v>
      </c>
      <c r="W93" s="27">
        <f t="shared" si="11"/>
        <v>0.13156941589340673</v>
      </c>
      <c r="Y93" s="676">
        <f>A!T1151</f>
        <v>0</v>
      </c>
      <c r="Z93" s="681">
        <f>A!U1151</f>
        <v>0</v>
      </c>
      <c r="AA93" s="673">
        <f>A!V1151</f>
        <v>0</v>
      </c>
    </row>
    <row r="94" spans="2:27" ht="12" customHeight="1">
      <c r="B94" s="173" t="s">
        <v>115</v>
      </c>
      <c r="C94" s="26">
        <f>A!B1122</f>
        <v>7965.46</v>
      </c>
      <c r="D94" s="26" t="str">
        <f>A!C1122</f>
        <v>06-Oct</v>
      </c>
      <c r="E94" s="26">
        <f>A!D1122</f>
        <v>15</v>
      </c>
      <c r="F94" s="150">
        <f>A!E1122</f>
        <v>7733</v>
      </c>
      <c r="G94" s="176">
        <f>A!F1122</f>
        <v>37137</v>
      </c>
      <c r="H94" s="26">
        <f>A!G1122</f>
        <v>15</v>
      </c>
      <c r="I94" s="150">
        <f>A!H1122</f>
        <v>7733</v>
      </c>
      <c r="J94" s="176">
        <f>A!I1122</f>
        <v>37137</v>
      </c>
      <c r="K94" s="26">
        <f>A!J1122</f>
        <v>15</v>
      </c>
      <c r="L94" s="150">
        <f>A!K1122</f>
        <v>7908.957215893055</v>
      </c>
      <c r="M94" s="176" t="str">
        <f>A!L1122</f>
        <v>06/29</v>
      </c>
      <c r="N94" s="26" t="str">
        <f>A!M1122</f>
        <v>16:00</v>
      </c>
      <c r="O94" s="150">
        <f>A!N1122</f>
        <v>7805</v>
      </c>
      <c r="P94" s="176">
        <f>A!O1122</f>
        <v>181</v>
      </c>
      <c r="Q94" s="26">
        <f>A!P1122</f>
        <v>16</v>
      </c>
      <c r="R94" s="616">
        <f>A!Q1122</f>
        <v>7762</v>
      </c>
      <c r="S94" s="617">
        <f>A!R1122</f>
        <v>37801</v>
      </c>
      <c r="T94" s="614">
        <f>A!S1122</f>
        <v>15</v>
      </c>
      <c r="U94" s="150">
        <f t="shared" si="9"/>
        <v>7733</v>
      </c>
      <c r="V94" s="26">
        <f t="shared" si="10"/>
        <v>7965.46</v>
      </c>
      <c r="W94" s="27">
        <f t="shared" si="11"/>
        <v>2.9734316719689933E-2</v>
      </c>
      <c r="Y94" s="676">
        <f>A!T1152</f>
        <v>0</v>
      </c>
      <c r="Z94" s="681">
        <f>A!U1152</f>
        <v>0</v>
      </c>
      <c r="AA94" s="673">
        <f>A!V1152</f>
        <v>0</v>
      </c>
    </row>
    <row r="95" spans="2:27" ht="12" customHeight="1">
      <c r="B95" s="173" t="s">
        <v>121</v>
      </c>
      <c r="C95" s="26">
        <f>A!B1123</f>
        <v>8892.56</v>
      </c>
      <c r="D95" s="26" t="str">
        <f>A!C1123</f>
        <v>15-Sep</v>
      </c>
      <c r="E95" s="26">
        <f>A!D1123</f>
        <v>11</v>
      </c>
      <c r="F95" s="150">
        <f>A!E1123</f>
        <v>8723</v>
      </c>
      <c r="G95" s="176">
        <f>A!F1123</f>
        <v>37531</v>
      </c>
      <c r="H95" s="26">
        <f>A!G1123</f>
        <v>9</v>
      </c>
      <c r="I95" s="150">
        <f>A!H1123</f>
        <v>8723</v>
      </c>
      <c r="J95" s="176">
        <f>A!I1123</f>
        <v>37896</v>
      </c>
      <c r="K95" s="26">
        <f>A!J1123</f>
        <v>9</v>
      </c>
      <c r="L95" s="150">
        <f>A!K1123</f>
        <v>9041.0375311837779</v>
      </c>
      <c r="M95" s="176" t="str">
        <f>A!L1123</f>
        <v>06/17</v>
      </c>
      <c r="N95" s="26" t="str">
        <f>A!M1123</f>
        <v>14:00</v>
      </c>
      <c r="O95" s="150">
        <f>A!N1123</f>
        <v>8850</v>
      </c>
      <c r="P95" s="176">
        <f>A!O1123</f>
        <v>169</v>
      </c>
      <c r="Q95" s="26">
        <f>A!P1123</f>
        <v>14</v>
      </c>
      <c r="R95" s="616">
        <f>A!Q1123</f>
        <v>8874</v>
      </c>
      <c r="S95" s="617">
        <f>A!R1123</f>
        <v>37789</v>
      </c>
      <c r="T95" s="614">
        <f>A!S1123</f>
        <v>13</v>
      </c>
      <c r="U95" s="150">
        <f t="shared" si="9"/>
        <v>8723</v>
      </c>
      <c r="V95" s="26">
        <f t="shared" si="10"/>
        <v>9041.0375311837779</v>
      </c>
      <c r="W95" s="27">
        <f t="shared" si="11"/>
        <v>3.5934009668217096E-2</v>
      </c>
      <c r="Y95" s="676">
        <f>A!T1153</f>
        <v>0</v>
      </c>
      <c r="Z95" s="681">
        <f>A!U1153</f>
        <v>0</v>
      </c>
      <c r="AA95" s="673">
        <f>A!V1153</f>
        <v>0</v>
      </c>
    </row>
    <row r="96" spans="2:27" ht="12" customHeight="1">
      <c r="B96" s="173" t="s">
        <v>125</v>
      </c>
      <c r="C96" s="26">
        <f>A!B1124</f>
        <v>7913.7</v>
      </c>
      <c r="D96" s="26" t="str">
        <f>A!C1124</f>
        <v>28-Sep</v>
      </c>
      <c r="E96" s="26">
        <f>A!D1124</f>
        <v>15</v>
      </c>
      <c r="F96" s="150">
        <f>A!E1124</f>
        <v>7785</v>
      </c>
      <c r="G96" s="176">
        <f>A!F1124</f>
        <v>37137</v>
      </c>
      <c r="H96" s="26">
        <f>A!G1124</f>
        <v>15</v>
      </c>
      <c r="I96" s="150">
        <f>A!H1124</f>
        <v>7785</v>
      </c>
      <c r="J96" s="176">
        <f>A!I1124</f>
        <v>37137</v>
      </c>
      <c r="K96" s="26">
        <f>A!J1124</f>
        <v>15</v>
      </c>
      <c r="L96" s="150">
        <f>A!K1124</f>
        <v>7785.2261007561392</v>
      </c>
      <c r="M96" s="176" t="str">
        <f>A!L1124</f>
        <v>06/29</v>
      </c>
      <c r="N96" s="26" t="str">
        <f>A!M1124</f>
        <v>16:00</v>
      </c>
      <c r="O96" s="150">
        <f>A!N1124</f>
        <v>7726</v>
      </c>
      <c r="P96" s="176">
        <f>A!O1124</f>
        <v>182</v>
      </c>
      <c r="Q96" s="26">
        <f>A!P1124</f>
        <v>16</v>
      </c>
      <c r="R96" s="616">
        <f>A!Q1124</f>
        <v>7964</v>
      </c>
      <c r="S96" s="617">
        <f>A!R1124</f>
        <v>37764</v>
      </c>
      <c r="T96" s="614">
        <f>A!S1124</f>
        <v>15</v>
      </c>
      <c r="U96" s="150">
        <f t="shared" si="9"/>
        <v>7726</v>
      </c>
      <c r="V96" s="26">
        <f t="shared" si="10"/>
        <v>7964</v>
      </c>
      <c r="W96" s="27">
        <f t="shared" si="11"/>
        <v>3.0409554020380505E-2</v>
      </c>
      <c r="Y96" s="676">
        <f>A!T1154</f>
        <v>0</v>
      </c>
      <c r="Z96" s="681">
        <f>A!U1154</f>
        <v>0</v>
      </c>
      <c r="AA96" s="673">
        <f>A!V1154</f>
        <v>0</v>
      </c>
    </row>
    <row r="97" spans="2:27" ht="12" customHeight="1">
      <c r="B97" s="173" t="s">
        <v>127</v>
      </c>
      <c r="C97" s="26">
        <f>A!B1125</f>
        <v>7906.7</v>
      </c>
      <c r="D97" s="26" t="str">
        <f>A!C1125</f>
        <v>02-Mai</v>
      </c>
      <c r="E97" s="26">
        <f>A!D1125</f>
        <v>15</v>
      </c>
      <c r="F97" s="150">
        <f>A!E1125</f>
        <v>7760</v>
      </c>
      <c r="G97" s="176">
        <f>A!F1125</f>
        <v>37137</v>
      </c>
      <c r="H97" s="26">
        <f>A!G1125</f>
        <v>15</v>
      </c>
      <c r="I97" s="150">
        <f>A!H1125</f>
        <v>7760</v>
      </c>
      <c r="J97" s="176">
        <f>A!I1125</f>
        <v>37137</v>
      </c>
      <c r="K97" s="26">
        <f>A!J1125</f>
        <v>15</v>
      </c>
      <c r="L97" s="150">
        <f>A!K1125</f>
        <v>7850.1655950411105</v>
      </c>
      <c r="M97" s="176" t="str">
        <f>A!L1125</f>
        <v>06/29</v>
      </c>
      <c r="N97" s="26" t="str">
        <f>A!M1125</f>
        <v>16:00</v>
      </c>
      <c r="O97" s="150">
        <f>A!N1125</f>
        <v>7743</v>
      </c>
      <c r="P97" s="176">
        <f>A!O1125</f>
        <v>181</v>
      </c>
      <c r="Q97" s="26">
        <f>A!P1125</f>
        <v>16</v>
      </c>
      <c r="R97" s="616">
        <f>A!Q1125</f>
        <v>7745</v>
      </c>
      <c r="S97" s="617">
        <f>A!R1125</f>
        <v>37801</v>
      </c>
      <c r="T97" s="614">
        <f>A!S1125</f>
        <v>15</v>
      </c>
      <c r="U97" s="150">
        <f t="shared" si="9"/>
        <v>7743</v>
      </c>
      <c r="V97" s="26">
        <f t="shared" si="10"/>
        <v>7906.7</v>
      </c>
      <c r="W97" s="27">
        <f t="shared" si="11"/>
        <v>2.1002947137821991E-2</v>
      </c>
      <c r="Y97" s="676">
        <f>A!T1155</f>
        <v>0</v>
      </c>
      <c r="Z97" s="681">
        <f>A!U1155</f>
        <v>0</v>
      </c>
      <c r="AA97" s="673">
        <f>A!V1155</f>
        <v>0</v>
      </c>
    </row>
    <row r="98" spans="2:27" ht="12" customHeight="1">
      <c r="B98" s="173" t="s">
        <v>130</v>
      </c>
      <c r="C98" s="26">
        <f>A!B1126</f>
        <v>8037.07</v>
      </c>
      <c r="D98" s="26" t="str">
        <f>A!C1126</f>
        <v>26-Jul</v>
      </c>
      <c r="E98" s="26">
        <f>A!D1126</f>
        <v>16</v>
      </c>
      <c r="F98" s="150">
        <f>A!E1126</f>
        <v>7663</v>
      </c>
      <c r="G98" s="176">
        <f>A!F1126</f>
        <v>37137</v>
      </c>
      <c r="H98" s="26">
        <f>A!G1126</f>
        <v>15</v>
      </c>
      <c r="I98" s="150">
        <f>A!H1126</f>
        <v>7663</v>
      </c>
      <c r="J98" s="176">
        <f>A!I1126</f>
        <v>37137</v>
      </c>
      <c r="K98" s="26">
        <f>A!J1126</f>
        <v>15</v>
      </c>
      <c r="L98" s="150">
        <f>A!K1126</f>
        <v>8006.3954937051394</v>
      </c>
      <c r="M98" s="176" t="str">
        <f>A!L1126</f>
        <v>06/29</v>
      </c>
      <c r="N98" s="26" t="str">
        <f>A!M1126</f>
        <v>16:00</v>
      </c>
      <c r="O98" s="150">
        <f>A!N1126</f>
        <v>7938</v>
      </c>
      <c r="P98" s="176">
        <f>A!O1126</f>
        <v>181</v>
      </c>
      <c r="Q98" s="26">
        <f>A!P1126</f>
        <v>16</v>
      </c>
      <c r="R98" s="616">
        <f>A!Q1126</f>
        <v>7820</v>
      </c>
      <c r="S98" s="617">
        <f>A!R1126</f>
        <v>37801</v>
      </c>
      <c r="T98" s="614">
        <f>A!S1126</f>
        <v>15</v>
      </c>
      <c r="U98" s="150">
        <f t="shared" si="9"/>
        <v>7663</v>
      </c>
      <c r="V98" s="26">
        <f t="shared" si="10"/>
        <v>8037.07</v>
      </c>
      <c r="W98" s="27">
        <f t="shared" si="11"/>
        <v>4.7624457977690049E-2</v>
      </c>
      <c r="Y98" s="676">
        <f>A!T1156</f>
        <v>0</v>
      </c>
      <c r="Z98" s="681">
        <f>A!U1156</f>
        <v>0</v>
      </c>
      <c r="AA98" s="673">
        <f>A!V1156</f>
        <v>0</v>
      </c>
    </row>
    <row r="99" spans="2:27" ht="12" customHeight="1">
      <c r="B99" s="173" t="s">
        <v>132</v>
      </c>
      <c r="C99" s="26">
        <f>A!B1127</f>
        <v>1.6431299999999999E-11</v>
      </c>
      <c r="D99" s="26" t="str">
        <f>A!C1127</f>
        <v>18-Jun</v>
      </c>
      <c r="E99" s="26">
        <f>A!D1127</f>
        <v>16</v>
      </c>
      <c r="F99" s="150">
        <f>A!E1127</f>
        <v>0</v>
      </c>
      <c r="G99" s="176">
        <f>A!F1127</f>
        <v>0</v>
      </c>
      <c r="H99" s="26">
        <f>A!G1127</f>
        <v>0</v>
      </c>
      <c r="I99" s="150">
        <f>A!H1127</f>
        <v>0</v>
      </c>
      <c r="J99" s="176">
        <f>A!I1127</f>
        <v>0</v>
      </c>
      <c r="K99" s="26">
        <f>A!J1127</f>
        <v>0</v>
      </c>
      <c r="L99" s="150">
        <f>A!K1127</f>
        <v>110.17833767868278</v>
      </c>
      <c r="M99" s="176" t="str">
        <f>A!L1127</f>
        <v>03/16</v>
      </c>
      <c r="N99" s="26" t="str">
        <f>A!M1127</f>
        <v>10:00</v>
      </c>
      <c r="O99" s="150">
        <f>A!N1127</f>
        <v>179</v>
      </c>
      <c r="P99" s="176">
        <f>A!O1127</f>
        <v>71</v>
      </c>
      <c r="Q99" s="26">
        <f>A!P1127</f>
        <v>11</v>
      </c>
      <c r="R99" s="616">
        <f>A!Q1127</f>
        <v>35.9</v>
      </c>
      <c r="S99" s="617">
        <f>A!R1127</f>
        <v>37926</v>
      </c>
      <c r="T99" s="614">
        <f>A!S1127</f>
        <v>20</v>
      </c>
      <c r="U99" s="150">
        <f t="shared" si="9"/>
        <v>0</v>
      </c>
      <c r="V99" s="26">
        <f t="shared" si="10"/>
        <v>179</v>
      </c>
      <c r="W99" s="27">
        <f t="shared" si="11"/>
        <v>3.3038190353413204</v>
      </c>
      <c r="Y99" s="676">
        <f>A!T1157</f>
        <v>0</v>
      </c>
      <c r="Z99" s="681">
        <f>A!U1157</f>
        <v>0</v>
      </c>
      <c r="AA99" s="673">
        <f>A!V1157</f>
        <v>0</v>
      </c>
    </row>
    <row r="100" spans="2:27" ht="12" customHeight="1">
      <c r="B100" s="173" t="s">
        <v>135</v>
      </c>
      <c r="C100" s="26">
        <f>A!B1128</f>
        <v>627.18600000000004</v>
      </c>
      <c r="D100" s="26" t="str">
        <f>A!C1128</f>
        <v>11-Mar</v>
      </c>
      <c r="E100" s="26">
        <f>A!D1128</f>
        <v>10</v>
      </c>
      <c r="F100" s="150">
        <f>A!E1128</f>
        <v>0</v>
      </c>
      <c r="G100" s="176">
        <f>A!F1128</f>
        <v>0</v>
      </c>
      <c r="H100" s="26">
        <f>A!G1128</f>
        <v>0</v>
      </c>
      <c r="I100" s="150">
        <f>A!H1128</f>
        <v>0</v>
      </c>
      <c r="J100" s="176">
        <f>A!I1128</f>
        <v>0</v>
      </c>
      <c r="K100" s="26">
        <f>A!J1128</f>
        <v>0</v>
      </c>
      <c r="L100" s="150">
        <f>A!K1128</f>
        <v>1636.3589513277166</v>
      </c>
      <c r="M100" s="176" t="str">
        <f>A!L1128</f>
        <v>03/11</v>
      </c>
      <c r="N100" s="26" t="str">
        <f>A!M1128</f>
        <v>10:00</v>
      </c>
      <c r="O100" s="150">
        <f>A!N1128</f>
        <v>845</v>
      </c>
      <c r="P100" s="176">
        <f>A!O1128</f>
        <v>71</v>
      </c>
      <c r="Q100" s="26">
        <f>A!P1128</f>
        <v>10</v>
      </c>
      <c r="R100" s="616">
        <f>A!Q1128</f>
        <v>1181</v>
      </c>
      <c r="S100" s="617">
        <f>A!R1128</f>
        <v>37691</v>
      </c>
      <c r="T100" s="614">
        <f>A!S1128</f>
        <v>10</v>
      </c>
      <c r="U100" s="150">
        <f t="shared" si="9"/>
        <v>0</v>
      </c>
      <c r="V100" s="26">
        <f t="shared" si="10"/>
        <v>1636.3589513277166</v>
      </c>
      <c r="W100" s="27">
        <f t="shared" si="11"/>
        <v>2.2888567014380738</v>
      </c>
      <c r="Y100" s="676">
        <f>A!T1158</f>
        <v>0</v>
      </c>
      <c r="Z100" s="681">
        <f>A!U1158</f>
        <v>0</v>
      </c>
      <c r="AA100" s="673">
        <f>A!V1158</f>
        <v>0</v>
      </c>
    </row>
    <row r="101" spans="2:27" ht="12" customHeight="1" thickBot="1">
      <c r="B101" s="174" t="s">
        <v>138</v>
      </c>
      <c r="C101" s="29">
        <f>A!B1129</f>
        <v>1.81188E-11</v>
      </c>
      <c r="D101" s="29" t="str">
        <f>A!C1129</f>
        <v>01-Jul</v>
      </c>
      <c r="E101" s="29">
        <f>A!D1129</f>
        <v>16</v>
      </c>
      <c r="F101" s="151">
        <f>A!E1129</f>
        <v>0</v>
      </c>
      <c r="G101" s="182">
        <f>A!F1129</f>
        <v>0</v>
      </c>
      <c r="H101" s="29">
        <f>A!G1129</f>
        <v>0</v>
      </c>
      <c r="I101" s="151">
        <f>A!H1129</f>
        <v>0</v>
      </c>
      <c r="J101" s="182">
        <f>A!I1129</f>
        <v>0</v>
      </c>
      <c r="K101" s="29">
        <f>A!J1129</f>
        <v>0</v>
      </c>
      <c r="L101" s="151">
        <f>A!K1129</f>
        <v>8.2784228854709169E-12</v>
      </c>
      <c r="M101" s="182" t="str">
        <f>A!L1129</f>
        <v>05/29</v>
      </c>
      <c r="N101" s="29" t="str">
        <f>A!M1129</f>
        <v>13:00</v>
      </c>
      <c r="O101" s="151">
        <f>A!N1129</f>
        <v>4</v>
      </c>
      <c r="P101" s="182">
        <f>A!O1129</f>
        <v>202</v>
      </c>
      <c r="Q101" s="29">
        <f>A!P1129</f>
        <v>15</v>
      </c>
      <c r="R101" s="621">
        <f>A!Q1129</f>
        <v>0</v>
      </c>
      <c r="S101" s="717">
        <f>A!R1129</f>
        <v>37622</v>
      </c>
      <c r="T101" s="716">
        <f>A!S1129</f>
        <v>1</v>
      </c>
      <c r="U101" s="151">
        <f t="shared" si="9"/>
        <v>0</v>
      </c>
      <c r="V101" s="29">
        <f t="shared" si="10"/>
        <v>4</v>
      </c>
      <c r="W101" s="30">
        <f t="shared" si="11"/>
        <v>5.9999999999604041</v>
      </c>
      <c r="Y101" s="676">
        <f>A!T1159</f>
        <v>0</v>
      </c>
      <c r="Z101" s="681">
        <f>A!U1159</f>
        <v>0</v>
      </c>
      <c r="AA101" s="673">
        <f>A!V1159</f>
        <v>0</v>
      </c>
    </row>
    <row r="102" spans="2:27" ht="12" customHeight="1" thickTop="1">
      <c r="J102" s="106"/>
      <c r="K102" s="32" t="s">
        <v>576</v>
      </c>
      <c r="Y102" s="676"/>
      <c r="Z102" s="681"/>
      <c r="AA102" s="673"/>
    </row>
    <row r="103" spans="2:27" ht="12" customHeight="1">
      <c r="Y103" s="676"/>
      <c r="Z103" s="681"/>
      <c r="AA103" s="673"/>
    </row>
    <row r="104" spans="2:27">
      <c r="Y104" s="676"/>
      <c r="Z104" s="681"/>
      <c r="AA104" s="673"/>
    </row>
    <row r="105" spans="2:27">
      <c r="Y105" s="676"/>
      <c r="Z105" s="681"/>
      <c r="AA105" s="673"/>
    </row>
    <row r="106" spans="2:27">
      <c r="Y106" s="676"/>
      <c r="Z106" s="681"/>
      <c r="AA106" s="673"/>
    </row>
    <row r="107" spans="2:27">
      <c r="Y107" s="676"/>
      <c r="Z107" s="681"/>
      <c r="AA107" s="673"/>
    </row>
    <row r="108" spans="2:27">
      <c r="Y108" s="676"/>
      <c r="Z108" s="681"/>
      <c r="AA108" s="673"/>
    </row>
    <row r="109" spans="2:27">
      <c r="Y109" s="676"/>
      <c r="Z109" s="681"/>
      <c r="AA109" s="673"/>
    </row>
    <row r="110" spans="2:27">
      <c r="Y110" s="676"/>
      <c r="Z110" s="681"/>
      <c r="AA110" s="673"/>
    </row>
    <row r="111" spans="2:27" ht="16.5" thickBot="1">
      <c r="B111" s="192" t="s">
        <v>577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676"/>
      <c r="Z111" s="681"/>
      <c r="AA111" s="673"/>
    </row>
    <row r="112" spans="2:27" ht="12" customHeight="1" thickTop="1">
      <c r="B112" s="19" t="s">
        <v>249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140"/>
      <c r="U112" s="20" t="s">
        <v>24</v>
      </c>
      <c r="V112" s="20"/>
      <c r="W112" s="21"/>
      <c r="Y112" s="676"/>
      <c r="Z112" s="681"/>
      <c r="AA112" s="673"/>
    </row>
    <row r="113" spans="2:27" ht="12" customHeight="1">
      <c r="B113" s="170"/>
      <c r="C113" s="22" t="s">
        <v>245</v>
      </c>
      <c r="D113" s="22"/>
      <c r="E113" s="22"/>
      <c r="F113" s="169" t="s">
        <v>536</v>
      </c>
      <c r="G113" s="205"/>
      <c r="H113" s="729"/>
      <c r="I113" s="205" t="s">
        <v>258</v>
      </c>
      <c r="L113" s="372" t="s">
        <v>433</v>
      </c>
      <c r="M113" s="124"/>
      <c r="N113" s="48"/>
      <c r="O113" s="436" t="s">
        <v>469</v>
      </c>
      <c r="R113" s="722" t="s">
        <v>482</v>
      </c>
      <c r="S113" s="120"/>
      <c r="T113" s="48"/>
      <c r="U113" s="200"/>
      <c r="V113" s="18"/>
      <c r="W113" s="23" t="s">
        <v>25</v>
      </c>
      <c r="Y113" s="676"/>
      <c r="Z113" s="681"/>
      <c r="AA113" s="673"/>
    </row>
    <row r="114" spans="2:27" ht="12" customHeight="1">
      <c r="B114" s="171"/>
      <c r="C114" s="24" t="s">
        <v>26</v>
      </c>
      <c r="D114" s="24" t="s">
        <v>77</v>
      </c>
      <c r="E114" s="198" t="s">
        <v>78</v>
      </c>
      <c r="F114" s="378" t="s">
        <v>13</v>
      </c>
      <c r="G114" s="24" t="s">
        <v>77</v>
      </c>
      <c r="H114" s="198" t="s">
        <v>78</v>
      </c>
      <c r="I114" s="378" t="s">
        <v>13</v>
      </c>
      <c r="J114" s="181" t="s">
        <v>77</v>
      </c>
      <c r="K114" s="199" t="s">
        <v>78</v>
      </c>
      <c r="L114" s="373" t="s">
        <v>434</v>
      </c>
      <c r="M114" s="181" t="s">
        <v>77</v>
      </c>
      <c r="N114" s="730" t="s">
        <v>78</v>
      </c>
      <c r="O114" s="353" t="s">
        <v>452</v>
      </c>
      <c r="P114" s="24" t="s">
        <v>77</v>
      </c>
      <c r="Q114" s="177" t="s">
        <v>78</v>
      </c>
      <c r="R114" s="373" t="s">
        <v>483</v>
      </c>
      <c r="S114" s="24" t="s">
        <v>77</v>
      </c>
      <c r="T114" s="723" t="s">
        <v>78</v>
      </c>
      <c r="U114" s="24" t="s">
        <v>27</v>
      </c>
      <c r="V114" s="24" t="s">
        <v>28</v>
      </c>
      <c r="W114" s="25" t="s">
        <v>259</v>
      </c>
      <c r="Y114" s="680" t="s">
        <v>522</v>
      </c>
      <c r="Z114" s="181" t="s">
        <v>77</v>
      </c>
      <c r="AA114" s="177" t="s">
        <v>78</v>
      </c>
    </row>
    <row r="115" spans="2:27" ht="12" customHeight="1">
      <c r="B115" s="172" t="s">
        <v>91</v>
      </c>
      <c r="C115" s="152">
        <f>A!B1190</f>
        <v>4.1683375374401095</v>
      </c>
      <c r="D115" s="180" t="str">
        <f>A!C1190</f>
        <v>16-Apr</v>
      </c>
      <c r="E115" s="164">
        <f>A!D1190</f>
        <v>3</v>
      </c>
      <c r="F115" s="379">
        <f>A!E1190</f>
        <v>3.8690000000000002</v>
      </c>
      <c r="G115" s="176">
        <f>A!F1190</f>
        <v>37376</v>
      </c>
      <c r="H115" s="164">
        <f>A!G1190</f>
        <v>16</v>
      </c>
      <c r="I115" s="379">
        <f>A!H1190</f>
        <v>3.8570000000000002</v>
      </c>
      <c r="J115" s="176">
        <f>A!I1190</f>
        <v>37376</v>
      </c>
      <c r="K115" s="164">
        <f>A!J1190</f>
        <v>16</v>
      </c>
      <c r="L115" s="379">
        <f>A!K1190</f>
        <v>3.9231737320058229</v>
      </c>
      <c r="M115" s="176" t="str">
        <f>A!L1190</f>
        <v>04/30</v>
      </c>
      <c r="N115" s="164" t="str">
        <f>A!M1190</f>
        <v>15:00</v>
      </c>
      <c r="O115" s="379">
        <f>A!N1190</f>
        <v>3.8706106870229005</v>
      </c>
      <c r="P115" s="176">
        <f>A!O1190</f>
        <v>121</v>
      </c>
      <c r="Q115" s="164">
        <f>A!P1190</f>
        <v>16</v>
      </c>
      <c r="R115" s="379">
        <f>A!Q1190</f>
        <v>3.88</v>
      </c>
      <c r="S115" s="176">
        <f>A!R1190</f>
        <v>37741</v>
      </c>
      <c r="T115" s="164">
        <f>A!S1190</f>
        <v>16</v>
      </c>
      <c r="U115" s="188">
        <f>MINA(C115,F115,I115,L115,O115,R115)</f>
        <v>3.8570000000000002</v>
      </c>
      <c r="V115" s="152">
        <f>MAXA(C115,F115,I115,L115,O115,R115)</f>
        <v>4.1683375374401095</v>
      </c>
      <c r="W115" s="27">
        <f t="shared" ref="W115:W134" si="12">(V115-U115)/AVERAGE(C115,F115,I115,L115,O115,R115)</f>
        <v>7.9260673722368086E-2</v>
      </c>
      <c r="Y115" s="222">
        <f>A!T1190</f>
        <v>0</v>
      </c>
      <c r="Z115" s="681">
        <f>A!U1190</f>
        <v>0</v>
      </c>
      <c r="AA115" s="673">
        <f>A!V1190</f>
        <v>0</v>
      </c>
    </row>
    <row r="116" spans="2:27" ht="12" customHeight="1">
      <c r="B116" s="173" t="s">
        <v>96</v>
      </c>
      <c r="C116" s="152">
        <f>A!B1191</f>
        <v>4.1433004323979068</v>
      </c>
      <c r="D116" s="180" t="str">
        <f>A!C1191</f>
        <v>30-Apr</v>
      </c>
      <c r="E116" s="164">
        <f>A!D1191</f>
        <v>15</v>
      </c>
      <c r="F116" s="379">
        <f>A!E1191</f>
        <v>4.141</v>
      </c>
      <c r="G116" s="176">
        <f>A!F1191</f>
        <v>37376</v>
      </c>
      <c r="H116" s="164">
        <f>A!G1191</f>
        <v>16</v>
      </c>
      <c r="I116" s="379">
        <f>A!H1191</f>
        <v>4.1280000000000001</v>
      </c>
      <c r="J116" s="176">
        <f>A!I1191</f>
        <v>37376</v>
      </c>
      <c r="K116" s="164">
        <f>A!J1191</f>
        <v>16</v>
      </c>
      <c r="L116" s="379">
        <f>A!K1191</f>
        <v>4.195435399687848</v>
      </c>
      <c r="M116" s="176" t="str">
        <f>A!L1191</f>
        <v>04/30</v>
      </c>
      <c r="N116" s="164" t="str">
        <f>A!M1191</f>
        <v>15:00</v>
      </c>
      <c r="O116" s="379">
        <f>A!N1191</f>
        <v>4.1276400367309449</v>
      </c>
      <c r="P116" s="176">
        <f>A!O1191</f>
        <v>121</v>
      </c>
      <c r="Q116" s="164">
        <f>A!P1191</f>
        <v>15</v>
      </c>
      <c r="R116" s="379">
        <f>A!Q1191</f>
        <v>4.12</v>
      </c>
      <c r="S116" s="176">
        <f>A!R1191</f>
        <v>37741</v>
      </c>
      <c r="T116" s="164">
        <f>A!S1191</f>
        <v>15</v>
      </c>
      <c r="U116" s="188">
        <f t="shared" ref="U116:U134" si="13">MINA(C116,F116,I116,L116,O116,R116)</f>
        <v>4.12</v>
      </c>
      <c r="V116" s="152">
        <f t="shared" ref="V116:V134" si="14">MAXA(C116,F116,I116,L116,O116,R116)</f>
        <v>4.195435399687848</v>
      </c>
      <c r="W116" s="27">
        <f t="shared" si="12"/>
        <v>1.8209839212084897E-2</v>
      </c>
      <c r="Y116" s="222">
        <f>A!T1191</f>
        <v>0</v>
      </c>
      <c r="Z116" s="681">
        <f>A!U1191</f>
        <v>0</v>
      </c>
      <c r="AA116" s="673">
        <f>A!V1191</f>
        <v>0</v>
      </c>
    </row>
    <row r="117" spans="2:27" ht="12" customHeight="1">
      <c r="B117" s="173" t="s">
        <v>98</v>
      </c>
      <c r="C117" s="152">
        <f>A!B1192</f>
        <v>4.1683375374401095</v>
      </c>
      <c r="D117" s="180" t="str">
        <f>A!C1192</f>
        <v>16-Apr</v>
      </c>
      <c r="E117" s="164">
        <f>A!D1192</f>
        <v>3</v>
      </c>
      <c r="F117" s="379">
        <f>A!E1192</f>
        <v>5.1429999999999998</v>
      </c>
      <c r="G117" s="176">
        <f>A!F1192</f>
        <v>37531</v>
      </c>
      <c r="H117" s="164">
        <f>A!G1192</f>
        <v>9</v>
      </c>
      <c r="I117" s="379">
        <f>A!H1192</f>
        <v>4.9669999999999996</v>
      </c>
      <c r="J117" s="176">
        <f>A!I1192</f>
        <v>37531</v>
      </c>
      <c r="K117" s="164">
        <f>A!J1192</f>
        <v>9</v>
      </c>
      <c r="L117" s="379">
        <f>A!K1192</f>
        <v>3.9647699712209121</v>
      </c>
      <c r="M117" s="176" t="str">
        <f>A!L1192</f>
        <v>09/16</v>
      </c>
      <c r="N117" s="164" t="str">
        <f>A!M1192</f>
        <v>15:00</v>
      </c>
      <c r="O117" s="379">
        <f>A!N1192</f>
        <v>3.9433046993431025</v>
      </c>
      <c r="P117" s="176">
        <f>A!O1192</f>
        <v>260</v>
      </c>
      <c r="Q117" s="164">
        <f>A!P1192</f>
        <v>15</v>
      </c>
      <c r="R117" s="379">
        <f>A!Q1192</f>
        <v>4.38</v>
      </c>
      <c r="S117" s="176">
        <f>A!R1192</f>
        <v>37973</v>
      </c>
      <c r="T117" s="164">
        <f>A!S1192</f>
        <v>3</v>
      </c>
      <c r="U117" s="188">
        <f t="shared" si="13"/>
        <v>3.9433046993431025</v>
      </c>
      <c r="V117" s="152">
        <f t="shared" si="14"/>
        <v>5.1429999999999998</v>
      </c>
      <c r="W117" s="27">
        <f t="shared" si="12"/>
        <v>0.27095009094877576</v>
      </c>
      <c r="Y117" s="222">
        <f>A!T1192</f>
        <v>0</v>
      </c>
      <c r="Z117" s="681">
        <f>A!U1192</f>
        <v>0</v>
      </c>
      <c r="AA117" s="673">
        <f>A!V1192</f>
        <v>0</v>
      </c>
    </row>
    <row r="118" spans="2:27" ht="12" customHeight="1">
      <c r="B118" s="173" t="s">
        <v>102</v>
      </c>
      <c r="C118" s="152">
        <f>A!B1193</f>
        <v>4.1683375374401095</v>
      </c>
      <c r="D118" s="180" t="str">
        <f>A!C1193</f>
        <v>16-Apr</v>
      </c>
      <c r="E118" s="164">
        <f>A!D1193</f>
        <v>3</v>
      </c>
      <c r="F118" s="379">
        <f>A!E1193</f>
        <v>4.109</v>
      </c>
      <c r="G118" s="176">
        <f>A!F1193</f>
        <v>37789</v>
      </c>
      <c r="H118" s="164">
        <f>A!G1193</f>
        <v>16</v>
      </c>
      <c r="I118" s="379">
        <f>A!H1193</f>
        <v>5.5949999999999998</v>
      </c>
      <c r="J118" s="176">
        <f>A!I1193</f>
        <v>37531</v>
      </c>
      <c r="K118" s="164">
        <f>A!J1193</f>
        <v>9</v>
      </c>
      <c r="L118" s="379">
        <f>A!K1193</f>
        <v>4.0961621106407797</v>
      </c>
      <c r="M118" s="176" t="str">
        <f>A!L1193</f>
        <v>09/16</v>
      </c>
      <c r="N118" s="164" t="str">
        <f>A!M1193</f>
        <v>14:00</v>
      </c>
      <c r="O118" s="379">
        <f>A!N1193</f>
        <v>4.1219461046450672</v>
      </c>
      <c r="P118" s="176">
        <f>A!O1193</f>
        <v>169</v>
      </c>
      <c r="Q118" s="164">
        <f>A!P1193</f>
        <v>16</v>
      </c>
      <c r="R118" s="379">
        <f>A!Q1193</f>
        <v>4.05</v>
      </c>
      <c r="S118" s="176">
        <f>A!R1193</f>
        <v>37789</v>
      </c>
      <c r="T118" s="164">
        <f>A!S1193</f>
        <v>16</v>
      </c>
      <c r="U118" s="188">
        <f t="shared" si="13"/>
        <v>4.05</v>
      </c>
      <c r="V118" s="152">
        <f t="shared" si="14"/>
        <v>5.5949999999999998</v>
      </c>
      <c r="W118" s="27">
        <f t="shared" si="12"/>
        <v>0.35462287398191417</v>
      </c>
      <c r="Y118" s="222">
        <f>A!T1193</f>
        <v>0</v>
      </c>
      <c r="Z118" s="681">
        <f>A!U1193</f>
        <v>0</v>
      </c>
      <c r="AA118" s="673">
        <f>A!V1193</f>
        <v>0</v>
      </c>
    </row>
    <row r="119" spans="2:27" ht="12" customHeight="1">
      <c r="B119" s="173" t="s">
        <v>356</v>
      </c>
      <c r="C119" s="152">
        <f>A!B1194</f>
        <v>4.1683375374401095</v>
      </c>
      <c r="D119" s="180" t="str">
        <f>A!C1194</f>
        <v>16-Apr</v>
      </c>
      <c r="E119" s="164">
        <f>A!D1194</f>
        <v>3</v>
      </c>
      <c r="F119" s="379">
        <f>A!E1194</f>
        <v>4.6210000000000004</v>
      </c>
      <c r="G119" s="176">
        <f>A!F1194</f>
        <v>37531</v>
      </c>
      <c r="H119" s="164">
        <f>A!G1194</f>
        <v>9</v>
      </c>
      <c r="I119" s="379">
        <f>A!H1194</f>
        <v>5.3390000000000004</v>
      </c>
      <c r="J119" s="176">
        <f>A!I1194</f>
        <v>37531</v>
      </c>
      <c r="K119" s="164">
        <f>A!J1194</f>
        <v>9</v>
      </c>
      <c r="L119" s="379">
        <f>A!K1194</f>
        <v>4.0146960787866481</v>
      </c>
      <c r="M119" s="176" t="str">
        <f>A!L1194</f>
        <v>09/16</v>
      </c>
      <c r="N119" s="164" t="str">
        <f>A!M1194</f>
        <v>15:00</v>
      </c>
      <c r="O119" s="379">
        <f>A!N1194</f>
        <v>4.0171608448415927</v>
      </c>
      <c r="P119" s="176">
        <f>A!O1194</f>
        <v>260</v>
      </c>
      <c r="Q119" s="164">
        <f>A!P1194</f>
        <v>16</v>
      </c>
      <c r="R119" s="379">
        <f>A!Q1194</f>
        <v>3.95</v>
      </c>
      <c r="S119" s="176">
        <f>A!R1194</f>
        <v>37880</v>
      </c>
      <c r="T119" s="164">
        <f>A!S1194</f>
        <v>16</v>
      </c>
      <c r="U119" s="188">
        <f t="shared" si="13"/>
        <v>3.95</v>
      </c>
      <c r="V119" s="152">
        <f t="shared" si="14"/>
        <v>5.3390000000000004</v>
      </c>
      <c r="W119" s="27">
        <f t="shared" si="12"/>
        <v>0.31918567333638309</v>
      </c>
      <c r="Y119" s="222">
        <f>A!T1194</f>
        <v>0</v>
      </c>
      <c r="Z119" s="681">
        <f>A!U1194</f>
        <v>0</v>
      </c>
      <c r="AA119" s="673">
        <f>A!V1194</f>
        <v>0</v>
      </c>
    </row>
    <row r="120" spans="2:27" ht="12" customHeight="1">
      <c r="B120" s="173" t="s">
        <v>105</v>
      </c>
      <c r="C120" s="152">
        <f>A!B1195</f>
        <v>4.1683375374401095</v>
      </c>
      <c r="D120" s="180" t="str">
        <f>A!C1195</f>
        <v>16-Apr</v>
      </c>
      <c r="E120" s="164">
        <f>A!D1195</f>
        <v>3</v>
      </c>
      <c r="F120" s="379">
        <f>A!E1195</f>
        <v>3.8889999999999998</v>
      </c>
      <c r="G120" s="176">
        <f>A!F1195</f>
        <v>37738</v>
      </c>
      <c r="H120" s="164">
        <f>A!G1195</f>
        <v>5</v>
      </c>
      <c r="I120" s="379">
        <f>A!H1195</f>
        <v>3.863</v>
      </c>
      <c r="J120" s="176">
        <f>A!I1195</f>
        <v>38265</v>
      </c>
      <c r="K120" s="164">
        <f>A!J1195</f>
        <v>3</v>
      </c>
      <c r="L120" s="379">
        <f>A!K1195</f>
        <v>4.3453326669500596</v>
      </c>
      <c r="M120" s="176" t="str">
        <f>A!L1195</f>
        <v>10/13</v>
      </c>
      <c r="N120" s="164" t="str">
        <f>A!M1195</f>
        <v>01:00</v>
      </c>
      <c r="O120" s="379">
        <f>A!N1195</f>
        <v>3.9320987654320994</v>
      </c>
      <c r="P120" s="176">
        <f>A!O1195</f>
        <v>278</v>
      </c>
      <c r="Q120" s="164">
        <f>A!P1195</f>
        <v>24</v>
      </c>
      <c r="R120" s="379">
        <f>A!Q1195</f>
        <v>3.88</v>
      </c>
      <c r="S120" s="176">
        <f>A!R1195</f>
        <v>37741</v>
      </c>
      <c r="T120" s="164">
        <f>A!S1195</f>
        <v>16</v>
      </c>
      <c r="U120" s="188">
        <f t="shared" si="13"/>
        <v>3.863</v>
      </c>
      <c r="V120" s="152">
        <f t="shared" si="14"/>
        <v>4.3453326669500596</v>
      </c>
      <c r="W120" s="27">
        <f t="shared" si="12"/>
        <v>0.12019369424665263</v>
      </c>
      <c r="Y120" s="222">
        <f>A!T1195</f>
        <v>0</v>
      </c>
      <c r="Z120" s="681">
        <f>A!U1195</f>
        <v>0</v>
      </c>
      <c r="AA120" s="673">
        <f>A!V1195</f>
        <v>0</v>
      </c>
    </row>
    <row r="121" spans="2:27" ht="12" customHeight="1">
      <c r="B121" s="173" t="s">
        <v>108</v>
      </c>
      <c r="C121" s="152">
        <f>A!B1196</f>
        <v>4.4009649556697976</v>
      </c>
      <c r="D121" s="180" t="str">
        <f>A!C1196</f>
        <v>05-Oct</v>
      </c>
      <c r="E121" s="164">
        <f>A!D1196</f>
        <v>1</v>
      </c>
      <c r="F121" s="379">
        <f>A!E1196</f>
        <v>4.4279999999999999</v>
      </c>
      <c r="G121" s="176">
        <f>A!F1196</f>
        <v>37533</v>
      </c>
      <c r="H121" s="164">
        <f>A!G1196</f>
        <v>24</v>
      </c>
      <c r="I121" s="379">
        <f>A!H1196</f>
        <v>4.4269999999999996</v>
      </c>
      <c r="J121" s="176">
        <f>A!I1196</f>
        <v>37533</v>
      </c>
      <c r="K121" s="164">
        <f>A!J1196</f>
        <v>24</v>
      </c>
      <c r="L121" s="379">
        <f>A!K1196</f>
        <v>4.4307544621454715</v>
      </c>
      <c r="M121" s="176" t="str">
        <f>A!L1196</f>
        <v>10/04</v>
      </c>
      <c r="N121" s="164" t="str">
        <f>A!M1196</f>
        <v>24:00</v>
      </c>
      <c r="O121" s="379">
        <f>A!N1196</f>
        <v>4.4320100031259768</v>
      </c>
      <c r="P121" s="176">
        <f>A!O1196</f>
        <v>278</v>
      </c>
      <c r="Q121" s="164">
        <f>A!P1196</f>
        <v>24</v>
      </c>
      <c r="R121" s="379">
        <f>A!Q1196</f>
        <v>4.4400000000000004</v>
      </c>
      <c r="S121" s="176">
        <f>A!R1196</f>
        <v>37898</v>
      </c>
      <c r="T121" s="164">
        <f>A!S1196</f>
        <v>24</v>
      </c>
      <c r="U121" s="188">
        <f t="shared" si="13"/>
        <v>4.4009649556697976</v>
      </c>
      <c r="V121" s="152">
        <f t="shared" si="14"/>
        <v>4.4400000000000004</v>
      </c>
      <c r="W121" s="27">
        <f t="shared" si="12"/>
        <v>8.8185794685096876E-3</v>
      </c>
      <c r="Y121" s="222">
        <f>A!T1196</f>
        <v>0</v>
      </c>
      <c r="Z121" s="681">
        <f>A!U1196</f>
        <v>0</v>
      </c>
      <c r="AA121" s="673">
        <f>A!V1196</f>
        <v>0</v>
      </c>
    </row>
    <row r="122" spans="2:27" ht="12" customHeight="1">
      <c r="B122" s="173" t="s">
        <v>109</v>
      </c>
      <c r="C122" s="152">
        <f>A!B1197</f>
        <v>4.0769395929961423</v>
      </c>
      <c r="D122" s="180" t="str">
        <f>A!C1197</f>
        <v>16-Sep</v>
      </c>
      <c r="E122" s="164">
        <f>A!D1197</f>
        <v>15</v>
      </c>
      <c r="F122" s="379">
        <f>A!E1197</f>
        <v>4.0880000000000001</v>
      </c>
      <c r="G122" s="176">
        <f>A!F1197</f>
        <v>37789</v>
      </c>
      <c r="H122" s="164">
        <f>A!G1197</f>
        <v>16</v>
      </c>
      <c r="I122" s="379">
        <f>A!H1197</f>
        <v>4.7759999999999998</v>
      </c>
      <c r="J122" s="176">
        <f>A!I1197</f>
        <v>37882</v>
      </c>
      <c r="K122" s="164">
        <f>A!J1197</f>
        <v>15</v>
      </c>
      <c r="L122" s="379">
        <f>A!K1197</f>
        <v>4.0961436736490233</v>
      </c>
      <c r="M122" s="176" t="str">
        <f>A!L1197</f>
        <v>09/16</v>
      </c>
      <c r="N122" s="164" t="str">
        <f>A!M1197</f>
        <v>14:00</v>
      </c>
      <c r="O122" s="379"/>
      <c r="P122" s="176"/>
      <c r="Q122" s="164"/>
      <c r="R122" s="379">
        <f>A!Q1197</f>
        <v>4.05</v>
      </c>
      <c r="S122" s="176">
        <f>A!R1197</f>
        <v>37789</v>
      </c>
      <c r="T122" s="164">
        <f>A!S1197</f>
        <v>16</v>
      </c>
      <c r="U122" s="188">
        <f t="shared" si="13"/>
        <v>4.05</v>
      </c>
      <c r="V122" s="152">
        <f t="shared" si="14"/>
        <v>4.7759999999999998</v>
      </c>
      <c r="W122" s="27">
        <f t="shared" si="12"/>
        <v>0.17214329521531366</v>
      </c>
      <c r="Y122" s="222">
        <f>A!T1197</f>
        <v>0</v>
      </c>
      <c r="Z122" s="681">
        <f>A!U1197</f>
        <v>0</v>
      </c>
      <c r="AA122" s="673">
        <f>A!V1197</f>
        <v>0</v>
      </c>
    </row>
    <row r="123" spans="2:27" ht="12" customHeight="1">
      <c r="B123" s="173" t="s">
        <v>111</v>
      </c>
      <c r="C123" s="152">
        <f>A!B1198</f>
        <v>3.8879096164892295</v>
      </c>
      <c r="D123" s="180" t="str">
        <f>A!C1198</f>
        <v>30-Apr</v>
      </c>
      <c r="E123" s="164">
        <f>A!D1198</f>
        <v>15</v>
      </c>
      <c r="F123" s="379">
        <f>A!E1198</f>
        <v>3.903</v>
      </c>
      <c r="G123" s="176">
        <f>A!F1198</f>
        <v>37376</v>
      </c>
      <c r="H123" s="164">
        <f>A!G1198</f>
        <v>15</v>
      </c>
      <c r="I123" s="379">
        <f>A!H1198</f>
        <v>3.855</v>
      </c>
      <c r="J123" s="176">
        <f>A!I1198</f>
        <v>37376</v>
      </c>
      <c r="K123" s="164">
        <f>A!J1198</f>
        <v>16</v>
      </c>
      <c r="L123" s="379"/>
      <c r="M123" s="176"/>
      <c r="N123" s="164"/>
      <c r="O123" s="379"/>
      <c r="P123" s="176"/>
      <c r="Q123" s="164"/>
      <c r="R123" s="379">
        <f>A!Q1198</f>
        <v>3.84</v>
      </c>
      <c r="S123" s="176">
        <f>A!R1198</f>
        <v>37762</v>
      </c>
      <c r="T123" s="164">
        <f>A!S1198</f>
        <v>15</v>
      </c>
      <c r="U123" s="188">
        <f t="shared" si="13"/>
        <v>3.84</v>
      </c>
      <c r="V123" s="152">
        <f t="shared" si="14"/>
        <v>3.903</v>
      </c>
      <c r="W123" s="27">
        <f t="shared" si="12"/>
        <v>1.6272857471134522E-2</v>
      </c>
      <c r="Y123" s="222">
        <f>A!T1198</f>
        <v>0</v>
      </c>
      <c r="Z123" s="681">
        <f>A!U1198</f>
        <v>0</v>
      </c>
      <c r="AA123" s="673">
        <f>A!V1198</f>
        <v>0</v>
      </c>
    </row>
    <row r="124" spans="2:27" ht="12" customHeight="1">
      <c r="B124" s="173" t="s">
        <v>112</v>
      </c>
      <c r="C124" s="152">
        <f>A!B1199</f>
        <v>3.7812884390914867</v>
      </c>
      <c r="D124" s="180" t="str">
        <f>A!C1199</f>
        <v>27-Sep</v>
      </c>
      <c r="E124" s="164">
        <f>A!D1199</f>
        <v>16</v>
      </c>
      <c r="F124" s="379">
        <f>A!E1199</f>
        <v>3.8069999999999999</v>
      </c>
      <c r="G124" s="176">
        <f>A!F1199</f>
        <v>37762</v>
      </c>
      <c r="H124" s="164">
        <f>A!G1199</f>
        <v>15</v>
      </c>
      <c r="I124" s="379">
        <f>A!H1199</f>
        <v>3.7589999999999999</v>
      </c>
      <c r="J124" s="176">
        <f>A!I1199</f>
        <v>37891</v>
      </c>
      <c r="K124" s="164">
        <f>A!J1199</f>
        <v>15</v>
      </c>
      <c r="L124" s="379">
        <f>A!K1199</f>
        <v>3.84461438738307</v>
      </c>
      <c r="M124" s="176" t="str">
        <f>A!L1199</f>
        <v>05/21</v>
      </c>
      <c r="N124" s="164" t="str">
        <f>A!M1199</f>
        <v>15:00</v>
      </c>
      <c r="O124" s="379"/>
      <c r="P124" s="176"/>
      <c r="Q124" s="164"/>
      <c r="R124" s="379">
        <f>A!Q1199</f>
        <v>3.94</v>
      </c>
      <c r="S124" s="176">
        <f>A!R1199</f>
        <v>37762</v>
      </c>
      <c r="T124" s="164">
        <f>A!S1199</f>
        <v>13</v>
      </c>
      <c r="U124" s="188">
        <f t="shared" si="13"/>
        <v>3.7589999999999999</v>
      </c>
      <c r="V124" s="152">
        <f t="shared" si="14"/>
        <v>3.94</v>
      </c>
      <c r="W124" s="27">
        <f t="shared" si="12"/>
        <v>4.7303188198701766E-2</v>
      </c>
      <c r="Y124" s="222">
        <f>A!T1199</f>
        <v>0</v>
      </c>
      <c r="Z124" s="681">
        <f>A!U1199</f>
        <v>0</v>
      </c>
      <c r="AA124" s="673">
        <f>A!V1199</f>
        <v>0</v>
      </c>
    </row>
    <row r="125" spans="2:27" ht="12" customHeight="1">
      <c r="B125" s="173" t="s">
        <v>113</v>
      </c>
      <c r="C125" s="152">
        <f>A!B1200</f>
        <v>3.7812884390914867</v>
      </c>
      <c r="D125" s="180" t="str">
        <f>A!C1200</f>
        <v>27-Sep</v>
      </c>
      <c r="E125" s="164">
        <f>A!D1200</f>
        <v>16</v>
      </c>
      <c r="F125" s="379">
        <f>A!E1200</f>
        <v>3.8050000000000002</v>
      </c>
      <c r="G125" s="176">
        <f>A!F1200</f>
        <v>37918</v>
      </c>
      <c r="H125" s="164">
        <f>A!G1200</f>
        <v>15</v>
      </c>
      <c r="I125" s="379">
        <f>A!H1200</f>
        <v>3.7589999999999999</v>
      </c>
      <c r="J125" s="176">
        <f>A!I1200</f>
        <v>37891</v>
      </c>
      <c r="K125" s="164">
        <f>A!J1200</f>
        <v>15</v>
      </c>
      <c r="L125" s="379">
        <f>A!K1200</f>
        <v>3.8044053392820052</v>
      </c>
      <c r="M125" s="176" t="str">
        <f>A!L1200</f>
        <v>05/21</v>
      </c>
      <c r="N125" s="164" t="str">
        <f>A!M1200</f>
        <v>15:00</v>
      </c>
      <c r="O125" s="379"/>
      <c r="P125" s="176"/>
      <c r="Q125" s="164"/>
      <c r="R125" s="379">
        <f>A!Q1200</f>
        <v>3.93</v>
      </c>
      <c r="S125" s="176">
        <f>A!R1200</f>
        <v>37741</v>
      </c>
      <c r="T125" s="164">
        <f>A!S1200</f>
        <v>13</v>
      </c>
      <c r="U125" s="188">
        <f t="shared" si="13"/>
        <v>3.7589999999999999</v>
      </c>
      <c r="V125" s="152">
        <f t="shared" si="14"/>
        <v>3.93</v>
      </c>
      <c r="W125" s="27">
        <f t="shared" si="12"/>
        <v>4.4812039958897522E-2</v>
      </c>
      <c r="Y125" s="222">
        <f>A!T1200</f>
        <v>0</v>
      </c>
      <c r="Z125" s="681">
        <f>A!U1200</f>
        <v>0</v>
      </c>
      <c r="AA125" s="673">
        <f>A!V1200</f>
        <v>0</v>
      </c>
    </row>
    <row r="126" spans="2:27" ht="12" customHeight="1">
      <c r="B126" s="173" t="s">
        <v>114</v>
      </c>
      <c r="C126" s="152">
        <f>A!B1201</f>
        <v>3.8834748713994482</v>
      </c>
      <c r="D126" s="180" t="str">
        <f>A!C1201</f>
        <v>12-Dez</v>
      </c>
      <c r="E126" s="164">
        <f>A!D1201</f>
        <v>7</v>
      </c>
      <c r="F126" s="379">
        <f>A!E1201</f>
        <v>3.774</v>
      </c>
      <c r="G126" s="176">
        <f>A!F1201</f>
        <v>37526</v>
      </c>
      <c r="H126" s="164">
        <f>A!G1201</f>
        <v>15</v>
      </c>
      <c r="I126" s="379">
        <f>A!H1201</f>
        <v>3.7589999999999999</v>
      </c>
      <c r="J126" s="176">
        <f>A!I1201</f>
        <v>37526</v>
      </c>
      <c r="K126" s="164">
        <f>A!J1201</f>
        <v>15</v>
      </c>
      <c r="L126" s="379">
        <f>A!K1201</f>
        <v>3.8044053392820021</v>
      </c>
      <c r="M126" s="176" t="str">
        <f>A!L1201</f>
        <v>05/21</v>
      </c>
      <c r="N126" s="164" t="str">
        <f>A!M1201</f>
        <v>15:00</v>
      </c>
      <c r="O126" s="379"/>
      <c r="P126" s="176"/>
      <c r="Q126" s="164"/>
      <c r="R126" s="379">
        <f>A!Q1201</f>
        <v>3.81</v>
      </c>
      <c r="S126" s="176">
        <f>A!R1201</f>
        <v>37741</v>
      </c>
      <c r="T126" s="164">
        <f>A!S1201</f>
        <v>15</v>
      </c>
      <c r="U126" s="188">
        <f t="shared" si="13"/>
        <v>3.7589999999999999</v>
      </c>
      <c r="V126" s="152">
        <f t="shared" si="14"/>
        <v>3.8834748713994482</v>
      </c>
      <c r="W126" s="27">
        <f t="shared" si="12"/>
        <v>3.2703393122506343E-2</v>
      </c>
      <c r="Y126" s="222">
        <f>A!T1201</f>
        <v>0</v>
      </c>
      <c r="Z126" s="681">
        <f>A!U1201</f>
        <v>0</v>
      </c>
      <c r="AA126" s="673">
        <f>A!V1201</f>
        <v>0</v>
      </c>
    </row>
    <row r="127" spans="2:27" ht="12" customHeight="1">
      <c r="B127" s="173" t="s">
        <v>115</v>
      </c>
      <c r="C127" s="152">
        <f>A!B1202</f>
        <v>4.2751401713091282</v>
      </c>
      <c r="D127" s="180" t="str">
        <f>A!C1202</f>
        <v>13-Oct</v>
      </c>
      <c r="E127" s="164">
        <f>A!D1202</f>
        <v>1</v>
      </c>
      <c r="F127" s="379">
        <f>A!E1202</f>
        <v>7.367</v>
      </c>
      <c r="G127" s="176">
        <f>A!F1202</f>
        <v>38057</v>
      </c>
      <c r="H127" s="164">
        <f>A!G1202</f>
        <v>10</v>
      </c>
      <c r="I127" s="379">
        <f>A!H1202</f>
        <v>5.3010000000000002</v>
      </c>
      <c r="J127" s="176">
        <f>A!I1202</f>
        <v>38273</v>
      </c>
      <c r="K127" s="164">
        <f>A!J1202</f>
        <v>9</v>
      </c>
      <c r="L127" s="379">
        <f>A!K1202</f>
        <v>4.2343046633347674</v>
      </c>
      <c r="M127" s="176" t="str">
        <f>A!L1202</f>
        <v>03/16</v>
      </c>
      <c r="N127" s="164" t="str">
        <f>A!M1202</f>
        <v>10:00</v>
      </c>
      <c r="O127" s="379">
        <f>A!N1202</f>
        <v>4.1846218842416558</v>
      </c>
      <c r="P127" s="176">
        <f>A!O1202</f>
        <v>76</v>
      </c>
      <c r="Q127" s="164">
        <f>A!P1202</f>
        <v>10</v>
      </c>
      <c r="R127" s="379">
        <f>A!Q1202</f>
        <v>4.1399999999999997</v>
      </c>
      <c r="S127" s="176">
        <f>A!R1202</f>
        <v>37741</v>
      </c>
      <c r="T127" s="164">
        <f>A!S1202</f>
        <v>16</v>
      </c>
      <c r="U127" s="188">
        <f t="shared" si="13"/>
        <v>4.1399999999999997</v>
      </c>
      <c r="V127" s="152">
        <f t="shared" si="14"/>
        <v>7.367</v>
      </c>
      <c r="W127" s="27">
        <f t="shared" si="12"/>
        <v>0.65629300430012072</v>
      </c>
      <c r="Y127" s="222">
        <f>A!T1202</f>
        <v>0</v>
      </c>
      <c r="Z127" s="681">
        <f>A!U1202</f>
        <v>0</v>
      </c>
      <c r="AA127" s="673">
        <f>A!V1202</f>
        <v>0</v>
      </c>
    </row>
    <row r="128" spans="2:27" ht="12" customHeight="1">
      <c r="B128" s="173" t="s">
        <v>121</v>
      </c>
      <c r="C128" s="152">
        <f>A!B1203</f>
        <v>4.6925417995477332</v>
      </c>
      <c r="D128" s="180" t="str">
        <f>A!C1203</f>
        <v>05-Oct</v>
      </c>
      <c r="E128" s="164">
        <f>A!D1203</f>
        <v>1</v>
      </c>
      <c r="F128" s="379">
        <f>A!E1203</f>
        <v>7.367</v>
      </c>
      <c r="G128" s="176">
        <f>A!F1203</f>
        <v>38057</v>
      </c>
      <c r="H128" s="164">
        <f>A!G1203</f>
        <v>10</v>
      </c>
      <c r="I128" s="379">
        <f>A!H1203</f>
        <v>5.3010000000000002</v>
      </c>
      <c r="J128" s="176">
        <f>A!I1203</f>
        <v>38273</v>
      </c>
      <c r="K128" s="164">
        <f>A!J1203</f>
        <v>9</v>
      </c>
      <c r="L128" s="379">
        <f>A!K1203</f>
        <v>4.7068960244008551</v>
      </c>
      <c r="M128" s="176" t="str">
        <f>A!L1203</f>
        <v>10/05</v>
      </c>
      <c r="N128" s="164" t="str">
        <f>A!M1203</f>
        <v>01:00</v>
      </c>
      <c r="O128" s="379">
        <f>A!N1203</f>
        <v>4.6895843211632684</v>
      </c>
      <c r="P128" s="176">
        <f>A!O1203</f>
        <v>278</v>
      </c>
      <c r="Q128" s="164">
        <f>A!P1203</f>
        <v>24</v>
      </c>
      <c r="R128" s="379">
        <f>A!Q1203</f>
        <v>4.53</v>
      </c>
      <c r="S128" s="176">
        <f>A!R1203</f>
        <v>37745</v>
      </c>
      <c r="T128" s="164">
        <f>A!S1203</f>
        <v>3</v>
      </c>
      <c r="U128" s="188">
        <f t="shared" si="13"/>
        <v>4.53</v>
      </c>
      <c r="V128" s="152">
        <f t="shared" si="14"/>
        <v>7.367</v>
      </c>
      <c r="W128" s="27">
        <f t="shared" si="12"/>
        <v>0.54405944806925122</v>
      </c>
      <c r="Y128" s="222">
        <f>A!T1203</f>
        <v>0</v>
      </c>
      <c r="Z128" s="681">
        <f>A!U1203</f>
        <v>0</v>
      </c>
      <c r="AA128" s="673">
        <f>A!V1203</f>
        <v>0</v>
      </c>
    </row>
    <row r="129" spans="2:27" ht="12" customHeight="1">
      <c r="B129" s="173" t="s">
        <v>125</v>
      </c>
      <c r="C129" s="152">
        <f>A!B1204</f>
        <v>3.8137362627521112</v>
      </c>
      <c r="D129" s="180" t="str">
        <f>A!C1204</f>
        <v>30-Apr</v>
      </c>
      <c r="E129" s="164">
        <f>A!D1204</f>
        <v>15</v>
      </c>
      <c r="F129" s="379">
        <f>A!E1204</f>
        <v>4.8959999999999999</v>
      </c>
      <c r="G129" s="176">
        <f>A!F1204</f>
        <v>38062</v>
      </c>
      <c r="H129" s="164">
        <f>A!G1204</f>
        <v>10</v>
      </c>
      <c r="I129" s="379">
        <f>A!H1204</f>
        <v>4.6520000000000001</v>
      </c>
      <c r="J129" s="176">
        <f>A!I1204</f>
        <v>37696</v>
      </c>
      <c r="K129" s="164">
        <f>A!J1204</f>
        <v>10</v>
      </c>
      <c r="L129" s="379">
        <f>A!K1204</f>
        <v>3.8380322169715142</v>
      </c>
      <c r="M129" s="176" t="str">
        <f>A!L1204</f>
        <v>04/30</v>
      </c>
      <c r="N129" s="164" t="str">
        <f>A!M1204</f>
        <v>15:00</v>
      </c>
      <c r="O129" s="379">
        <f>A!N1204</f>
        <v>3.8017291066282426</v>
      </c>
      <c r="P129" s="176">
        <f>A!O1204</f>
        <v>121</v>
      </c>
      <c r="Q129" s="164">
        <f>A!P1204</f>
        <v>16</v>
      </c>
      <c r="R129" s="379">
        <f>A!Q1204</f>
        <v>3.84</v>
      </c>
      <c r="S129" s="176">
        <f>A!R1204</f>
        <v>37741</v>
      </c>
      <c r="T129" s="164">
        <f>A!S1204</f>
        <v>16</v>
      </c>
      <c r="U129" s="188">
        <f t="shared" si="13"/>
        <v>3.8017291066282426</v>
      </c>
      <c r="V129" s="152">
        <f t="shared" si="14"/>
        <v>4.8959999999999999</v>
      </c>
      <c r="W129" s="27">
        <f t="shared" si="12"/>
        <v>0.26430070640498565</v>
      </c>
      <c r="Y129" s="222">
        <f>A!T1204</f>
        <v>0</v>
      </c>
      <c r="Z129" s="681">
        <f>A!U1204</f>
        <v>0</v>
      </c>
      <c r="AA129" s="673">
        <f>A!V1204</f>
        <v>0</v>
      </c>
    </row>
    <row r="130" spans="2:27" ht="12" customHeight="1">
      <c r="B130" s="173" t="s">
        <v>127</v>
      </c>
      <c r="C130" s="152">
        <f>A!B1205</f>
        <v>3.9855085757608739</v>
      </c>
      <c r="D130" s="180" t="str">
        <f>A!C1205</f>
        <v>16-Mar</v>
      </c>
      <c r="E130" s="164">
        <f>A!D1205</f>
        <v>10</v>
      </c>
      <c r="F130" s="379">
        <f>A!E1205</f>
        <v>6.2329999999999997</v>
      </c>
      <c r="G130" s="176">
        <f>A!F1205</f>
        <v>38057</v>
      </c>
      <c r="H130" s="164">
        <f>A!G1205</f>
        <v>10</v>
      </c>
      <c r="I130" s="379">
        <f>A!H1205</f>
        <v>5.6779999999999999</v>
      </c>
      <c r="J130" s="176">
        <f>A!I1205</f>
        <v>38057</v>
      </c>
      <c r="K130" s="164">
        <f>A!J1205</f>
        <v>10</v>
      </c>
      <c r="L130" s="379">
        <f>A!K1205</f>
        <v>4.0073845360475628</v>
      </c>
      <c r="M130" s="176" t="str">
        <f>A!L1205</f>
        <v>04/30</v>
      </c>
      <c r="N130" s="164" t="str">
        <f>A!M1205</f>
        <v>15:00</v>
      </c>
      <c r="O130" s="379">
        <f>A!N1205</f>
        <v>3.9857984589817197</v>
      </c>
      <c r="P130" s="176">
        <f>A!O1205</f>
        <v>121</v>
      </c>
      <c r="Q130" s="164">
        <f>A!P1205</f>
        <v>16</v>
      </c>
      <c r="R130" s="379">
        <f>A!Q1205</f>
        <v>4</v>
      </c>
      <c r="S130" s="176">
        <f>A!R1205</f>
        <v>37741</v>
      </c>
      <c r="T130" s="164">
        <f>A!S1205</f>
        <v>16</v>
      </c>
      <c r="U130" s="188">
        <f t="shared" si="13"/>
        <v>3.9855085757608739</v>
      </c>
      <c r="V130" s="152">
        <f t="shared" si="14"/>
        <v>6.2329999999999997</v>
      </c>
      <c r="W130" s="27">
        <f t="shared" si="12"/>
        <v>0.48351013532032067</v>
      </c>
      <c r="Y130" s="222">
        <f>A!T1205</f>
        <v>0</v>
      </c>
      <c r="Z130" s="681">
        <f>A!U1205</f>
        <v>0</v>
      </c>
      <c r="AA130" s="673">
        <f>A!V1205</f>
        <v>0</v>
      </c>
    </row>
    <row r="131" spans="2:27" ht="12" customHeight="1">
      <c r="B131" s="173" t="s">
        <v>130</v>
      </c>
      <c r="C131" s="152">
        <f>A!B1206</f>
        <v>4.7177562254396657</v>
      </c>
      <c r="D131" s="180" t="str">
        <f>A!C1206</f>
        <v>13-Oct</v>
      </c>
      <c r="E131" s="164">
        <f>A!D1206</f>
        <v>1</v>
      </c>
      <c r="F131" s="379">
        <f>A!E1206</f>
        <v>6.3250000000000002</v>
      </c>
      <c r="G131" s="176">
        <f>A!F1206</f>
        <v>38089</v>
      </c>
      <c r="H131" s="164">
        <f>A!G1206</f>
        <v>9</v>
      </c>
      <c r="I131" s="379">
        <f>A!H1206</f>
        <v>6.0309999999999997</v>
      </c>
      <c r="J131" s="176">
        <f>A!I1206</f>
        <v>38062</v>
      </c>
      <c r="K131" s="164">
        <f>A!J1206</f>
        <v>10</v>
      </c>
      <c r="L131" s="379">
        <f>A!K1206</f>
        <v>4.677585150951554</v>
      </c>
      <c r="M131" s="176" t="str">
        <f>A!L1206</f>
        <v>03/16</v>
      </c>
      <c r="N131" s="164" t="str">
        <f>A!M1206</f>
        <v>10:00</v>
      </c>
      <c r="O131" s="379">
        <f>A!N1206</f>
        <v>4.6380543633762521</v>
      </c>
      <c r="P131" s="176">
        <f>A!O1206</f>
        <v>76</v>
      </c>
      <c r="Q131" s="164">
        <f>A!P1206</f>
        <v>10</v>
      </c>
      <c r="R131" s="379">
        <f>A!Q1206</f>
        <v>4.4000000000000004</v>
      </c>
      <c r="S131" s="176">
        <f>A!R1206</f>
        <v>37696</v>
      </c>
      <c r="T131" s="164">
        <f>A!S1206</f>
        <v>10</v>
      </c>
      <c r="U131" s="188">
        <f t="shared" si="13"/>
        <v>4.4000000000000004</v>
      </c>
      <c r="V131" s="152">
        <f t="shared" si="14"/>
        <v>6.3250000000000002</v>
      </c>
      <c r="W131" s="27">
        <f t="shared" si="12"/>
        <v>0.37512915477850906</v>
      </c>
      <c r="Y131" s="222">
        <f>A!T1206</f>
        <v>0</v>
      </c>
      <c r="Z131" s="681">
        <f>A!U1206</f>
        <v>0</v>
      </c>
      <c r="AA131" s="673">
        <f>A!V1206</f>
        <v>0</v>
      </c>
    </row>
    <row r="132" spans="2:27" ht="12" customHeight="1">
      <c r="B132" s="173" t="s">
        <v>132</v>
      </c>
      <c r="C132" s="152">
        <f>A!B1207</f>
        <v>4.0060722426657005</v>
      </c>
      <c r="D132" s="180" t="str">
        <f>A!C1207</f>
        <v>02-Nov</v>
      </c>
      <c r="E132" s="164">
        <f>A!D1207</f>
        <v>1</v>
      </c>
      <c r="F132" s="379">
        <f>A!E1207</f>
        <v>3.9809999999999999</v>
      </c>
      <c r="G132" s="176">
        <f>A!F1207</f>
        <v>38057</v>
      </c>
      <c r="H132" s="164">
        <f>A!G1207</f>
        <v>10</v>
      </c>
      <c r="I132" s="379">
        <f>A!H1207</f>
        <v>3.85</v>
      </c>
      <c r="J132" s="176">
        <f>A!I1207</f>
        <v>38273</v>
      </c>
      <c r="K132" s="164">
        <f>A!J1207</f>
        <v>9</v>
      </c>
      <c r="L132" s="379">
        <f>A!K1207</f>
        <v>3.9201773014371066</v>
      </c>
      <c r="M132" s="176" t="str">
        <f>A!L1207</f>
        <v>03/16</v>
      </c>
      <c r="N132" s="164" t="str">
        <f>A!M1207</f>
        <v>10:00</v>
      </c>
      <c r="O132" s="379">
        <f>A!N1207</f>
        <v>3.8400447427293063</v>
      </c>
      <c r="P132" s="176">
        <f>A!O1207</f>
        <v>76</v>
      </c>
      <c r="Q132" s="164">
        <f>A!P1207</f>
        <v>10</v>
      </c>
      <c r="R132" s="379">
        <f>A!Q1207</f>
        <v>3.88</v>
      </c>
      <c r="S132" s="176">
        <f>A!R1207</f>
        <v>37696</v>
      </c>
      <c r="T132" s="164">
        <f>A!S1207</f>
        <v>10</v>
      </c>
      <c r="U132" s="188">
        <f t="shared" si="13"/>
        <v>3.8400447427293063</v>
      </c>
      <c r="V132" s="152">
        <f t="shared" si="14"/>
        <v>4.0060722426657005</v>
      </c>
      <c r="W132" s="27">
        <f t="shared" si="12"/>
        <v>4.2430996836679426E-2</v>
      </c>
      <c r="Y132" s="222">
        <f>A!T1207</f>
        <v>0</v>
      </c>
      <c r="Z132" s="681">
        <f>A!U1207</f>
        <v>0</v>
      </c>
      <c r="AA132" s="673">
        <f>A!V1207</f>
        <v>0</v>
      </c>
    </row>
    <row r="133" spans="2:27" ht="12" customHeight="1">
      <c r="B133" s="173" t="s">
        <v>135</v>
      </c>
      <c r="C133" s="152">
        <f>A!B1208</f>
        <v>3.4559785684339444</v>
      </c>
      <c r="D133" s="180" t="str">
        <f>A!C1208</f>
        <v>30-Apr</v>
      </c>
      <c r="E133" s="164">
        <f>A!D1208</f>
        <v>15</v>
      </c>
      <c r="F133" s="379">
        <f>A!E1208</f>
        <v>3.456</v>
      </c>
      <c r="G133" s="176">
        <f>A!F1208</f>
        <v>38107</v>
      </c>
      <c r="H133" s="164">
        <f>A!G1208</f>
        <v>16</v>
      </c>
      <c r="I133" s="379">
        <f>A!H1208</f>
        <v>3.4550000000000001</v>
      </c>
      <c r="J133" s="176">
        <f>A!I1208</f>
        <v>38107</v>
      </c>
      <c r="K133" s="164">
        <f>A!J1208</f>
        <v>16</v>
      </c>
      <c r="L133" s="379">
        <f>A!K1208</f>
        <v>3.5169385894725456</v>
      </c>
      <c r="M133" s="176" t="str">
        <f>A!L1208</f>
        <v>03/16</v>
      </c>
      <c r="N133" s="164" t="str">
        <f>A!M1208</f>
        <v>10:00</v>
      </c>
      <c r="O133" s="379">
        <f>A!N1208</f>
        <v>3.6666666666666665</v>
      </c>
      <c r="P133" s="176">
        <f>A!O1208</f>
        <v>71</v>
      </c>
      <c r="Q133" s="164">
        <f>A!P1208</f>
        <v>22</v>
      </c>
      <c r="R133" s="379">
        <f>A!Q1208</f>
        <v>3.69</v>
      </c>
      <c r="S133" s="176">
        <f>A!R1208</f>
        <v>37911</v>
      </c>
      <c r="T133" s="164">
        <f>A!S1208</f>
        <v>5</v>
      </c>
      <c r="U133" s="188">
        <f t="shared" si="13"/>
        <v>3.4550000000000001</v>
      </c>
      <c r="V133" s="152">
        <f t="shared" si="14"/>
        <v>3.69</v>
      </c>
      <c r="W133" s="27">
        <f t="shared" si="12"/>
        <v>6.6382356136970924E-2</v>
      </c>
      <c r="Y133" s="222">
        <f>A!T1208</f>
        <v>0</v>
      </c>
      <c r="Z133" s="681">
        <f>A!U1208</f>
        <v>0</v>
      </c>
      <c r="AA133" s="673">
        <f>A!V1208</f>
        <v>0</v>
      </c>
    </row>
    <row r="134" spans="2:27" ht="12" customHeight="1" thickBot="1">
      <c r="B134" s="174" t="s">
        <v>138</v>
      </c>
      <c r="C134" s="152">
        <f>A!B1209</f>
        <v>4.2504539844715268</v>
      </c>
      <c r="D134" s="180" t="str">
        <f>A!C1209</f>
        <v>16-Mar</v>
      </c>
      <c r="E134" s="164">
        <f>A!D1209</f>
        <v>10</v>
      </c>
      <c r="F134" s="379">
        <f>A!E1209</f>
        <v>4.2750000000000004</v>
      </c>
      <c r="G134" s="176">
        <f>A!F1209</f>
        <v>38062</v>
      </c>
      <c r="H134" s="164">
        <f>A!G1209</f>
        <v>10</v>
      </c>
      <c r="I134" s="379">
        <f>A!H1209</f>
        <v>4.4279999999999999</v>
      </c>
      <c r="J134" s="176">
        <f>A!I1209</f>
        <v>38062</v>
      </c>
      <c r="K134" s="164">
        <f>A!J1209</f>
        <v>10</v>
      </c>
      <c r="L134" s="379">
        <f>A!K1209</f>
        <v>4.2156644359779252</v>
      </c>
      <c r="M134" s="176" t="str">
        <f>A!L1209</f>
        <v>03/16</v>
      </c>
      <c r="N134" s="164" t="str">
        <f>A!M1209</f>
        <v>10:00</v>
      </c>
      <c r="O134" s="379">
        <f>A!N1209</f>
        <v>4.1564885496183201</v>
      </c>
      <c r="P134" s="176">
        <f>A!O1209</f>
        <v>76</v>
      </c>
      <c r="Q134" s="164">
        <f>A!P1209</f>
        <v>10</v>
      </c>
      <c r="R134" s="379">
        <f>A!Q1209</f>
        <v>4.17</v>
      </c>
      <c r="S134" s="176">
        <f>A!R1209</f>
        <v>37696</v>
      </c>
      <c r="T134" s="164">
        <f>A!S1209</f>
        <v>10</v>
      </c>
      <c r="U134" s="188">
        <f t="shared" si="13"/>
        <v>4.1564885496183201</v>
      </c>
      <c r="V134" s="152">
        <f t="shared" si="14"/>
        <v>4.4279999999999999</v>
      </c>
      <c r="W134" s="27">
        <f t="shared" si="12"/>
        <v>6.3896054885166309E-2</v>
      </c>
      <c r="Y134" s="222">
        <f>A!T1209</f>
        <v>0</v>
      </c>
      <c r="Z134" s="681">
        <f>A!U1209</f>
        <v>0</v>
      </c>
      <c r="AA134" s="673">
        <f>A!V1209</f>
        <v>0</v>
      </c>
    </row>
    <row r="135" spans="2:27" ht="12" customHeight="1" thickTop="1">
      <c r="B135" s="19" t="s">
        <v>250</v>
      </c>
      <c r="C135" s="20"/>
      <c r="D135" s="374"/>
      <c r="E135" s="196"/>
      <c r="F135" s="20"/>
      <c r="G135" s="179"/>
      <c r="H135" s="196"/>
      <c r="I135" s="20"/>
      <c r="J135" s="179"/>
      <c r="K135" s="196"/>
      <c r="L135" s="20"/>
      <c r="M135" s="179"/>
      <c r="N135" s="196"/>
      <c r="O135" s="20"/>
      <c r="P135" s="179"/>
      <c r="Q135" s="196"/>
      <c r="R135" s="196"/>
      <c r="S135" s="196"/>
      <c r="T135" s="196"/>
      <c r="U135" s="456" t="s">
        <v>24</v>
      </c>
      <c r="V135" s="183"/>
      <c r="W135" s="21"/>
      <c r="Y135" s="222"/>
      <c r="Z135" s="681"/>
      <c r="AA135" s="673"/>
    </row>
    <row r="136" spans="2:27" ht="12" customHeight="1">
      <c r="B136" s="170"/>
      <c r="C136" s="22" t="s">
        <v>245</v>
      </c>
      <c r="D136" s="180"/>
      <c r="E136" s="197"/>
      <c r="F136" s="377" t="s">
        <v>536</v>
      </c>
      <c r="G136" s="180"/>
      <c r="H136" s="197"/>
      <c r="I136" s="377" t="s">
        <v>258</v>
      </c>
      <c r="J136" s="106"/>
      <c r="K136" s="116"/>
      <c r="L136" s="384" t="s">
        <v>433</v>
      </c>
      <c r="M136" s="106"/>
      <c r="N136" s="116"/>
      <c r="O136" s="722" t="s">
        <v>469</v>
      </c>
      <c r="P136" s="120"/>
      <c r="Q136" s="48"/>
      <c r="R136" s="437" t="s">
        <v>482</v>
      </c>
      <c r="U136" s="188"/>
      <c r="V136" s="152"/>
      <c r="W136" s="23" t="s">
        <v>25</v>
      </c>
      <c r="Y136" s="222"/>
      <c r="Z136" s="681"/>
      <c r="AA136" s="673"/>
    </row>
    <row r="137" spans="2:27" ht="12" customHeight="1">
      <c r="B137" s="171"/>
      <c r="C137" s="24" t="s">
        <v>26</v>
      </c>
      <c r="D137" s="181" t="s">
        <v>77</v>
      </c>
      <c r="E137" s="198" t="s">
        <v>78</v>
      </c>
      <c r="F137" s="378" t="s">
        <v>13</v>
      </c>
      <c r="G137" s="181" t="s">
        <v>77</v>
      </c>
      <c r="H137" s="198" t="s">
        <v>78</v>
      </c>
      <c r="I137" s="378" t="s">
        <v>13</v>
      </c>
      <c r="J137" s="181" t="s">
        <v>77</v>
      </c>
      <c r="K137" s="199" t="s">
        <v>78</v>
      </c>
      <c r="L137" s="383" t="s">
        <v>434</v>
      </c>
      <c r="M137" s="181" t="s">
        <v>77</v>
      </c>
      <c r="N137" s="199" t="s">
        <v>78</v>
      </c>
      <c r="O137" s="373" t="s">
        <v>452</v>
      </c>
      <c r="P137" s="24" t="s">
        <v>77</v>
      </c>
      <c r="Q137" s="723" t="s">
        <v>78</v>
      </c>
      <c r="R137" s="353" t="s">
        <v>483</v>
      </c>
      <c r="S137" s="24" t="s">
        <v>77</v>
      </c>
      <c r="T137" s="177" t="s">
        <v>78</v>
      </c>
      <c r="U137" s="457" t="s">
        <v>27</v>
      </c>
      <c r="V137" s="184" t="s">
        <v>28</v>
      </c>
      <c r="W137" s="25" t="s">
        <v>259</v>
      </c>
      <c r="Y137" s="682" t="s">
        <v>522</v>
      </c>
      <c r="Z137" s="181" t="s">
        <v>77</v>
      </c>
      <c r="AA137" s="177" t="s">
        <v>78</v>
      </c>
    </row>
    <row r="138" spans="2:27" ht="12" customHeight="1">
      <c r="B138" s="172" t="s">
        <v>91</v>
      </c>
      <c r="C138" s="152">
        <f>A!B1220</f>
        <v>2.7930660792870952</v>
      </c>
      <c r="D138" s="180" t="str">
        <f>A!C1220</f>
        <v>24-Apr</v>
      </c>
      <c r="E138" s="164">
        <f>A!D1220</f>
        <v>17</v>
      </c>
      <c r="F138" s="379">
        <f>A!E1220</f>
        <v>2.798</v>
      </c>
      <c r="G138" s="176">
        <f>A!F1220</f>
        <v>37591</v>
      </c>
      <c r="H138" s="164">
        <f>A!G1220</f>
        <v>14</v>
      </c>
      <c r="I138" s="379">
        <f>A!H1220</f>
        <v>2.8010000000000002</v>
      </c>
      <c r="J138" s="176">
        <f>A!I1220</f>
        <v>37956</v>
      </c>
      <c r="K138" s="164">
        <f>A!J1220</f>
        <v>12</v>
      </c>
      <c r="L138" s="379">
        <f>A!K1220</f>
        <v>2.7743951632197765</v>
      </c>
      <c r="M138" s="176" t="str">
        <f>A!L1220</f>
        <v>06/13</v>
      </c>
      <c r="N138" s="164" t="str">
        <f>A!M1220</f>
        <v>17:00</v>
      </c>
      <c r="O138" s="379">
        <f>A!N1220</f>
        <v>2.7856291503490547</v>
      </c>
      <c r="P138" s="176">
        <f>A!O1220</f>
        <v>165</v>
      </c>
      <c r="Q138" s="164">
        <f>A!P1220</f>
        <v>17</v>
      </c>
      <c r="R138" s="379">
        <f>A!Q1220</f>
        <v>2.81</v>
      </c>
      <c r="S138" s="176">
        <f>A!R1220</f>
        <v>37786</v>
      </c>
      <c r="T138" s="164">
        <f>A!S1220</f>
        <v>12</v>
      </c>
      <c r="U138" s="188">
        <f t="shared" ref="U138:U156" si="15">MINA(C138,F138,I138,L138,O138,R138)</f>
        <v>2.7743951632197765</v>
      </c>
      <c r="V138" s="152">
        <f t="shared" ref="V138:V156" si="16">MAXA(C138,F138,I138,L138,O138,R138)</f>
        <v>2.81</v>
      </c>
      <c r="W138" s="27">
        <f t="shared" ref="W138:W157" si="17">(V138-U138)/AVERAGE(C138,F138,I138,L138,O138,R138)</f>
        <v>1.2744772022729976E-2</v>
      </c>
      <c r="Y138" s="222">
        <f>A!T1220</f>
        <v>0</v>
      </c>
      <c r="Z138" s="681">
        <f>A!U1220</f>
        <v>0</v>
      </c>
      <c r="AA138" s="673">
        <f>A!V1220</f>
        <v>0</v>
      </c>
    </row>
    <row r="139" spans="2:27" ht="12" customHeight="1">
      <c r="B139" s="173" t="s">
        <v>96</v>
      </c>
      <c r="C139" s="152">
        <f>A!B1221</f>
        <v>2.8652350328328815</v>
      </c>
      <c r="D139" s="180" t="str">
        <f>A!C1221</f>
        <v>01-Dec</v>
      </c>
      <c r="E139" s="164">
        <f>A!D1221</f>
        <v>15</v>
      </c>
      <c r="F139" s="379">
        <f>A!E1221</f>
        <v>2.85</v>
      </c>
      <c r="G139" s="176">
        <f>A!F1221</f>
        <v>37591</v>
      </c>
      <c r="H139" s="164">
        <f>A!G1221</f>
        <v>14</v>
      </c>
      <c r="I139" s="379">
        <f>A!H1221</f>
        <v>2.851</v>
      </c>
      <c r="J139" s="176">
        <f>A!I1221</f>
        <v>37591</v>
      </c>
      <c r="K139" s="164">
        <f>A!J1221</f>
        <v>12</v>
      </c>
      <c r="L139" s="379">
        <f>A!K1221</f>
        <v>2.8671282955036634</v>
      </c>
      <c r="M139" s="176" t="str">
        <f>A!L1221</f>
        <v>12/01</v>
      </c>
      <c r="N139" s="164" t="str">
        <f>A!M1221</f>
        <v>15:00</v>
      </c>
      <c r="O139" s="379">
        <f>A!N1221</f>
        <v>2.8726445743989606</v>
      </c>
      <c r="P139" s="176">
        <f>A!O1221</f>
        <v>336</v>
      </c>
      <c r="Q139" s="164">
        <f>A!P1221</f>
        <v>15</v>
      </c>
      <c r="R139" s="379">
        <f>A!Q1221</f>
        <v>2.87</v>
      </c>
      <c r="S139" s="176">
        <f>A!R1221</f>
        <v>37956</v>
      </c>
      <c r="T139" s="164">
        <f>A!S1221</f>
        <v>14</v>
      </c>
      <c r="U139" s="188">
        <f t="shared" si="15"/>
        <v>2.85</v>
      </c>
      <c r="V139" s="152">
        <f t="shared" si="16"/>
        <v>2.8726445743989606</v>
      </c>
      <c r="W139" s="27">
        <f t="shared" si="17"/>
        <v>7.9103041383745722E-3</v>
      </c>
      <c r="Y139" s="222">
        <f>A!T1221</f>
        <v>0</v>
      </c>
      <c r="Z139" s="681">
        <f>A!U1221</f>
        <v>0</v>
      </c>
      <c r="AA139" s="673">
        <f>A!V1221</f>
        <v>0</v>
      </c>
    </row>
    <row r="140" spans="2:27" ht="12" customHeight="1">
      <c r="B140" s="173" t="s">
        <v>98</v>
      </c>
      <c r="C140" s="152">
        <f>A!B1222</f>
        <v>2.8252032267490548</v>
      </c>
      <c r="D140" s="180" t="str">
        <f>A!C1222</f>
        <v>31-Mar</v>
      </c>
      <c r="E140" s="164">
        <f>A!D1222</f>
        <v>14</v>
      </c>
      <c r="F140" s="379">
        <f>A!E1222</f>
        <v>2.8010000000000002</v>
      </c>
      <c r="G140" s="176">
        <f>A!F1222</f>
        <v>37591</v>
      </c>
      <c r="H140" s="164">
        <f>A!G1222</f>
        <v>14</v>
      </c>
      <c r="I140" s="379">
        <f>A!H1222</f>
        <v>2.8050000000000002</v>
      </c>
      <c r="J140" s="176">
        <f>A!I1222</f>
        <v>37956</v>
      </c>
      <c r="K140" s="164">
        <f>A!J1222</f>
        <v>15</v>
      </c>
      <c r="L140" s="379">
        <f>A!K1222</f>
        <v>2.8230840440178455</v>
      </c>
      <c r="M140" s="176" t="str">
        <f>A!L1222</f>
        <v>03/31</v>
      </c>
      <c r="N140" s="164" t="str">
        <f>A!M1222</f>
        <v>15:00</v>
      </c>
      <c r="O140" s="379">
        <f>A!N1222</f>
        <v>2.8145224940805051</v>
      </c>
      <c r="P140" s="176">
        <f>A!O1222</f>
        <v>91</v>
      </c>
      <c r="Q140" s="164">
        <f>A!P1222</f>
        <v>15</v>
      </c>
      <c r="R140" s="379">
        <f>A!Q1222</f>
        <v>2.83</v>
      </c>
      <c r="S140" s="176">
        <f>A!R1222</f>
        <v>37711</v>
      </c>
      <c r="T140" s="164">
        <f>A!S1222</f>
        <v>14</v>
      </c>
      <c r="U140" s="188">
        <f t="shared" si="15"/>
        <v>2.8010000000000002</v>
      </c>
      <c r="V140" s="152">
        <f t="shared" si="16"/>
        <v>2.83</v>
      </c>
      <c r="W140" s="27">
        <f t="shared" si="17"/>
        <v>1.0296583157113886E-2</v>
      </c>
      <c r="Y140" s="222">
        <f>A!T1222</f>
        <v>0</v>
      </c>
      <c r="Z140" s="681">
        <f>A!U1222</f>
        <v>0</v>
      </c>
      <c r="AA140" s="673">
        <f>A!V1222</f>
        <v>0</v>
      </c>
    </row>
    <row r="141" spans="2:27" ht="12" customHeight="1">
      <c r="B141" s="173" t="s">
        <v>102</v>
      </c>
      <c r="C141" s="152">
        <f>A!B1223</f>
        <v>2.8252032267490548</v>
      </c>
      <c r="D141" s="180" t="str">
        <f>A!C1223</f>
        <v>31-Mar</v>
      </c>
      <c r="E141" s="164">
        <f>A!D1223</f>
        <v>14</v>
      </c>
      <c r="F141" s="379">
        <f>A!E1223</f>
        <v>2.798</v>
      </c>
      <c r="G141" s="176">
        <f>A!F1223</f>
        <v>37591</v>
      </c>
      <c r="H141" s="164">
        <f>A!G1223</f>
        <v>14</v>
      </c>
      <c r="I141" s="379">
        <f>A!H1223</f>
        <v>2.8010000000000002</v>
      </c>
      <c r="J141" s="176">
        <f>A!I1223</f>
        <v>37956</v>
      </c>
      <c r="K141" s="164">
        <f>A!J1223</f>
        <v>12</v>
      </c>
      <c r="L141" s="379">
        <f>A!K1223</f>
        <v>2.8285558394781116</v>
      </c>
      <c r="M141" s="176" t="str">
        <f>A!L1223</f>
        <v>03/31</v>
      </c>
      <c r="N141" s="164" t="str">
        <f>A!M1223</f>
        <v>15:00</v>
      </c>
      <c r="O141" s="379">
        <f>A!N1223</f>
        <v>2.8233253269282095</v>
      </c>
      <c r="P141" s="176">
        <f>A!O1223</f>
        <v>91</v>
      </c>
      <c r="Q141" s="164">
        <f>A!P1223</f>
        <v>15</v>
      </c>
      <c r="R141" s="379">
        <f>A!Q1223</f>
        <v>2.84</v>
      </c>
      <c r="S141" s="176">
        <f>A!R1223</f>
        <v>37711</v>
      </c>
      <c r="T141" s="164">
        <f>A!S1223</f>
        <v>14</v>
      </c>
      <c r="U141" s="188">
        <f t="shared" si="15"/>
        <v>2.798</v>
      </c>
      <c r="V141" s="152">
        <f t="shared" si="16"/>
        <v>2.84</v>
      </c>
      <c r="W141" s="27">
        <f t="shared" si="17"/>
        <v>1.4897064482721763E-2</v>
      </c>
      <c r="Y141" s="222">
        <f>A!T1223</f>
        <v>0</v>
      </c>
      <c r="Z141" s="681">
        <f>A!U1223</f>
        <v>0</v>
      </c>
      <c r="AA141" s="673">
        <f>A!V1223</f>
        <v>0</v>
      </c>
    </row>
    <row r="142" spans="2:27" ht="12" customHeight="1">
      <c r="B142" s="173" t="s">
        <v>356</v>
      </c>
      <c r="C142" s="152">
        <f>A!B1224</f>
        <v>2.8252032267490548</v>
      </c>
      <c r="D142" s="180" t="str">
        <f>A!C1224</f>
        <v>31-Mar</v>
      </c>
      <c r="E142" s="164">
        <f>A!D1224</f>
        <v>14</v>
      </c>
      <c r="F142" s="379">
        <f>A!E1224</f>
        <v>2.798</v>
      </c>
      <c r="G142" s="176">
        <f>A!F1224</f>
        <v>37591</v>
      </c>
      <c r="H142" s="164">
        <f>A!G1224</f>
        <v>14</v>
      </c>
      <c r="I142" s="379">
        <f>A!H1224</f>
        <v>2.8010000000000002</v>
      </c>
      <c r="J142" s="176">
        <f>A!I1224</f>
        <v>37956</v>
      </c>
      <c r="K142" s="164">
        <f>A!J1224</f>
        <v>12</v>
      </c>
      <c r="L142" s="379">
        <f>A!K1224</f>
        <v>2.8285558394781116</v>
      </c>
      <c r="M142" s="176" t="str">
        <f>A!L1224</f>
        <v>03/31</v>
      </c>
      <c r="N142" s="164" t="str">
        <f>A!M1224</f>
        <v>15:00</v>
      </c>
      <c r="O142" s="379">
        <f>A!N1224</f>
        <v>2.8233253269282095</v>
      </c>
      <c r="P142" s="176">
        <f>A!O1224</f>
        <v>91</v>
      </c>
      <c r="Q142" s="164">
        <f>A!P1224</f>
        <v>15</v>
      </c>
      <c r="R142" s="379">
        <f>A!Q1224</f>
        <v>2.84</v>
      </c>
      <c r="S142" s="176">
        <f>A!R1224</f>
        <v>37711</v>
      </c>
      <c r="T142" s="164">
        <f>A!S1224</f>
        <v>14</v>
      </c>
      <c r="U142" s="188">
        <f t="shared" si="15"/>
        <v>2.798</v>
      </c>
      <c r="V142" s="152">
        <f t="shared" si="16"/>
        <v>2.84</v>
      </c>
      <c r="W142" s="27">
        <f t="shared" si="17"/>
        <v>1.4897064482721763E-2</v>
      </c>
      <c r="Y142" s="222">
        <f>A!T1224</f>
        <v>0</v>
      </c>
      <c r="Z142" s="681">
        <f>A!U1224</f>
        <v>0</v>
      </c>
      <c r="AA142" s="673">
        <f>A!V1224</f>
        <v>0</v>
      </c>
    </row>
    <row r="143" spans="2:27" ht="12" customHeight="1">
      <c r="B143" s="173" t="s">
        <v>105</v>
      </c>
      <c r="C143" s="152">
        <f>A!B1225</f>
        <v>2.7904288847524867</v>
      </c>
      <c r="D143" s="180" t="str">
        <f>A!C1225</f>
        <v>24-Apr</v>
      </c>
      <c r="E143" s="164">
        <f>A!D1225</f>
        <v>17</v>
      </c>
      <c r="F143" s="379">
        <f>A!E1225</f>
        <v>2.798</v>
      </c>
      <c r="G143" s="176">
        <f>A!F1225</f>
        <v>38322</v>
      </c>
      <c r="H143" s="164">
        <f>A!G1225</f>
        <v>14</v>
      </c>
      <c r="I143" s="379">
        <f>A!H1225</f>
        <v>2.8010000000000002</v>
      </c>
      <c r="J143" s="176">
        <f>A!I1225</f>
        <v>37956</v>
      </c>
      <c r="K143" s="164">
        <f>A!J1225</f>
        <v>12</v>
      </c>
      <c r="L143" s="379">
        <f>A!K1225</f>
        <v>2.7743950798290444</v>
      </c>
      <c r="M143" s="176" t="str">
        <f>A!L1225</f>
        <v>06/13</v>
      </c>
      <c r="N143" s="164" t="str">
        <f>A!M1225</f>
        <v>17:00</v>
      </c>
      <c r="O143" s="379">
        <f>A!N1225</f>
        <v>2.7859087814840033</v>
      </c>
      <c r="P143" s="176">
        <f>A!O1225</f>
        <v>165</v>
      </c>
      <c r="Q143" s="164">
        <f>A!P1225</f>
        <v>17</v>
      </c>
      <c r="R143" s="379">
        <f>A!Q1225</f>
        <v>2.81</v>
      </c>
      <c r="S143" s="176">
        <f>A!R1225</f>
        <v>37786</v>
      </c>
      <c r="T143" s="164">
        <f>A!S1225</f>
        <v>12</v>
      </c>
      <c r="U143" s="188">
        <f t="shared" si="15"/>
        <v>2.7743950798290444</v>
      </c>
      <c r="V143" s="152">
        <f t="shared" si="16"/>
        <v>2.81</v>
      </c>
      <c r="W143" s="27">
        <f t="shared" si="17"/>
        <v>1.2746594725735395E-2</v>
      </c>
      <c r="Y143" s="222">
        <f>A!T1225</f>
        <v>0</v>
      </c>
      <c r="Z143" s="681">
        <f>A!U1225</f>
        <v>0</v>
      </c>
      <c r="AA143" s="673">
        <f>A!V1225</f>
        <v>0</v>
      </c>
    </row>
    <row r="144" spans="2:27" ht="12" customHeight="1">
      <c r="B144" s="173" t="s">
        <v>108</v>
      </c>
      <c r="C144" s="152">
        <f>A!B1226</f>
        <v>2.8252032267490548</v>
      </c>
      <c r="D144" s="180" t="str">
        <f>A!C1226</f>
        <v>31-Mar</v>
      </c>
      <c r="E144" s="164">
        <f>A!D1226</f>
        <v>14</v>
      </c>
      <c r="F144" s="379">
        <f>A!E1226</f>
        <v>2.7989999999999999</v>
      </c>
      <c r="G144" s="176">
        <f>A!F1226</f>
        <v>37591</v>
      </c>
      <c r="H144" s="164">
        <f>A!G1226</f>
        <v>14</v>
      </c>
      <c r="I144" s="379">
        <f>A!H1226</f>
        <v>2.8010000000000002</v>
      </c>
      <c r="J144" s="176">
        <f>A!I1226</f>
        <v>37956</v>
      </c>
      <c r="K144" s="164">
        <f>A!J1226</f>
        <v>12</v>
      </c>
      <c r="L144" s="379">
        <f>A!K1226</f>
        <v>2.8285581563625271</v>
      </c>
      <c r="M144" s="176" t="str">
        <f>A!L1226</f>
        <v>03/31</v>
      </c>
      <c r="N144" s="164" t="str">
        <f>A!M1226</f>
        <v>15:00</v>
      </c>
      <c r="O144" s="379">
        <f>A!N1226</f>
        <v>2.8233253269282095</v>
      </c>
      <c r="P144" s="176">
        <f>A!O1226</f>
        <v>91</v>
      </c>
      <c r="Q144" s="164">
        <f>A!P1226</f>
        <v>15</v>
      </c>
      <c r="R144" s="379">
        <f>A!Q1226</f>
        <v>2.84</v>
      </c>
      <c r="S144" s="176">
        <f>A!R1226</f>
        <v>37711</v>
      </c>
      <c r="T144" s="164">
        <f>A!S1226</f>
        <v>14</v>
      </c>
      <c r="U144" s="188">
        <f t="shared" si="15"/>
        <v>2.7989999999999999</v>
      </c>
      <c r="V144" s="152">
        <f t="shared" si="16"/>
        <v>2.84</v>
      </c>
      <c r="W144" s="27">
        <f t="shared" si="17"/>
        <v>1.4541510853284558E-2</v>
      </c>
      <c r="Y144" s="222">
        <f>A!T1226</f>
        <v>0</v>
      </c>
      <c r="Z144" s="681">
        <f>A!U1226</f>
        <v>0</v>
      </c>
      <c r="AA144" s="673">
        <f>A!V1226</f>
        <v>0</v>
      </c>
    </row>
    <row r="145" spans="2:27" ht="12" customHeight="1">
      <c r="B145" s="173" t="s">
        <v>109</v>
      </c>
      <c r="C145" s="152">
        <f>A!B1227</f>
        <v>2.7819111679738864</v>
      </c>
      <c r="D145" s="180" t="str">
        <f>A!C1227</f>
        <v>31-Mar</v>
      </c>
      <c r="E145" s="164">
        <f>A!D1227</f>
        <v>19</v>
      </c>
      <c r="F145" s="379">
        <f>A!E1227</f>
        <v>2.734</v>
      </c>
      <c r="G145" s="176">
        <f>A!F1227</f>
        <v>37593</v>
      </c>
      <c r="H145" s="164">
        <f>A!G1227</f>
        <v>15</v>
      </c>
      <c r="I145" s="379">
        <f>A!H1227</f>
        <v>2.7349999999999999</v>
      </c>
      <c r="J145" s="176">
        <f>A!I1227</f>
        <v>37958</v>
      </c>
      <c r="K145" s="164">
        <f>A!J1227</f>
        <v>13</v>
      </c>
      <c r="L145" s="379">
        <f>A!K1227</f>
        <v>2.7743947395698538</v>
      </c>
      <c r="M145" s="176" t="str">
        <f>A!L1227</f>
        <v>06/13</v>
      </c>
      <c r="N145" s="164" t="str">
        <f>A!M1227</f>
        <v>17:00</v>
      </c>
      <c r="O145" s="379"/>
      <c r="P145" s="176"/>
      <c r="Q145" s="164"/>
      <c r="R145" s="379">
        <f>A!Q1227</f>
        <v>2.81</v>
      </c>
      <c r="S145" s="176">
        <f>A!R1227</f>
        <v>37786</v>
      </c>
      <c r="T145" s="164">
        <f>A!S1227</f>
        <v>12</v>
      </c>
      <c r="U145" s="188">
        <f t="shared" si="15"/>
        <v>2.734</v>
      </c>
      <c r="V145" s="152">
        <f t="shared" si="16"/>
        <v>2.81</v>
      </c>
      <c r="W145" s="27">
        <f t="shared" si="17"/>
        <v>2.7465962989138119E-2</v>
      </c>
      <c r="Y145" s="222">
        <f>A!T1227</f>
        <v>0</v>
      </c>
      <c r="Z145" s="681">
        <f>A!U1227</f>
        <v>0</v>
      </c>
      <c r="AA145" s="673">
        <f>A!V1227</f>
        <v>0</v>
      </c>
    </row>
    <row r="146" spans="2:27" ht="12" customHeight="1">
      <c r="B146" s="173" t="s">
        <v>111</v>
      </c>
      <c r="C146" s="152">
        <f>A!B1228</f>
        <v>2.7858321565014403</v>
      </c>
      <c r="D146" s="180" t="str">
        <f>A!C1228</f>
        <v>24-Apr</v>
      </c>
      <c r="E146" s="164">
        <f>A!D1228</f>
        <v>17</v>
      </c>
      <c r="F146" s="379">
        <f>A!E1228</f>
        <v>2.798</v>
      </c>
      <c r="G146" s="176">
        <f>A!F1228</f>
        <v>38322</v>
      </c>
      <c r="H146" s="164">
        <f>A!G1228</f>
        <v>14</v>
      </c>
      <c r="I146" s="379">
        <f>A!H1228</f>
        <v>2.8010000000000002</v>
      </c>
      <c r="J146" s="176">
        <f>A!I1228</f>
        <v>37956</v>
      </c>
      <c r="K146" s="164">
        <f>A!J1228</f>
        <v>12</v>
      </c>
      <c r="L146" s="379"/>
      <c r="M146" s="176"/>
      <c r="N146" s="164"/>
      <c r="O146" s="379"/>
      <c r="P146" s="176"/>
      <c r="Q146" s="164"/>
      <c r="R146" s="379">
        <f>A!Q1228</f>
        <v>2.81</v>
      </c>
      <c r="S146" s="176">
        <f>A!R1228</f>
        <v>37786</v>
      </c>
      <c r="T146" s="164">
        <f>A!S1228</f>
        <v>12</v>
      </c>
      <c r="U146" s="188">
        <f t="shared" si="15"/>
        <v>2.7858321565014403</v>
      </c>
      <c r="V146" s="152">
        <f t="shared" si="16"/>
        <v>2.81</v>
      </c>
      <c r="W146" s="27">
        <f t="shared" si="17"/>
        <v>8.6353571579093832E-3</v>
      </c>
      <c r="Y146" s="222">
        <f>A!T1228</f>
        <v>0</v>
      </c>
      <c r="Z146" s="681">
        <f>A!U1228</f>
        <v>0</v>
      </c>
      <c r="AA146" s="673">
        <f>A!V1228</f>
        <v>0</v>
      </c>
    </row>
    <row r="147" spans="2:27" ht="12" customHeight="1">
      <c r="B147" s="173" t="s">
        <v>112</v>
      </c>
      <c r="C147" s="152">
        <f>A!B1229</f>
        <v>2.7930660792870952</v>
      </c>
      <c r="D147" s="180" t="str">
        <f>A!C1229</f>
        <v>24-Apr</v>
      </c>
      <c r="E147" s="164">
        <f>A!D1229</f>
        <v>17</v>
      </c>
      <c r="F147" s="379">
        <f>A!E1229</f>
        <v>2.798</v>
      </c>
      <c r="G147" s="176">
        <f>A!F1229</f>
        <v>38322</v>
      </c>
      <c r="H147" s="164">
        <f>A!G1229</f>
        <v>14</v>
      </c>
      <c r="I147" s="379">
        <f>A!H1229</f>
        <v>2.8010000000000002</v>
      </c>
      <c r="J147" s="176">
        <f>A!I1229</f>
        <v>37956</v>
      </c>
      <c r="K147" s="164">
        <f>A!J1229</f>
        <v>12</v>
      </c>
      <c r="L147" s="379">
        <f>A!K1229</f>
        <v>2.7743951632197765</v>
      </c>
      <c r="M147" s="176" t="str">
        <f>A!L1229</f>
        <v>06/13</v>
      </c>
      <c r="N147" s="164" t="str">
        <f>A!M1229</f>
        <v>17:00</v>
      </c>
      <c r="O147" s="379"/>
      <c r="P147" s="176"/>
      <c r="Q147" s="164"/>
      <c r="R147" s="379">
        <f>A!Q1229</f>
        <v>2.81</v>
      </c>
      <c r="S147" s="176">
        <f>A!R1229</f>
        <v>37786</v>
      </c>
      <c r="T147" s="164">
        <f>A!S1229</f>
        <v>12</v>
      </c>
      <c r="U147" s="188">
        <f t="shared" si="15"/>
        <v>2.7743951632197765</v>
      </c>
      <c r="V147" s="152">
        <f t="shared" si="16"/>
        <v>2.81</v>
      </c>
      <c r="W147" s="27">
        <f t="shared" si="17"/>
        <v>1.2737429082526936E-2</v>
      </c>
      <c r="Y147" s="222">
        <f>A!T1229</f>
        <v>0</v>
      </c>
      <c r="Z147" s="681">
        <f>A!U1229</f>
        <v>0</v>
      </c>
      <c r="AA147" s="673">
        <f>A!V1229</f>
        <v>0</v>
      </c>
    </row>
    <row r="148" spans="2:27" ht="12" customHeight="1">
      <c r="B148" s="173" t="s">
        <v>113</v>
      </c>
      <c r="C148" s="152">
        <f>A!B1230</f>
        <v>2.7711375787107482</v>
      </c>
      <c r="D148" s="180" t="str">
        <f>A!C1230</f>
        <v>30-Mar</v>
      </c>
      <c r="E148" s="164">
        <f>A!D1230</f>
        <v>19</v>
      </c>
      <c r="F148" s="379">
        <f>A!E1230</f>
        <v>2.734</v>
      </c>
      <c r="G148" s="176">
        <f>A!F1230</f>
        <v>37593</v>
      </c>
      <c r="H148" s="164">
        <f>A!G1230</f>
        <v>13</v>
      </c>
      <c r="I148" s="379">
        <f>A!H1230</f>
        <v>2.7349999999999999</v>
      </c>
      <c r="J148" s="176">
        <f>A!I1230</f>
        <v>37958</v>
      </c>
      <c r="K148" s="164">
        <f>A!J1230</f>
        <v>13</v>
      </c>
      <c r="L148" s="379">
        <f>A!K1230</f>
        <v>2.7743951632197814</v>
      </c>
      <c r="M148" s="176" t="str">
        <f>A!L1230</f>
        <v>06/13</v>
      </c>
      <c r="N148" s="164" t="str">
        <f>A!M1230</f>
        <v>17:00</v>
      </c>
      <c r="O148" s="379"/>
      <c r="P148" s="176"/>
      <c r="Q148" s="164"/>
      <c r="R148" s="379">
        <f>A!Q1230</f>
        <v>2.81</v>
      </c>
      <c r="S148" s="176">
        <f>A!R1230</f>
        <v>37786</v>
      </c>
      <c r="T148" s="164">
        <f>A!S1230</f>
        <v>12</v>
      </c>
      <c r="U148" s="188">
        <f t="shared" si="15"/>
        <v>2.734</v>
      </c>
      <c r="V148" s="152">
        <f t="shared" si="16"/>
        <v>2.81</v>
      </c>
      <c r="W148" s="27">
        <f t="shared" si="17"/>
        <v>2.7487366632467838E-2</v>
      </c>
      <c r="Y148" s="222">
        <f>A!T1230</f>
        <v>0</v>
      </c>
      <c r="Z148" s="681">
        <f>A!U1230</f>
        <v>0</v>
      </c>
      <c r="AA148" s="673">
        <f>A!V1230</f>
        <v>0</v>
      </c>
    </row>
    <row r="149" spans="2:27" ht="12" customHeight="1">
      <c r="B149" s="173" t="s">
        <v>114</v>
      </c>
      <c r="C149" s="152">
        <f>A!B1231</f>
        <v>2.7824815154757125</v>
      </c>
      <c r="D149" s="180" t="str">
        <f>A!C1231</f>
        <v>31-Mar</v>
      </c>
      <c r="E149" s="164">
        <f>A!D1231</f>
        <v>19</v>
      </c>
      <c r="F149" s="379">
        <f>A!E1231</f>
        <v>2.734</v>
      </c>
      <c r="G149" s="176">
        <f>A!F1231</f>
        <v>37593</v>
      </c>
      <c r="H149" s="164">
        <f>A!G1231</f>
        <v>13</v>
      </c>
      <c r="I149" s="379">
        <f>A!H1231</f>
        <v>2.7349999999999999</v>
      </c>
      <c r="J149" s="176">
        <f>A!I1231</f>
        <v>37958</v>
      </c>
      <c r="K149" s="164">
        <f>A!J1231</f>
        <v>13</v>
      </c>
      <c r="L149" s="379">
        <f>A!K1231</f>
        <v>2.7743951632197761</v>
      </c>
      <c r="M149" s="176" t="str">
        <f>A!L1231</f>
        <v>06/13</v>
      </c>
      <c r="N149" s="164" t="str">
        <f>A!M1231</f>
        <v>17:00</v>
      </c>
      <c r="O149" s="379"/>
      <c r="P149" s="176"/>
      <c r="Q149" s="164"/>
      <c r="R149" s="379">
        <f>A!Q1231</f>
        <v>2.81</v>
      </c>
      <c r="S149" s="176">
        <f>A!R1231</f>
        <v>37719</v>
      </c>
      <c r="T149" s="164">
        <f>A!S1231</f>
        <v>13</v>
      </c>
      <c r="U149" s="188">
        <f t="shared" si="15"/>
        <v>2.734</v>
      </c>
      <c r="V149" s="152">
        <f t="shared" si="16"/>
        <v>2.81</v>
      </c>
      <c r="W149" s="27">
        <f t="shared" si="17"/>
        <v>2.7464829936300682E-2</v>
      </c>
      <c r="Y149" s="222">
        <f>A!T1231</f>
        <v>0</v>
      </c>
      <c r="Z149" s="681">
        <f>A!U1231</f>
        <v>0</v>
      </c>
      <c r="AA149" s="673">
        <f>A!V1231</f>
        <v>0</v>
      </c>
    </row>
    <row r="150" spans="2:27" ht="12" customHeight="1">
      <c r="B150" s="173" t="s">
        <v>115</v>
      </c>
      <c r="C150" s="152">
        <f>A!B1232</f>
        <v>2.6851972253498229</v>
      </c>
      <c r="D150" s="180" t="str">
        <f>A!C1232</f>
        <v>30-Jul</v>
      </c>
      <c r="E150" s="164">
        <f>A!D1232</f>
        <v>12</v>
      </c>
      <c r="F150" s="379">
        <f>A!E1232</f>
        <v>2.6930000000000001</v>
      </c>
      <c r="G150" s="176">
        <f>A!F1232</f>
        <v>37466</v>
      </c>
      <c r="H150" s="164">
        <f>A!G1232</f>
        <v>12</v>
      </c>
      <c r="I150" s="379">
        <f>A!H1232</f>
        <v>2.6520000000000001</v>
      </c>
      <c r="J150" s="176">
        <f>A!I1232</f>
        <v>38076</v>
      </c>
      <c r="K150" s="164">
        <f>A!J1232</f>
        <v>17</v>
      </c>
      <c r="L150" s="379">
        <f>A!K1232</f>
        <v>2.6947432549631598</v>
      </c>
      <c r="M150" s="176" t="str">
        <f>A!L1232</f>
        <v>07/30</v>
      </c>
      <c r="N150" s="164" t="str">
        <f>A!M1232</f>
        <v>12:00</v>
      </c>
      <c r="O150" s="379">
        <f>A!N1232</f>
        <v>2.666464155528554</v>
      </c>
      <c r="P150" s="176">
        <f>A!O1232</f>
        <v>212</v>
      </c>
      <c r="Q150" s="164">
        <f>A!P1232</f>
        <v>12</v>
      </c>
      <c r="R150" s="379">
        <f>A!Q1232</f>
        <v>2.71</v>
      </c>
      <c r="S150" s="176">
        <f>A!R1232</f>
        <v>37831</v>
      </c>
      <c r="T150" s="164">
        <f>A!S1232</f>
        <v>12</v>
      </c>
      <c r="U150" s="188">
        <f t="shared" si="15"/>
        <v>2.6520000000000001</v>
      </c>
      <c r="V150" s="152">
        <f t="shared" si="16"/>
        <v>2.71</v>
      </c>
      <c r="W150" s="27">
        <f t="shared" si="17"/>
        <v>2.1613021215885413E-2</v>
      </c>
      <c r="Y150" s="222">
        <f>A!T1232</f>
        <v>0</v>
      </c>
      <c r="Z150" s="681">
        <f>A!U1232</f>
        <v>0</v>
      </c>
      <c r="AA150" s="673">
        <f>A!V1232</f>
        <v>0</v>
      </c>
    </row>
    <row r="151" spans="2:27" ht="12" customHeight="1">
      <c r="B151" s="173" t="s">
        <v>121</v>
      </c>
      <c r="C151" s="152">
        <f>A!B1233</f>
        <v>2.8879586954371632</v>
      </c>
      <c r="D151" s="180" t="str">
        <f>A!C1233</f>
        <v>31-Mar</v>
      </c>
      <c r="E151" s="164">
        <f>A!D1233</f>
        <v>15</v>
      </c>
      <c r="F151" s="379">
        <f>A!E1233</f>
        <v>2.8170000000000002</v>
      </c>
      <c r="G151" s="176">
        <f>A!F1233</f>
        <v>38082</v>
      </c>
      <c r="H151" s="164">
        <f>A!G1233</f>
        <v>17</v>
      </c>
      <c r="I151" s="379">
        <f>A!H1233</f>
        <v>2.6520000000000001</v>
      </c>
      <c r="J151" s="176">
        <f>A!I1233</f>
        <v>38076</v>
      </c>
      <c r="K151" s="164">
        <f>A!J1233</f>
        <v>17</v>
      </c>
      <c r="L151" s="379">
        <f>A!K1233</f>
        <v>2.8992500078842682</v>
      </c>
      <c r="M151" s="176" t="str">
        <f>A!L1233</f>
        <v>03/31</v>
      </c>
      <c r="N151" s="164" t="str">
        <f>A!M1233</f>
        <v>15:00</v>
      </c>
      <c r="O151" s="379">
        <f>A!N1233</f>
        <v>2.88173609088261</v>
      </c>
      <c r="P151" s="176">
        <f>A!O1233</f>
        <v>91</v>
      </c>
      <c r="Q151" s="164">
        <f>A!P1233</f>
        <v>15</v>
      </c>
      <c r="R151" s="379">
        <f>A!Q1233</f>
        <v>2.9</v>
      </c>
      <c r="S151" s="176">
        <f>A!R1233</f>
        <v>37711</v>
      </c>
      <c r="T151" s="164">
        <f>A!S1233</f>
        <v>14</v>
      </c>
      <c r="U151" s="188">
        <f t="shared" si="15"/>
        <v>2.6520000000000001</v>
      </c>
      <c r="V151" s="152">
        <f t="shared" si="16"/>
        <v>2.9</v>
      </c>
      <c r="W151" s="27">
        <f t="shared" si="17"/>
        <v>8.7334477131665894E-2</v>
      </c>
      <c r="Y151" s="222">
        <f>A!T1233</f>
        <v>0</v>
      </c>
      <c r="Z151" s="681">
        <f>A!U1233</f>
        <v>0</v>
      </c>
      <c r="AA151" s="673">
        <f>A!V1233</f>
        <v>0</v>
      </c>
    </row>
    <row r="152" spans="2:27" ht="12" customHeight="1">
      <c r="B152" s="173" t="s">
        <v>125</v>
      </c>
      <c r="C152" s="152">
        <f>A!B1234</f>
        <v>2.4416935229096444</v>
      </c>
      <c r="D152" s="180" t="str">
        <f>A!C1234</f>
        <v>30-Jul</v>
      </c>
      <c r="E152" s="164">
        <f>A!D1234</f>
        <v>12</v>
      </c>
      <c r="F152" s="379">
        <f>A!E1234</f>
        <v>2.4630000000000001</v>
      </c>
      <c r="G152" s="176">
        <f>A!F1234</f>
        <v>38082</v>
      </c>
      <c r="H152" s="164">
        <f>A!G1234</f>
        <v>17</v>
      </c>
      <c r="I152" s="379">
        <f>A!H1234</f>
        <v>2.3940000000000001</v>
      </c>
      <c r="J152" s="176">
        <f>A!I1234</f>
        <v>38082</v>
      </c>
      <c r="K152" s="164">
        <f>A!J1234</f>
        <v>17</v>
      </c>
      <c r="L152" s="379">
        <f>A!K1234</f>
        <v>2.4618368235724657</v>
      </c>
      <c r="M152" s="176" t="str">
        <f>A!L1234</f>
        <v>07/30</v>
      </c>
      <c r="N152" s="164" t="str">
        <f>A!M1234</f>
        <v>12:00</v>
      </c>
      <c r="O152" s="379">
        <f>A!N1234</f>
        <v>2.3333333333333335</v>
      </c>
      <c r="P152" s="176">
        <f>A!O1234</f>
        <v>29</v>
      </c>
      <c r="Q152" s="164">
        <f>A!P1234</f>
        <v>10</v>
      </c>
      <c r="R152" s="379">
        <f>A!Q1234</f>
        <v>2.4700000000000002</v>
      </c>
      <c r="S152" s="176">
        <f>A!R1234</f>
        <v>37832</v>
      </c>
      <c r="T152" s="164">
        <f>A!S1234</f>
        <v>12</v>
      </c>
      <c r="U152" s="188">
        <f t="shared" si="15"/>
        <v>2.3333333333333335</v>
      </c>
      <c r="V152" s="152">
        <f t="shared" si="16"/>
        <v>2.4700000000000002</v>
      </c>
      <c r="W152" s="27">
        <f t="shared" si="17"/>
        <v>5.6303740410346352E-2</v>
      </c>
      <c r="Y152" s="222">
        <f>A!T1234</f>
        <v>0</v>
      </c>
      <c r="Z152" s="681">
        <f>A!U1234</f>
        <v>0</v>
      </c>
      <c r="AA152" s="673">
        <f>A!V1234</f>
        <v>0</v>
      </c>
    </row>
    <row r="153" spans="2:27" ht="12" customHeight="1">
      <c r="B153" s="173" t="s">
        <v>127</v>
      </c>
      <c r="C153" s="152">
        <f>A!B1235</f>
        <v>2.5689338070033001</v>
      </c>
      <c r="D153" s="180" t="str">
        <f>A!C1235</f>
        <v>08-Jul</v>
      </c>
      <c r="E153" s="164">
        <f>A!D1235</f>
        <v>17</v>
      </c>
      <c r="F153" s="379">
        <f>A!E1235</f>
        <v>2.5720000000000001</v>
      </c>
      <c r="G153" s="176">
        <f>A!F1235</f>
        <v>37466</v>
      </c>
      <c r="H153" s="164">
        <f>A!G1235</f>
        <v>12</v>
      </c>
      <c r="I153" s="379">
        <f>A!H1235</f>
        <v>2.5619999999999998</v>
      </c>
      <c r="J153" s="176">
        <f>A!I1235</f>
        <v>38077</v>
      </c>
      <c r="K153" s="164">
        <f>A!J1235</f>
        <v>17</v>
      </c>
      <c r="L153" s="379">
        <f>A!K1235</f>
        <v>2.5776994604731649</v>
      </c>
      <c r="M153" s="176" t="str">
        <f>A!L1235</f>
        <v>07/30</v>
      </c>
      <c r="N153" s="164" t="str">
        <f>A!M1235</f>
        <v>12:00</v>
      </c>
      <c r="O153" s="379">
        <f>A!N1235</f>
        <v>2.4285714285714288</v>
      </c>
      <c r="P153" s="176">
        <f>A!O1235</f>
        <v>90</v>
      </c>
      <c r="Q153" s="164">
        <f>A!P1235</f>
        <v>17</v>
      </c>
      <c r="R153" s="379">
        <f>A!Q1235</f>
        <v>2.59</v>
      </c>
      <c r="S153" s="176">
        <f>A!R1235</f>
        <v>37831</v>
      </c>
      <c r="T153" s="164">
        <f>A!S1235</f>
        <v>12</v>
      </c>
      <c r="U153" s="188">
        <f t="shared" si="15"/>
        <v>2.4285714285714288</v>
      </c>
      <c r="V153" s="152">
        <f t="shared" si="16"/>
        <v>2.59</v>
      </c>
      <c r="W153" s="27">
        <f t="shared" si="17"/>
        <v>6.3308612951732623E-2</v>
      </c>
      <c r="Y153" s="222">
        <f>A!T1235</f>
        <v>0</v>
      </c>
      <c r="Z153" s="681">
        <f>A!U1235</f>
        <v>0</v>
      </c>
      <c r="AA153" s="673">
        <f>A!V1235</f>
        <v>0</v>
      </c>
    </row>
    <row r="154" spans="2:27" ht="12" customHeight="1">
      <c r="B154" s="173" t="s">
        <v>130</v>
      </c>
      <c r="C154" s="152">
        <f>A!B1236</f>
        <v>2.9110802754338714</v>
      </c>
      <c r="D154" s="180" t="str">
        <f>A!C1236</f>
        <v>14-Jul</v>
      </c>
      <c r="E154" s="164">
        <f>A!D1236</f>
        <v>17</v>
      </c>
      <c r="F154" s="379">
        <f>A!E1236</f>
        <v>2.9390000000000001</v>
      </c>
      <c r="G154" s="176">
        <f>A!F1236</f>
        <v>37832</v>
      </c>
      <c r="H154" s="164">
        <f>A!G1236</f>
        <v>12</v>
      </c>
      <c r="I154" s="379">
        <f>A!H1236</f>
        <v>2.8140000000000001</v>
      </c>
      <c r="J154" s="176">
        <f>A!I1236</f>
        <v>38077</v>
      </c>
      <c r="K154" s="164">
        <f>A!J1236</f>
        <v>17</v>
      </c>
      <c r="L154" s="379">
        <f>A!K1236</f>
        <v>2.9332871695007312</v>
      </c>
      <c r="M154" s="176" t="str">
        <f>A!L1236</f>
        <v>07/30</v>
      </c>
      <c r="N154" s="164" t="str">
        <f>A!M1236</f>
        <v>12:00</v>
      </c>
      <c r="O154" s="379">
        <f>A!N1236</f>
        <v>2.8940734188412205</v>
      </c>
      <c r="P154" s="176">
        <f>A!O1236</f>
        <v>211</v>
      </c>
      <c r="Q154" s="164">
        <f>A!P1236</f>
        <v>12</v>
      </c>
      <c r="R154" s="379">
        <f>A!Q1236</f>
        <v>2.9</v>
      </c>
      <c r="S154" s="176">
        <f>A!R1236</f>
        <v>37831</v>
      </c>
      <c r="T154" s="164">
        <f>A!S1236</f>
        <v>12</v>
      </c>
      <c r="U154" s="188">
        <f t="shared" si="15"/>
        <v>2.8140000000000001</v>
      </c>
      <c r="V154" s="152">
        <f t="shared" si="16"/>
        <v>2.9390000000000001</v>
      </c>
      <c r="W154" s="27">
        <f t="shared" si="17"/>
        <v>4.3124661485763112E-2</v>
      </c>
      <c r="Y154" s="222">
        <f>A!T1236</f>
        <v>0</v>
      </c>
      <c r="Z154" s="681">
        <f>A!U1236</f>
        <v>0</v>
      </c>
      <c r="AA154" s="673">
        <f>A!V1236</f>
        <v>0</v>
      </c>
    </row>
    <row r="155" spans="2:27" ht="12" customHeight="1">
      <c r="B155" s="173" t="s">
        <v>132</v>
      </c>
      <c r="C155" s="152">
        <f>A!B1237</f>
        <v>2.5012657327109995</v>
      </c>
      <c r="D155" s="180" t="str">
        <f>A!C1237</f>
        <v>30-Jul</v>
      </c>
      <c r="E155" s="164">
        <f>A!D1237</f>
        <v>12</v>
      </c>
      <c r="F155" s="379">
        <f>A!E1237</f>
        <v>2.4950000000000001</v>
      </c>
      <c r="G155" s="176">
        <f>A!F1237</f>
        <v>37466</v>
      </c>
      <c r="H155" s="164">
        <f>A!G1237</f>
        <v>12</v>
      </c>
      <c r="I155" s="379">
        <f>A!H1237</f>
        <v>2.4980000000000002</v>
      </c>
      <c r="J155" s="176">
        <f>A!I1237</f>
        <v>37466</v>
      </c>
      <c r="K155" s="164">
        <f>A!J1237</f>
        <v>12</v>
      </c>
      <c r="L155" s="379">
        <f>A!K1237</f>
        <v>2.4944901409355742</v>
      </c>
      <c r="M155" s="176" t="str">
        <f>A!L1237</f>
        <v>07/30</v>
      </c>
      <c r="N155" s="164" t="str">
        <f>A!M1237</f>
        <v>12:00</v>
      </c>
      <c r="O155" s="379">
        <f>A!N1237</f>
        <v>2.4732824427480917</v>
      </c>
      <c r="P155" s="176">
        <f>A!O1237</f>
        <v>211</v>
      </c>
      <c r="Q155" s="164">
        <f>A!P1237</f>
        <v>12</v>
      </c>
      <c r="R155" s="379">
        <f>A!Q1237</f>
        <v>2.52</v>
      </c>
      <c r="S155" s="176">
        <f>A!R1237</f>
        <v>37831</v>
      </c>
      <c r="T155" s="164">
        <f>A!S1237</f>
        <v>12</v>
      </c>
      <c r="U155" s="188">
        <f t="shared" si="15"/>
        <v>2.4732824427480917</v>
      </c>
      <c r="V155" s="152">
        <f t="shared" si="16"/>
        <v>2.52</v>
      </c>
      <c r="W155" s="27">
        <f t="shared" si="17"/>
        <v>1.8709426420616942E-2</v>
      </c>
      <c r="Y155" s="222">
        <f>A!T1237</f>
        <v>0</v>
      </c>
      <c r="Z155" s="681">
        <f>A!U1237</f>
        <v>0</v>
      </c>
      <c r="AA155" s="673">
        <f>A!V1237</f>
        <v>0</v>
      </c>
    </row>
    <row r="156" spans="2:27" ht="12" customHeight="1">
      <c r="B156" s="173" t="s">
        <v>135</v>
      </c>
      <c r="C156" s="152">
        <f>A!B1238</f>
        <v>2.2530468183317844</v>
      </c>
      <c r="D156" s="180" t="str">
        <f>A!C1238</f>
        <v>30-Jul</v>
      </c>
      <c r="E156" s="164">
        <f>A!D1238</f>
        <v>12</v>
      </c>
      <c r="F156" s="379">
        <f>A!E1238</f>
        <v>2.2610000000000001</v>
      </c>
      <c r="G156" s="176">
        <f>A!F1238</f>
        <v>37831</v>
      </c>
      <c r="H156" s="164">
        <f>A!G1238</f>
        <v>12</v>
      </c>
      <c r="I156" s="379">
        <f>A!H1238</f>
        <v>2.262</v>
      </c>
      <c r="J156" s="176">
        <f>A!I1238</f>
        <v>41120</v>
      </c>
      <c r="K156" s="164">
        <f>A!J1238</f>
        <v>12</v>
      </c>
      <c r="L156" s="379">
        <f>A!K1238</f>
        <v>2.2793721478784792</v>
      </c>
      <c r="M156" s="176" t="str">
        <f>A!L1238</f>
        <v>07/30</v>
      </c>
      <c r="N156" s="164" t="str">
        <f>A!M1238</f>
        <v>12:00</v>
      </c>
      <c r="O156" s="379">
        <f>A!N1238</f>
        <v>2.1428571428571428</v>
      </c>
      <c r="P156" s="176">
        <f>A!O1238</f>
        <v>96</v>
      </c>
      <c r="Q156" s="164">
        <f>A!P1238</f>
        <v>20</v>
      </c>
      <c r="R156" s="379">
        <f>A!Q1238</f>
        <v>2.2799999999999998</v>
      </c>
      <c r="S156" s="176">
        <f>A!R1238</f>
        <v>37831</v>
      </c>
      <c r="T156" s="164">
        <f>A!S1238</f>
        <v>12</v>
      </c>
      <c r="U156" s="188">
        <f t="shared" si="15"/>
        <v>2.1428571428571428</v>
      </c>
      <c r="V156" s="152">
        <f t="shared" si="16"/>
        <v>2.2799999999999998</v>
      </c>
      <c r="W156" s="27">
        <f t="shared" si="17"/>
        <v>6.1050622215965085E-2</v>
      </c>
      <c r="Y156" s="222">
        <f>A!T1238</f>
        <v>0</v>
      </c>
      <c r="Z156" s="681">
        <f>A!U1238</f>
        <v>0</v>
      </c>
      <c r="AA156" s="673">
        <f>A!V1238</f>
        <v>0</v>
      </c>
    </row>
    <row r="157" spans="2:27" ht="12" customHeight="1" thickBot="1">
      <c r="B157" s="174" t="s">
        <v>138</v>
      </c>
      <c r="C157" s="153">
        <f>A!B1239</f>
        <v>2.7325462089602159</v>
      </c>
      <c r="D157" s="385" t="str">
        <f>A!C1239</f>
        <v>14-Jul</v>
      </c>
      <c r="E157" s="167">
        <f>A!D1239</f>
        <v>17</v>
      </c>
      <c r="F157" s="734">
        <f>A!E1239</f>
        <v>2.72</v>
      </c>
      <c r="G157" s="182">
        <f>A!F1239</f>
        <v>37831</v>
      </c>
      <c r="H157" s="167">
        <f>A!G1239</f>
        <v>12</v>
      </c>
      <c r="I157" s="734">
        <f>A!H1239</f>
        <v>2.722</v>
      </c>
      <c r="J157" s="182">
        <f>A!I1239</f>
        <v>37467</v>
      </c>
      <c r="K157" s="167">
        <f>A!J1239</f>
        <v>12</v>
      </c>
      <c r="L157" s="734">
        <f>A!K1239</f>
        <v>2.6585379708444119</v>
      </c>
      <c r="M157" s="182" t="str">
        <f>A!L1239</f>
        <v>07/30</v>
      </c>
      <c r="N157" s="167" t="str">
        <f>A!M1239</f>
        <v>12:00</v>
      </c>
      <c r="O157" s="734">
        <f>A!N1239</f>
        <v>2.6920206659012629</v>
      </c>
      <c r="P157" s="182">
        <f>A!O1239</f>
        <v>211</v>
      </c>
      <c r="Q157" s="167">
        <f>A!P1239</f>
        <v>12</v>
      </c>
      <c r="R157" s="734">
        <f>A!Q1239</f>
        <v>2.72</v>
      </c>
      <c r="S157" s="182">
        <f>A!R1239</f>
        <v>37831</v>
      </c>
      <c r="T157" s="167">
        <f>A!S1239</f>
        <v>12</v>
      </c>
      <c r="U157" s="189">
        <f>MINA(C157,F157,I157,L157,O157,R157)</f>
        <v>2.6585379708444119</v>
      </c>
      <c r="V157" s="153">
        <f>MAXA(C157,F157,I157,L157,O157,R157)</f>
        <v>2.7325462089602159</v>
      </c>
      <c r="W157" s="30">
        <f t="shared" si="17"/>
        <v>2.7334352896602018E-2</v>
      </c>
      <c r="Y157" s="222">
        <f>A!T1239</f>
        <v>0</v>
      </c>
      <c r="Z157" s="681">
        <f>A!U1239</f>
        <v>0</v>
      </c>
      <c r="AA157" s="673">
        <f>A!V1239</f>
        <v>0</v>
      </c>
    </row>
    <row r="158" spans="2:27" ht="12" customHeight="1" thickTop="1">
      <c r="B158" s="238"/>
      <c r="C158" s="735"/>
      <c r="D158" s="736"/>
      <c r="E158" s="601"/>
      <c r="F158" s="735"/>
      <c r="G158" s="737"/>
      <c r="H158" s="601"/>
      <c r="I158" s="735"/>
      <c r="J158" s="737"/>
      <c r="K158" s="601"/>
      <c r="L158" s="735"/>
      <c r="M158" s="737"/>
      <c r="N158" s="601"/>
      <c r="O158" s="735"/>
      <c r="P158" s="737"/>
      <c r="Q158" s="601"/>
      <c r="R158" s="735"/>
      <c r="S158" s="737"/>
      <c r="T158" s="601"/>
      <c r="U158" s="735"/>
      <c r="V158" s="735"/>
      <c r="W158" s="602"/>
      <c r="Y158" s="222"/>
      <c r="Z158" s="681"/>
      <c r="AA158" s="673"/>
    </row>
    <row r="159" spans="2:27" ht="17.25" customHeight="1" thickBot="1">
      <c r="B159" s="192" t="s">
        <v>578</v>
      </c>
      <c r="C159" s="153"/>
      <c r="D159" s="385"/>
      <c r="E159" s="167"/>
      <c r="F159" s="153"/>
      <c r="G159" s="182"/>
      <c r="H159" s="167"/>
      <c r="I159" s="153"/>
      <c r="J159" s="182"/>
      <c r="K159" s="167"/>
      <c r="L159" s="153"/>
      <c r="M159" s="182"/>
      <c r="N159" s="167"/>
      <c r="O159" s="153"/>
      <c r="P159" s="182"/>
      <c r="Q159" s="167"/>
      <c r="R159" s="153"/>
      <c r="S159" s="182"/>
      <c r="T159" s="167"/>
      <c r="U159" s="153"/>
      <c r="V159" s="153"/>
      <c r="W159" s="603"/>
      <c r="Y159" s="222"/>
      <c r="Z159" s="681"/>
      <c r="AA159" s="673"/>
    </row>
    <row r="160" spans="2:27" ht="12" customHeight="1" thickTop="1">
      <c r="B160" s="19" t="s">
        <v>251</v>
      </c>
      <c r="C160" s="20"/>
      <c r="D160" s="374"/>
      <c r="E160" s="196"/>
      <c r="F160" s="20"/>
      <c r="G160" s="179"/>
      <c r="H160" s="196"/>
      <c r="I160" s="20"/>
      <c r="J160" s="179"/>
      <c r="K160" s="196"/>
      <c r="L160" s="20"/>
      <c r="M160" s="179"/>
      <c r="N160" s="196"/>
      <c r="O160" s="20"/>
      <c r="P160" s="179"/>
      <c r="Q160" s="196"/>
      <c r="R160" s="196"/>
      <c r="S160" s="196"/>
      <c r="T160" s="196"/>
      <c r="U160" s="147" t="s">
        <v>24</v>
      </c>
      <c r="V160" s="20"/>
      <c r="W160" s="21"/>
      <c r="Y160" s="676"/>
      <c r="Z160" s="681"/>
      <c r="AA160" s="673"/>
    </row>
    <row r="161" spans="2:27" ht="12" customHeight="1">
      <c r="B161" s="170"/>
      <c r="C161" s="22" t="s">
        <v>245</v>
      </c>
      <c r="D161" s="180"/>
      <c r="E161" s="197"/>
      <c r="F161" s="377" t="s">
        <v>536</v>
      </c>
      <c r="G161" s="180"/>
      <c r="H161" s="197"/>
      <c r="I161" s="377" t="s">
        <v>258</v>
      </c>
      <c r="J161" s="106"/>
      <c r="K161" s="116"/>
      <c r="L161" s="384" t="s">
        <v>433</v>
      </c>
      <c r="M161" s="106"/>
      <c r="N161" s="116"/>
      <c r="O161" s="722" t="s">
        <v>469</v>
      </c>
      <c r="P161" s="120"/>
      <c r="Q161" s="48"/>
      <c r="R161" s="437" t="s">
        <v>482</v>
      </c>
      <c r="U161" s="148"/>
      <c r="V161" s="18"/>
      <c r="W161" s="23" t="s">
        <v>25</v>
      </c>
      <c r="Y161" s="676"/>
      <c r="Z161" s="681"/>
      <c r="AA161" s="673"/>
    </row>
    <row r="162" spans="2:27" ht="12" customHeight="1">
      <c r="B162" s="171"/>
      <c r="C162" s="24" t="s">
        <v>26</v>
      </c>
      <c r="D162" s="181" t="s">
        <v>77</v>
      </c>
      <c r="E162" s="198" t="s">
        <v>78</v>
      </c>
      <c r="F162" s="378" t="s">
        <v>13</v>
      </c>
      <c r="G162" s="181" t="s">
        <v>77</v>
      </c>
      <c r="H162" s="198" t="s">
        <v>78</v>
      </c>
      <c r="I162" s="378" t="s">
        <v>13</v>
      </c>
      <c r="J162" s="181" t="s">
        <v>77</v>
      </c>
      <c r="K162" s="199" t="s">
        <v>78</v>
      </c>
      <c r="L162" s="383" t="s">
        <v>434</v>
      </c>
      <c r="M162" s="181" t="s">
        <v>77</v>
      </c>
      <c r="N162" s="199" t="s">
        <v>78</v>
      </c>
      <c r="O162" s="373" t="s">
        <v>452</v>
      </c>
      <c r="P162" s="24" t="s">
        <v>77</v>
      </c>
      <c r="Q162" s="723" t="s">
        <v>78</v>
      </c>
      <c r="R162" s="353" t="s">
        <v>483</v>
      </c>
      <c r="S162" s="24" t="s">
        <v>77</v>
      </c>
      <c r="T162" s="177" t="s">
        <v>78</v>
      </c>
      <c r="U162" s="149" t="s">
        <v>27</v>
      </c>
      <c r="V162" s="24" t="s">
        <v>28</v>
      </c>
      <c r="W162" s="25" t="s">
        <v>259</v>
      </c>
      <c r="Y162" s="680" t="s">
        <v>522</v>
      </c>
      <c r="Z162" s="181" t="s">
        <v>77</v>
      </c>
      <c r="AA162" s="177" t="s">
        <v>78</v>
      </c>
    </row>
    <row r="163" spans="2:27" ht="12" customHeight="1">
      <c r="B163" s="172" t="s">
        <v>91</v>
      </c>
      <c r="C163" s="154">
        <f>A!B1250</f>
        <v>26.1999</v>
      </c>
      <c r="D163" s="180" t="str">
        <f>A!C1250</f>
        <v>07-Jul</v>
      </c>
      <c r="E163" s="164">
        <f>A!D1250</f>
        <v>15</v>
      </c>
      <c r="F163" s="380">
        <f>A!E1250</f>
        <v>25.11</v>
      </c>
      <c r="G163" s="176">
        <f>A!F1250</f>
        <v>37368</v>
      </c>
      <c r="H163" s="164">
        <f>A!G1250</f>
        <v>15</v>
      </c>
      <c r="I163" s="380">
        <f>A!H1250</f>
        <v>25.11</v>
      </c>
      <c r="J163" s="176">
        <f>A!I1250</f>
        <v>37368</v>
      </c>
      <c r="K163" s="164">
        <f>A!J1250</f>
        <v>15</v>
      </c>
      <c r="L163" s="380">
        <f>A!K1250</f>
        <v>25.003273115435601</v>
      </c>
      <c r="M163" s="176" t="str">
        <f>A!L1250</f>
        <v>09/23</v>
      </c>
      <c r="N163" s="164" t="str">
        <f>A!M1250</f>
        <v>08:00</v>
      </c>
      <c r="O163" s="380">
        <f>A!N1250</f>
        <v>25.05</v>
      </c>
      <c r="P163" s="176">
        <f>A!O1250</f>
        <v>52</v>
      </c>
      <c r="Q163" s="164">
        <f>A!P1250</f>
        <v>17</v>
      </c>
      <c r="R163" s="380">
        <f>A!Q1250</f>
        <v>26.19</v>
      </c>
      <c r="S163" s="176">
        <f>A!R1250</f>
        <v>37928</v>
      </c>
      <c r="T163" s="164">
        <f>A!S1250</f>
        <v>15</v>
      </c>
      <c r="U163" s="190">
        <f>MINA(C163,F163,I163,L163,O163,R163)</f>
        <v>25.003273115435601</v>
      </c>
      <c r="V163" s="154">
        <f>MAXA(C163,F163,I163,L163,O163,R163)</f>
        <v>26.1999</v>
      </c>
      <c r="W163" s="27">
        <f t="shared" ref="W163:W182" si="18">(V163-U163)/AVERAGE(C163,F163,I163,L163,O163,R163)</f>
        <v>4.7030080410797225E-2</v>
      </c>
      <c r="Y163" s="598">
        <f>A!T1250</f>
        <v>0</v>
      </c>
      <c r="Z163" s="681">
        <f>A!U1250</f>
        <v>0</v>
      </c>
      <c r="AA163" s="673">
        <f>A!V1250</f>
        <v>0</v>
      </c>
    </row>
    <row r="164" spans="2:27" ht="12" customHeight="1">
      <c r="B164" s="173" t="s">
        <v>96</v>
      </c>
      <c r="C164" s="154">
        <f>A!B1251</f>
        <v>27.0778</v>
      </c>
      <c r="D164" s="180" t="str">
        <f>A!C1251</f>
        <v>20-Jul</v>
      </c>
      <c r="E164" s="164">
        <f>A!D1251</f>
        <v>15</v>
      </c>
      <c r="F164" s="380">
        <f>A!E1251</f>
        <v>26.89</v>
      </c>
      <c r="G164" s="176">
        <f>A!F1251</f>
        <v>38188</v>
      </c>
      <c r="H164" s="164">
        <f>A!G1251</f>
        <v>16</v>
      </c>
      <c r="I164" s="380">
        <f>A!H1251</f>
        <v>26.72</v>
      </c>
      <c r="J164" s="176">
        <f>A!I1251</f>
        <v>37457</v>
      </c>
      <c r="K164" s="164">
        <f>A!J1251</f>
        <v>16</v>
      </c>
      <c r="L164" s="380">
        <f>A!K1251</f>
        <v>26.5567001865351</v>
      </c>
      <c r="M164" s="176" t="str">
        <f>A!L1251</f>
        <v>07/20</v>
      </c>
      <c r="N164" s="164" t="str">
        <f>A!M1251</f>
        <v>16:00</v>
      </c>
      <c r="O164" s="380">
        <f>A!N1251</f>
        <v>26.62</v>
      </c>
      <c r="P164" s="176">
        <f>A!O1251</f>
        <v>202</v>
      </c>
      <c r="Q164" s="164">
        <f>A!P1251</f>
        <v>15</v>
      </c>
      <c r="R164" s="380">
        <f>A!Q1251</f>
        <v>27.19</v>
      </c>
      <c r="S164" s="176">
        <f>A!R1251</f>
        <v>37810</v>
      </c>
      <c r="T164" s="164">
        <f>A!S1251</f>
        <v>15</v>
      </c>
      <c r="U164" s="190">
        <f t="shared" ref="U164:U182" si="19">MINA(C164,F164,I164,L164,O164,R164)</f>
        <v>26.5567001865351</v>
      </c>
      <c r="V164" s="154">
        <f t="shared" ref="V164:V182" si="20">MAXA(C164,F164,I164,L164,O164,R164)</f>
        <v>27.19</v>
      </c>
      <c r="W164" s="27">
        <f t="shared" si="18"/>
        <v>2.3593248722565602E-2</v>
      </c>
      <c r="Y164" s="598">
        <f>A!T1251</f>
        <v>0</v>
      </c>
      <c r="Z164" s="681">
        <f>A!U1251</f>
        <v>0</v>
      </c>
      <c r="AA164" s="673">
        <f>A!V1251</f>
        <v>0</v>
      </c>
    </row>
    <row r="165" spans="2:27" ht="12" customHeight="1">
      <c r="B165" s="173" t="s">
        <v>98</v>
      </c>
      <c r="C165" s="154">
        <f>A!B1252</f>
        <v>32.360399999999998</v>
      </c>
      <c r="D165" s="180" t="str">
        <f>A!C1252</f>
        <v>20-Jul</v>
      </c>
      <c r="E165" s="164">
        <f>A!D1252</f>
        <v>15</v>
      </c>
      <c r="F165" s="380">
        <f>A!E1252</f>
        <v>31.61</v>
      </c>
      <c r="G165" s="176">
        <f>A!F1252</f>
        <v>37810</v>
      </c>
      <c r="H165" s="164">
        <f>A!G1252</f>
        <v>16</v>
      </c>
      <c r="I165" s="380">
        <f>A!H1252</f>
        <v>31.5</v>
      </c>
      <c r="J165" s="176">
        <f>A!I1252</f>
        <v>37810</v>
      </c>
      <c r="K165" s="164">
        <f>A!J1252</f>
        <v>16</v>
      </c>
      <c r="L165" s="380">
        <f>A!K1252</f>
        <v>31.843961653966101</v>
      </c>
      <c r="M165" s="176" t="str">
        <f>A!L1252</f>
        <v>07/20</v>
      </c>
      <c r="N165" s="164" t="str">
        <f>A!M1252</f>
        <v>15:00</v>
      </c>
      <c r="O165" s="380">
        <f>A!N1252</f>
        <v>32.32</v>
      </c>
      <c r="P165" s="176">
        <f>A!O1252</f>
        <v>202</v>
      </c>
      <c r="Q165" s="164">
        <f>A!P1252</f>
        <v>15</v>
      </c>
      <c r="R165" s="380">
        <f>A!Q1252</f>
        <v>31.65</v>
      </c>
      <c r="S165" s="176">
        <f>A!R1252</f>
        <v>37810</v>
      </c>
      <c r="T165" s="164">
        <f>A!S1252</f>
        <v>15</v>
      </c>
      <c r="U165" s="190">
        <f t="shared" si="19"/>
        <v>31.5</v>
      </c>
      <c r="V165" s="154">
        <f t="shared" si="20"/>
        <v>32.360399999999998</v>
      </c>
      <c r="W165" s="27">
        <f t="shared" si="18"/>
        <v>2.6988092258889339E-2</v>
      </c>
      <c r="Y165" s="598">
        <f>A!T1252</f>
        <v>0</v>
      </c>
      <c r="Z165" s="681">
        <f>A!U1252</f>
        <v>0</v>
      </c>
      <c r="AA165" s="673">
        <f>A!V1252</f>
        <v>0</v>
      </c>
    </row>
    <row r="166" spans="2:27" ht="12" customHeight="1">
      <c r="B166" s="173" t="s">
        <v>102</v>
      </c>
      <c r="C166" s="154">
        <f>A!B1253</f>
        <v>32.232100000000003</v>
      </c>
      <c r="D166" s="180" t="str">
        <f>A!C1253</f>
        <v>20-Jul</v>
      </c>
      <c r="E166" s="164">
        <f>A!D1253</f>
        <v>15</v>
      </c>
      <c r="F166" s="380">
        <f>A!E1253</f>
        <v>31.72</v>
      </c>
      <c r="G166" s="176">
        <f>A!F1253</f>
        <v>38176</v>
      </c>
      <c r="H166" s="164">
        <f>A!G1253</f>
        <v>16</v>
      </c>
      <c r="I166" s="380">
        <f>A!H1253</f>
        <v>32</v>
      </c>
      <c r="J166" s="176">
        <f>A!I1253</f>
        <v>37822</v>
      </c>
      <c r="K166" s="164">
        <f>A!J1253</f>
        <v>16</v>
      </c>
      <c r="L166" s="380">
        <f>A!K1253</f>
        <v>31.496252897193301</v>
      </c>
      <c r="M166" s="176" t="str">
        <f>A!L1253</f>
        <v>07/20</v>
      </c>
      <c r="N166" s="164" t="str">
        <f>A!M1253</f>
        <v>15:00</v>
      </c>
      <c r="O166" s="380">
        <f>A!N1253</f>
        <v>31.9</v>
      </c>
      <c r="P166" s="176">
        <f>A!O1253</f>
        <v>202</v>
      </c>
      <c r="Q166" s="164">
        <f>A!P1253</f>
        <v>15</v>
      </c>
      <c r="R166" s="380">
        <f>A!Q1253</f>
        <v>31.3</v>
      </c>
      <c r="S166" s="176">
        <f>A!R1253</f>
        <v>37810</v>
      </c>
      <c r="T166" s="164">
        <f>A!S1253</f>
        <v>15</v>
      </c>
      <c r="U166" s="190">
        <f t="shared" si="19"/>
        <v>31.3</v>
      </c>
      <c r="V166" s="154">
        <f t="shared" si="20"/>
        <v>32.232100000000003</v>
      </c>
      <c r="W166" s="27">
        <f t="shared" si="18"/>
        <v>2.9334635809918633E-2</v>
      </c>
      <c r="Y166" s="598">
        <f>A!T1253</f>
        <v>0</v>
      </c>
      <c r="Z166" s="681">
        <f>A!U1253</f>
        <v>0</v>
      </c>
      <c r="AA166" s="673">
        <f>A!V1253</f>
        <v>0</v>
      </c>
    </row>
    <row r="167" spans="2:27" ht="12" customHeight="1">
      <c r="B167" s="173" t="s">
        <v>356</v>
      </c>
      <c r="C167" s="154">
        <f>A!B1254</f>
        <v>32.306600000000003</v>
      </c>
      <c r="D167" s="180" t="str">
        <f>A!C1254</f>
        <v>20-Jul</v>
      </c>
      <c r="E167" s="164">
        <f>A!D1254</f>
        <v>15</v>
      </c>
      <c r="F167" s="380">
        <f>A!E1254</f>
        <v>31.61</v>
      </c>
      <c r="G167" s="176">
        <f>A!F1254</f>
        <v>37810</v>
      </c>
      <c r="H167" s="164">
        <f>A!G1254</f>
        <v>16</v>
      </c>
      <c r="I167" s="380">
        <f>A!H1254</f>
        <v>31.56</v>
      </c>
      <c r="J167" s="176">
        <f>A!I1254</f>
        <v>37810</v>
      </c>
      <c r="K167" s="164">
        <f>A!J1254</f>
        <v>16</v>
      </c>
      <c r="L167" s="380">
        <f>A!K1254</f>
        <v>31.745142194222701</v>
      </c>
      <c r="M167" s="176" t="str">
        <f>A!L1254</f>
        <v>07/20</v>
      </c>
      <c r="N167" s="164" t="str">
        <f>A!M1254</f>
        <v>15:00</v>
      </c>
      <c r="O167" s="380">
        <f>A!N1254</f>
        <v>32.15</v>
      </c>
      <c r="P167" s="176">
        <f>A!O1254</f>
        <v>202</v>
      </c>
      <c r="Q167" s="164">
        <f>A!P1254</f>
        <v>15</v>
      </c>
      <c r="R167" s="380">
        <f>A!Q1254</f>
        <v>31.58</v>
      </c>
      <c r="S167" s="176">
        <f>A!R1254</f>
        <v>37810</v>
      </c>
      <c r="T167" s="164">
        <f>A!S1254</f>
        <v>15</v>
      </c>
      <c r="U167" s="190">
        <f t="shared" si="19"/>
        <v>31.56</v>
      </c>
      <c r="V167" s="154">
        <f t="shared" si="20"/>
        <v>32.306600000000003</v>
      </c>
      <c r="W167" s="27">
        <f t="shared" si="18"/>
        <v>2.3459330344541663E-2</v>
      </c>
      <c r="Y167" s="598">
        <f>A!T1254</f>
        <v>0</v>
      </c>
      <c r="Z167" s="681">
        <f>A!U1254</f>
        <v>0</v>
      </c>
      <c r="AA167" s="673">
        <f>A!V1254</f>
        <v>0</v>
      </c>
    </row>
    <row r="168" spans="2:27" ht="12" customHeight="1">
      <c r="B168" s="173" t="s">
        <v>105</v>
      </c>
      <c r="C168" s="154">
        <f>A!B1255</f>
        <v>34.584099999999999</v>
      </c>
      <c r="D168" s="180" t="str">
        <f>A!C1255</f>
        <v>01-Oct</v>
      </c>
      <c r="E168" s="164">
        <f>A!D1255</f>
        <v>24</v>
      </c>
      <c r="F168" s="380">
        <f>A!E1255</f>
        <v>34.94</v>
      </c>
      <c r="G168" s="176">
        <f>A!F1255</f>
        <v>37795</v>
      </c>
      <c r="H168" s="164">
        <f>A!G1255</f>
        <v>24</v>
      </c>
      <c r="I168" s="380">
        <f>A!H1255</f>
        <v>34.94</v>
      </c>
      <c r="J168" s="176">
        <f>A!I1255</f>
        <v>38162</v>
      </c>
      <c r="K168" s="164">
        <f>A!J1255</f>
        <v>24</v>
      </c>
      <c r="L168" s="380">
        <f>A!K1255</f>
        <v>35.002090205560897</v>
      </c>
      <c r="M168" s="176" t="str">
        <f>A!L1255</f>
        <v>10/01</v>
      </c>
      <c r="N168" s="164" t="str">
        <f>A!M1255</f>
        <v>02:00</v>
      </c>
      <c r="O168" s="380">
        <f>A!N1255</f>
        <v>35</v>
      </c>
      <c r="P168" s="176">
        <f>A!O1255</f>
        <v>112</v>
      </c>
      <c r="Q168" s="164">
        <f>A!P1255</f>
        <v>1</v>
      </c>
      <c r="R168" s="380">
        <f>A!Q1255</f>
        <v>35</v>
      </c>
      <c r="S168" s="176">
        <f>A!R1255</f>
        <v>37732</v>
      </c>
      <c r="T168" s="164">
        <f>A!S1255</f>
        <v>2</v>
      </c>
      <c r="U168" s="190">
        <f t="shared" si="19"/>
        <v>34.584099999999999</v>
      </c>
      <c r="V168" s="154">
        <f t="shared" si="20"/>
        <v>35.002090205560897</v>
      </c>
      <c r="W168" s="27">
        <f t="shared" si="18"/>
        <v>1.1973012116677173E-2</v>
      </c>
      <c r="Y168" s="598">
        <f>A!T1255</f>
        <v>0</v>
      </c>
      <c r="Z168" s="681">
        <f>A!U1255</f>
        <v>0</v>
      </c>
      <c r="AA168" s="673">
        <f>A!V1255</f>
        <v>0</v>
      </c>
    </row>
    <row r="169" spans="2:27" ht="12" customHeight="1">
      <c r="B169" s="173" t="s">
        <v>108</v>
      </c>
      <c r="C169" s="604">
        <f>A!B1256</f>
        <v>33.758499999999998</v>
      </c>
      <c r="D169" s="605" t="str">
        <f>A!C1256</f>
        <v>10-Jul</v>
      </c>
      <c r="E169" s="606">
        <f>A!D1256</f>
        <v>13</v>
      </c>
      <c r="F169" s="607">
        <f>A!E1256</f>
        <v>32.78</v>
      </c>
      <c r="G169" s="608">
        <f>A!F1256</f>
        <v>37457</v>
      </c>
      <c r="H169" s="606">
        <f>A!G1256</f>
        <v>15</v>
      </c>
      <c r="I169" s="607">
        <f>A!H1256</f>
        <v>32.56</v>
      </c>
      <c r="J169" s="608">
        <f>A!I1256</f>
        <v>38188</v>
      </c>
      <c r="K169" s="606">
        <f>A!J1256</f>
        <v>16</v>
      </c>
      <c r="L169" s="607">
        <f>A!K1256</f>
        <v>32.819769755938196</v>
      </c>
      <c r="M169" s="608" t="str">
        <f>A!L1256</f>
        <v>07/10</v>
      </c>
      <c r="N169" s="606" t="str">
        <f>A!M1256</f>
        <v>13:00</v>
      </c>
      <c r="O169" s="607">
        <f>A!N1256</f>
        <v>33</v>
      </c>
      <c r="P169" s="608">
        <f>A!O1256</f>
        <v>202</v>
      </c>
      <c r="Q169" s="606">
        <f>A!P1256</f>
        <v>15</v>
      </c>
      <c r="R169" s="380">
        <f>A!Q1256</f>
        <v>33.130000000000003</v>
      </c>
      <c r="S169" s="176">
        <f>A!R1256</f>
        <v>37812</v>
      </c>
      <c r="T169" s="164">
        <f>A!S1256</f>
        <v>12</v>
      </c>
      <c r="U169" s="190">
        <f t="shared" si="19"/>
        <v>32.56</v>
      </c>
      <c r="V169" s="154">
        <f t="shared" si="20"/>
        <v>33.758499999999998</v>
      </c>
      <c r="W169" s="27">
        <f t="shared" si="18"/>
        <v>3.6309330088375398E-2</v>
      </c>
      <c r="Y169" s="598">
        <f>A!T1256</f>
        <v>0</v>
      </c>
      <c r="Z169" s="681">
        <f>A!U1256</f>
        <v>0</v>
      </c>
      <c r="AA169" s="673">
        <f>A!V1256</f>
        <v>0</v>
      </c>
    </row>
    <row r="170" spans="2:27" ht="12" customHeight="1">
      <c r="B170" s="173" t="s">
        <v>109</v>
      </c>
      <c r="C170" s="154">
        <f>A!B1257</f>
        <v>27.114799999999999</v>
      </c>
      <c r="D170" s="180" t="str">
        <f>A!C1257</f>
        <v>16-Sep</v>
      </c>
      <c r="E170" s="164">
        <f>A!D1257</f>
        <v>15</v>
      </c>
      <c r="F170" s="380">
        <f>A!E1257</f>
        <v>27.56</v>
      </c>
      <c r="G170" s="176">
        <f>A!F1257</f>
        <v>37880</v>
      </c>
      <c r="H170" s="164">
        <f>A!G1257</f>
        <v>16</v>
      </c>
      <c r="I170" s="380">
        <f>A!H1257</f>
        <v>28.83</v>
      </c>
      <c r="J170" s="176">
        <f>A!I1257</f>
        <v>37517</v>
      </c>
      <c r="K170" s="164">
        <f>A!J1257</f>
        <v>16</v>
      </c>
      <c r="L170" s="380">
        <f>A!K1257</f>
        <v>26.903217435662299</v>
      </c>
      <c r="M170" s="176" t="str">
        <f>A!L1257</f>
        <v>09/16</v>
      </c>
      <c r="N170" s="164" t="str">
        <f>A!M1257</f>
        <v>16:00</v>
      </c>
      <c r="O170" s="380"/>
      <c r="P170" s="176"/>
      <c r="Q170" s="164"/>
      <c r="R170" s="380">
        <f>A!Q1257</f>
        <v>26.04</v>
      </c>
      <c r="S170" s="176">
        <f>A!R1257</f>
        <v>37848</v>
      </c>
      <c r="T170" s="164">
        <f>A!S1257</f>
        <v>15</v>
      </c>
      <c r="U170" s="190">
        <f t="shared" si="19"/>
        <v>26.04</v>
      </c>
      <c r="V170" s="154">
        <f t="shared" si="20"/>
        <v>28.83</v>
      </c>
      <c r="W170" s="27">
        <f t="shared" si="18"/>
        <v>0.10223673646689424</v>
      </c>
      <c r="Y170" s="598">
        <f>A!T1257</f>
        <v>0</v>
      </c>
      <c r="Z170" s="681">
        <f>A!U1257</f>
        <v>0</v>
      </c>
      <c r="AA170" s="673">
        <f>A!V1257</f>
        <v>0</v>
      </c>
    </row>
    <row r="171" spans="2:27" ht="12" customHeight="1">
      <c r="B171" s="173" t="s">
        <v>111</v>
      </c>
      <c r="C171" s="154">
        <f>A!B1258</f>
        <v>26.825600000000001</v>
      </c>
      <c r="D171" s="180" t="str">
        <f>A!C1258</f>
        <v>23-Oct</v>
      </c>
      <c r="E171" s="164">
        <f>A!D1258</f>
        <v>15</v>
      </c>
      <c r="F171" s="380">
        <f>A!E1258</f>
        <v>25.11</v>
      </c>
      <c r="G171" s="176">
        <f>A!F1258</f>
        <v>37368</v>
      </c>
      <c r="H171" s="164">
        <f>A!G1258</f>
        <v>15</v>
      </c>
      <c r="I171" s="380">
        <f>A!H1258</f>
        <v>25.11</v>
      </c>
      <c r="J171" s="176">
        <f>A!I1258</f>
        <v>37368</v>
      </c>
      <c r="K171" s="164">
        <f>A!J1258</f>
        <v>15</v>
      </c>
      <c r="L171" s="380"/>
      <c r="M171" s="176"/>
      <c r="N171" s="164"/>
      <c r="O171" s="380"/>
      <c r="P171" s="176"/>
      <c r="Q171" s="164"/>
      <c r="R171" s="380">
        <f>A!Q1258</f>
        <v>26.19</v>
      </c>
      <c r="S171" s="176">
        <f>A!R1258</f>
        <v>37928</v>
      </c>
      <c r="T171" s="164">
        <f>A!S1258</f>
        <v>15</v>
      </c>
      <c r="U171" s="190">
        <f t="shared" si="19"/>
        <v>25.11</v>
      </c>
      <c r="V171" s="154">
        <f t="shared" si="20"/>
        <v>26.825600000000001</v>
      </c>
      <c r="W171" s="27">
        <f t="shared" si="18"/>
        <v>6.6473193355780447E-2</v>
      </c>
      <c r="Y171" s="598">
        <f>A!T1258</f>
        <v>0</v>
      </c>
      <c r="Z171" s="681">
        <f>A!U1258</f>
        <v>0</v>
      </c>
      <c r="AA171" s="673">
        <f>A!V1258</f>
        <v>0</v>
      </c>
    </row>
    <row r="172" spans="2:27" ht="12" customHeight="1">
      <c r="B172" s="173" t="s">
        <v>112</v>
      </c>
      <c r="C172" s="154">
        <f>A!B1259</f>
        <v>26.1999</v>
      </c>
      <c r="D172" s="180" t="str">
        <f>A!C1259</f>
        <v>07-Jul</v>
      </c>
      <c r="E172" s="164">
        <f>A!D1259</f>
        <v>15</v>
      </c>
      <c r="F172" s="380">
        <f>A!E1259</f>
        <v>25.11</v>
      </c>
      <c r="G172" s="176">
        <f>A!F1259</f>
        <v>37368</v>
      </c>
      <c r="H172" s="164">
        <f>A!G1259</f>
        <v>15</v>
      </c>
      <c r="I172" s="380">
        <f>A!H1259</f>
        <v>25.11</v>
      </c>
      <c r="J172" s="176">
        <f>A!I1259</f>
        <v>37368</v>
      </c>
      <c r="K172" s="164">
        <f>A!J1259</f>
        <v>15</v>
      </c>
      <c r="L172" s="380">
        <f>A!K1259</f>
        <v>25.003273115420001</v>
      </c>
      <c r="M172" s="176" t="str">
        <f>A!L1259</f>
        <v>09/23</v>
      </c>
      <c r="N172" s="164" t="str">
        <f>A!M1259</f>
        <v>08:00</v>
      </c>
      <c r="O172" s="380"/>
      <c r="P172" s="176"/>
      <c r="Q172" s="164"/>
      <c r="R172" s="380">
        <f>A!Q1259</f>
        <v>26.23</v>
      </c>
      <c r="S172" s="176">
        <f>A!R1259</f>
        <v>37914</v>
      </c>
      <c r="T172" s="164">
        <f>A!S1259</f>
        <v>15</v>
      </c>
      <c r="U172" s="190">
        <f t="shared" si="19"/>
        <v>25.003273115420001</v>
      </c>
      <c r="V172" s="154">
        <f t="shared" si="20"/>
        <v>26.23</v>
      </c>
      <c r="W172" s="27">
        <f t="shared" si="18"/>
        <v>4.804921235568628E-2</v>
      </c>
      <c r="Y172" s="598">
        <f>A!T1259</f>
        <v>0</v>
      </c>
      <c r="Z172" s="681">
        <f>A!U1259</f>
        <v>0</v>
      </c>
      <c r="AA172" s="673">
        <f>A!V1259</f>
        <v>0</v>
      </c>
    </row>
    <row r="173" spans="2:27" ht="12" customHeight="1">
      <c r="B173" s="173" t="s">
        <v>113</v>
      </c>
      <c r="C173" s="154">
        <f>A!B1260</f>
        <v>27.199200000000001</v>
      </c>
      <c r="D173" s="180" t="str">
        <f>A!C1260</f>
        <v>01-Nov</v>
      </c>
      <c r="E173" s="164">
        <f>A!D1260</f>
        <v>16</v>
      </c>
      <c r="F173" s="380">
        <f>A!E1260</f>
        <v>25.11</v>
      </c>
      <c r="G173" s="176">
        <f>A!F1260</f>
        <v>37368</v>
      </c>
      <c r="H173" s="164">
        <f>A!G1260</f>
        <v>15</v>
      </c>
      <c r="I173" s="380">
        <f>A!H1260</f>
        <v>25.11</v>
      </c>
      <c r="J173" s="176">
        <f>A!I1260</f>
        <v>37368</v>
      </c>
      <c r="K173" s="164">
        <f>A!J1260</f>
        <v>15</v>
      </c>
      <c r="L173" s="380">
        <f>A!K1260</f>
        <v>25.003763076149301</v>
      </c>
      <c r="M173" s="176" t="str">
        <f>A!L1260</f>
        <v>04/24</v>
      </c>
      <c r="N173" s="164" t="str">
        <f>A!M1260</f>
        <v>20:00</v>
      </c>
      <c r="O173" s="380"/>
      <c r="P173" s="176"/>
      <c r="Q173" s="164"/>
      <c r="R173" s="380">
        <f>A!Q1260</f>
        <v>26.45</v>
      </c>
      <c r="S173" s="176">
        <f>A!R1260</f>
        <v>37917</v>
      </c>
      <c r="T173" s="164">
        <f>A!S1260</f>
        <v>15</v>
      </c>
      <c r="U173" s="190">
        <f t="shared" si="19"/>
        <v>25.003763076149301</v>
      </c>
      <c r="V173" s="154">
        <f t="shared" si="20"/>
        <v>27.199200000000001</v>
      </c>
      <c r="W173" s="27">
        <f t="shared" si="18"/>
        <v>8.5178336535703225E-2</v>
      </c>
      <c r="Y173" s="598">
        <f>A!T1260</f>
        <v>0</v>
      </c>
      <c r="Z173" s="681">
        <f>A!U1260</f>
        <v>0</v>
      </c>
      <c r="AA173" s="673">
        <f>A!V1260</f>
        <v>0</v>
      </c>
    </row>
    <row r="174" spans="2:27" ht="12" customHeight="1">
      <c r="B174" s="173" t="s">
        <v>114</v>
      </c>
      <c r="C174" s="154">
        <f>A!B1261</f>
        <v>27.045200000000001</v>
      </c>
      <c r="D174" s="180" t="str">
        <f>A!C1261</f>
        <v>28-Apr</v>
      </c>
      <c r="E174" s="164">
        <f>A!D1261</f>
        <v>15</v>
      </c>
      <c r="F174" s="380">
        <f>A!E1261</f>
        <v>25.11</v>
      </c>
      <c r="G174" s="176">
        <f>A!F1261</f>
        <v>37368</v>
      </c>
      <c r="H174" s="164">
        <f>A!G1261</f>
        <v>15</v>
      </c>
      <c r="I174" s="380">
        <f>A!H1261</f>
        <v>25.11</v>
      </c>
      <c r="J174" s="176">
        <f>A!I1261</f>
        <v>37368</v>
      </c>
      <c r="K174" s="164">
        <f>A!J1261</f>
        <v>15</v>
      </c>
      <c r="L174" s="380">
        <f>A!K1261</f>
        <v>25.0037630761495</v>
      </c>
      <c r="M174" s="176" t="str">
        <f>A!L1261</f>
        <v>04/24</v>
      </c>
      <c r="N174" s="164" t="str">
        <f>A!M1261</f>
        <v>20:00</v>
      </c>
      <c r="O174" s="380"/>
      <c r="P174" s="176"/>
      <c r="Q174" s="164"/>
      <c r="R174" s="380">
        <f>A!Q1261</f>
        <v>26.26</v>
      </c>
      <c r="S174" s="176">
        <f>A!R1261</f>
        <v>37917</v>
      </c>
      <c r="T174" s="164">
        <f>A!S1261</f>
        <v>15</v>
      </c>
      <c r="U174" s="190">
        <f t="shared" si="19"/>
        <v>25.0037630761495</v>
      </c>
      <c r="V174" s="154">
        <f t="shared" si="20"/>
        <v>27.045200000000001</v>
      </c>
      <c r="W174" s="27">
        <f t="shared" si="18"/>
        <v>7.9415443608652311E-2</v>
      </c>
      <c r="Y174" s="598">
        <f>A!T1261</f>
        <v>0</v>
      </c>
      <c r="Z174" s="681">
        <f>A!U1261</f>
        <v>0</v>
      </c>
      <c r="AA174" s="673">
        <f>A!V1261</f>
        <v>0</v>
      </c>
    </row>
    <row r="175" spans="2:27" ht="12" customHeight="1">
      <c r="B175" s="173" t="s">
        <v>115</v>
      </c>
      <c r="C175" s="154">
        <f>A!B1262</f>
        <v>25.805399999999999</v>
      </c>
      <c r="D175" s="180" t="str">
        <f>A!C1262</f>
        <v>30-Apr</v>
      </c>
      <c r="E175" s="164">
        <f>A!D1262</f>
        <v>15</v>
      </c>
      <c r="F175" s="380">
        <f>A!E1262</f>
        <v>25.11</v>
      </c>
      <c r="G175" s="176">
        <f>A!F1262</f>
        <v>37002</v>
      </c>
      <c r="H175" s="164">
        <f>A!G1262</f>
        <v>16</v>
      </c>
      <c r="I175" s="380">
        <f>A!H1262</f>
        <v>25.11</v>
      </c>
      <c r="J175" s="176">
        <f>A!I1262</f>
        <v>37002</v>
      </c>
      <c r="K175" s="164">
        <f>A!J1262</f>
        <v>16</v>
      </c>
      <c r="L175" s="380">
        <f>A!K1262</f>
        <v>25.001689073197401</v>
      </c>
      <c r="M175" s="176" t="str">
        <f>A!L1262</f>
        <v>04/05</v>
      </c>
      <c r="N175" s="164" t="str">
        <f>A!M1262</f>
        <v>19:00</v>
      </c>
      <c r="O175" s="380">
        <f>A!N1262</f>
        <v>25.02</v>
      </c>
      <c r="P175" s="176">
        <f>A!O1262</f>
        <v>90</v>
      </c>
      <c r="Q175" s="164">
        <f>A!P1262</f>
        <v>17</v>
      </c>
      <c r="R175" s="380">
        <f>A!Q1262</f>
        <v>25</v>
      </c>
      <c r="S175" s="176">
        <f>A!R1262</f>
        <v>37691</v>
      </c>
      <c r="T175" s="164">
        <f>A!S1262</f>
        <v>11</v>
      </c>
      <c r="U175" s="190">
        <f t="shared" si="19"/>
        <v>25</v>
      </c>
      <c r="V175" s="154">
        <f t="shared" si="20"/>
        <v>25.805399999999999</v>
      </c>
      <c r="W175" s="27">
        <f t="shared" si="18"/>
        <v>3.1992672150459069E-2</v>
      </c>
      <c r="Y175" s="598">
        <f>A!T1262</f>
        <v>0</v>
      </c>
      <c r="Z175" s="681">
        <f>A!U1262</f>
        <v>0</v>
      </c>
      <c r="AA175" s="673">
        <f>A!V1262</f>
        <v>0</v>
      </c>
    </row>
    <row r="176" spans="2:27" ht="12" customHeight="1">
      <c r="B176" s="173" t="s">
        <v>121</v>
      </c>
      <c r="C176" s="154">
        <f>A!B1263</f>
        <v>26.100300000000001</v>
      </c>
      <c r="D176" s="180" t="str">
        <f>A!C1263</f>
        <v>09-Jul</v>
      </c>
      <c r="E176" s="164">
        <f>A!D1263</f>
        <v>15</v>
      </c>
      <c r="F176" s="380">
        <f>A!E1263</f>
        <v>25.11</v>
      </c>
      <c r="G176" s="176">
        <f>A!F1263</f>
        <v>37002</v>
      </c>
      <c r="H176" s="164">
        <f>A!G1263</f>
        <v>3</v>
      </c>
      <c r="I176" s="380">
        <f>A!H1263</f>
        <v>25.11</v>
      </c>
      <c r="J176" s="176">
        <f>A!I1263</f>
        <v>37002</v>
      </c>
      <c r="K176" s="164">
        <f>A!J1263</f>
        <v>3</v>
      </c>
      <c r="L176" s="380">
        <f>A!K1263</f>
        <v>25.001689922001699</v>
      </c>
      <c r="M176" s="176" t="str">
        <f>A!L1263</f>
        <v>04/05</v>
      </c>
      <c r="N176" s="164" t="str">
        <f>A!M1263</f>
        <v>19:00</v>
      </c>
      <c r="O176" s="380">
        <f>A!N1263</f>
        <v>25.02</v>
      </c>
      <c r="P176" s="176">
        <f>A!O1263</f>
        <v>90</v>
      </c>
      <c r="Q176" s="164">
        <f>A!P1263</f>
        <v>17</v>
      </c>
      <c r="R176" s="380">
        <f>A!Q1263</f>
        <v>25</v>
      </c>
      <c r="S176" s="176">
        <f>A!R1263</f>
        <v>37735</v>
      </c>
      <c r="T176" s="164">
        <f>A!S1263</f>
        <v>12</v>
      </c>
      <c r="U176" s="190">
        <f t="shared" si="19"/>
        <v>25</v>
      </c>
      <c r="V176" s="154">
        <f t="shared" si="20"/>
        <v>26.100300000000001</v>
      </c>
      <c r="W176" s="27">
        <f t="shared" si="18"/>
        <v>4.3621733818898681E-2</v>
      </c>
      <c r="Y176" s="598">
        <f>A!T1263</f>
        <v>0</v>
      </c>
      <c r="Z176" s="681">
        <f>A!U1263</f>
        <v>0</v>
      </c>
      <c r="AA176" s="673">
        <f>A!V1263</f>
        <v>0</v>
      </c>
    </row>
    <row r="177" spans="2:27" ht="12" customHeight="1">
      <c r="B177" s="173" t="s">
        <v>125</v>
      </c>
      <c r="C177" s="154">
        <f>A!B1264</f>
        <v>16.123200000000001</v>
      </c>
      <c r="D177" s="180" t="str">
        <f>A!C1264</f>
        <v>15-Aug</v>
      </c>
      <c r="E177" s="164">
        <f>A!D1264</f>
        <v>15</v>
      </c>
      <c r="F177" s="380">
        <f>A!E1264</f>
        <v>16.11</v>
      </c>
      <c r="G177" s="176">
        <f>A!F1264</f>
        <v>37484</v>
      </c>
      <c r="H177" s="164">
        <f>A!G1264</f>
        <v>16</v>
      </c>
      <c r="I177" s="380">
        <f>A!H1264</f>
        <v>15.94</v>
      </c>
      <c r="J177" s="176">
        <f>A!I1264</f>
        <v>38178</v>
      </c>
      <c r="K177" s="164">
        <f>A!J1264</f>
        <v>16</v>
      </c>
      <c r="L177" s="380">
        <f>A!K1264</f>
        <v>15.2668573950669</v>
      </c>
      <c r="M177" s="176" t="str">
        <f>A!L1264</f>
        <v>07/20</v>
      </c>
      <c r="N177" s="164" t="str">
        <f>A!M1264</f>
        <v>16:00</v>
      </c>
      <c r="O177" s="380">
        <f>A!N1264</f>
        <v>15.98</v>
      </c>
      <c r="P177" s="176">
        <f>A!O1264</f>
        <v>202</v>
      </c>
      <c r="Q177" s="164">
        <f>A!P1264</f>
        <v>15</v>
      </c>
      <c r="R177" s="380">
        <f>A!Q1264</f>
        <v>18.62</v>
      </c>
      <c r="S177" s="176">
        <f>A!R1264</f>
        <v>37776</v>
      </c>
      <c r="T177" s="164">
        <f>A!S1264</f>
        <v>16</v>
      </c>
      <c r="U177" s="190">
        <f t="shared" si="19"/>
        <v>15.2668573950669</v>
      </c>
      <c r="V177" s="154">
        <f t="shared" si="20"/>
        <v>18.62</v>
      </c>
      <c r="W177" s="27">
        <f t="shared" si="18"/>
        <v>0.20521056560102474</v>
      </c>
      <c r="Y177" s="598">
        <f>A!T1264</f>
        <v>0</v>
      </c>
      <c r="Z177" s="681">
        <f>A!U1264</f>
        <v>0</v>
      </c>
      <c r="AA177" s="673">
        <f>A!V1264</f>
        <v>0</v>
      </c>
    </row>
    <row r="178" spans="2:27" ht="12" customHeight="1">
      <c r="B178" s="173" t="s">
        <v>127</v>
      </c>
      <c r="C178" s="154">
        <f>A!B1265</f>
        <v>21.0091</v>
      </c>
      <c r="D178" s="180" t="str">
        <f>A!C1265</f>
        <v>16-Jul</v>
      </c>
      <c r="E178" s="164">
        <f>A!D1265</f>
        <v>15</v>
      </c>
      <c r="F178" s="380">
        <f>A!E1265</f>
        <v>20.11</v>
      </c>
      <c r="G178" s="176">
        <f>A!F1265</f>
        <v>37002</v>
      </c>
      <c r="H178" s="164">
        <f>A!G1265</f>
        <v>15</v>
      </c>
      <c r="I178" s="380">
        <f>A!H1265</f>
        <v>20.11</v>
      </c>
      <c r="J178" s="176">
        <f>A!I1265</f>
        <v>37732</v>
      </c>
      <c r="K178" s="164">
        <f>A!J1265</f>
        <v>15</v>
      </c>
      <c r="L178" s="380">
        <f>A!K1265</f>
        <v>20.0027164194105</v>
      </c>
      <c r="M178" s="176" t="str">
        <f>A!L1265</f>
        <v>04/17</v>
      </c>
      <c r="N178" s="164" t="str">
        <f>A!M1265</f>
        <v>24:00</v>
      </c>
      <c r="O178" s="380">
        <f>A!N1265</f>
        <v>20.05</v>
      </c>
      <c r="P178" s="176">
        <f>A!O1265</f>
        <v>73</v>
      </c>
      <c r="Q178" s="164">
        <f>A!P1265</f>
        <v>22</v>
      </c>
      <c r="R178" s="380">
        <f>A!Q1265</f>
        <v>20.93</v>
      </c>
      <c r="S178" s="176">
        <f>A!R1265</f>
        <v>37732</v>
      </c>
      <c r="T178" s="164">
        <f>A!S1265</f>
        <v>15</v>
      </c>
      <c r="U178" s="190">
        <f t="shared" si="19"/>
        <v>20.0027164194105</v>
      </c>
      <c r="V178" s="154">
        <f t="shared" si="20"/>
        <v>21.0091</v>
      </c>
      <c r="W178" s="27">
        <f t="shared" si="18"/>
        <v>4.9408491424548978E-2</v>
      </c>
      <c r="Y178" s="598">
        <f>A!T1265</f>
        <v>0</v>
      </c>
      <c r="Z178" s="681">
        <f>A!U1265</f>
        <v>0</v>
      </c>
      <c r="AA178" s="673">
        <f>A!V1265</f>
        <v>0</v>
      </c>
    </row>
    <row r="179" spans="2:27" ht="12" customHeight="1">
      <c r="B179" s="173" t="s">
        <v>130</v>
      </c>
      <c r="C179" s="154">
        <f>A!B1266</f>
        <v>36.08</v>
      </c>
      <c r="D179" s="180" t="str">
        <f>A!C1266</f>
        <v>10-Mai</v>
      </c>
      <c r="E179" s="164">
        <f>A!D1266</f>
        <v>16</v>
      </c>
      <c r="F179" s="380">
        <f>A!E1266</f>
        <v>35.06</v>
      </c>
      <c r="G179" s="176">
        <f>A!F1266</f>
        <v>37732</v>
      </c>
      <c r="H179" s="164">
        <f>A!G1266</f>
        <v>16</v>
      </c>
      <c r="I179" s="380">
        <f>A!H1266</f>
        <v>35.06</v>
      </c>
      <c r="J179" s="176">
        <f>A!I1266</f>
        <v>37732</v>
      </c>
      <c r="K179" s="164">
        <f>A!J1266</f>
        <v>16</v>
      </c>
      <c r="L179" s="380">
        <f>A!K1266</f>
        <v>34.996432269762302</v>
      </c>
      <c r="M179" s="176" t="str">
        <f>A!L1266</f>
        <v>03/11</v>
      </c>
      <c r="N179" s="164" t="str">
        <f>A!M1266</f>
        <v>12:00</v>
      </c>
      <c r="O179" s="380">
        <f>A!N1266</f>
        <v>35</v>
      </c>
      <c r="P179" s="176">
        <f>A!O1266</f>
        <v>71</v>
      </c>
      <c r="Q179" s="164">
        <f>A!P1266</f>
        <v>10</v>
      </c>
      <c r="R179" s="380">
        <f>A!Q1266</f>
        <v>35</v>
      </c>
      <c r="S179" s="176">
        <f>A!R1266</f>
        <v>37691</v>
      </c>
      <c r="T179" s="164">
        <f>A!S1266</f>
        <v>11</v>
      </c>
      <c r="U179" s="190">
        <f t="shared" si="19"/>
        <v>34.996432269762302</v>
      </c>
      <c r="V179" s="154">
        <f t="shared" si="20"/>
        <v>36.08</v>
      </c>
      <c r="W179" s="27">
        <f t="shared" si="18"/>
        <v>3.0783694173024186E-2</v>
      </c>
      <c r="Y179" s="598">
        <f>A!T1266</f>
        <v>0</v>
      </c>
      <c r="Z179" s="681">
        <f>A!U1266</f>
        <v>0</v>
      </c>
      <c r="AA179" s="673">
        <f>A!V1266</f>
        <v>0</v>
      </c>
    </row>
    <row r="180" spans="2:27" ht="12" customHeight="1">
      <c r="B180" s="173" t="s">
        <v>132</v>
      </c>
      <c r="C180" s="154">
        <f>A!B1267</f>
        <v>26.116</v>
      </c>
      <c r="D180" s="180" t="str">
        <f>A!C1267</f>
        <v>04-Jun</v>
      </c>
      <c r="E180" s="164">
        <f>A!D1267</f>
        <v>15</v>
      </c>
      <c r="F180" s="380">
        <f>A!E1267</f>
        <v>25.06</v>
      </c>
      <c r="G180" s="176">
        <f>A!F1267</f>
        <v>37002</v>
      </c>
      <c r="H180" s="164">
        <f>A!G1267</f>
        <v>16</v>
      </c>
      <c r="I180" s="380">
        <f>A!H1267</f>
        <v>25.06</v>
      </c>
      <c r="J180" s="176">
        <f>A!I1267</f>
        <v>37002</v>
      </c>
      <c r="K180" s="164">
        <f>A!J1267</f>
        <v>16</v>
      </c>
      <c r="L180" s="380">
        <f>A!K1267</f>
        <v>25.002719853187202</v>
      </c>
      <c r="M180" s="176" t="str">
        <f>A!L1267</f>
        <v>04/05</v>
      </c>
      <c r="N180" s="164" t="str">
        <f>A!M1267</f>
        <v>20:00</v>
      </c>
      <c r="O180" s="380">
        <f>A!N1267</f>
        <v>25.02</v>
      </c>
      <c r="P180" s="176">
        <f>A!O1267</f>
        <v>90</v>
      </c>
      <c r="Q180" s="164">
        <f>A!P1267</f>
        <v>17</v>
      </c>
      <c r="R180" s="380">
        <f>A!Q1267</f>
        <v>25</v>
      </c>
      <c r="S180" s="176">
        <f>A!R1267</f>
        <v>37691</v>
      </c>
      <c r="T180" s="164">
        <f>A!S1267</f>
        <v>11</v>
      </c>
      <c r="U180" s="190">
        <f t="shared" si="19"/>
        <v>25</v>
      </c>
      <c r="V180" s="154">
        <f t="shared" si="20"/>
        <v>26.116</v>
      </c>
      <c r="W180" s="27">
        <f t="shared" si="18"/>
        <v>4.4268522214779976E-2</v>
      </c>
      <c r="Y180" s="598">
        <f>A!T1267</f>
        <v>0</v>
      </c>
      <c r="Z180" s="681">
        <f>A!U1267</f>
        <v>0</v>
      </c>
      <c r="AA180" s="673">
        <f>A!V1267</f>
        <v>0</v>
      </c>
    </row>
    <row r="181" spans="2:27" ht="12" customHeight="1">
      <c r="B181" s="173" t="s">
        <v>135</v>
      </c>
      <c r="C181" s="154">
        <f>A!B1268</f>
        <v>16.1465</v>
      </c>
      <c r="D181" s="180" t="str">
        <f>A!C1268</f>
        <v>21-Sep</v>
      </c>
      <c r="E181" s="164">
        <f>A!D1268</f>
        <v>16</v>
      </c>
      <c r="F181" s="380">
        <f>A!E1268</f>
        <v>15.11</v>
      </c>
      <c r="G181" s="176">
        <f>A!F1268</f>
        <v>38138</v>
      </c>
      <c r="H181" s="164">
        <f>A!G1268</f>
        <v>16</v>
      </c>
      <c r="I181" s="380">
        <f>A!H1268</f>
        <v>15.11</v>
      </c>
      <c r="J181" s="176">
        <f>A!I1268</f>
        <v>38138</v>
      </c>
      <c r="K181" s="164">
        <f>A!J1268</f>
        <v>16</v>
      </c>
      <c r="L181" s="380">
        <f>A!K1268</f>
        <v>15.002773741177499</v>
      </c>
      <c r="M181" s="176" t="str">
        <f>A!L1268</f>
        <v>04/16</v>
      </c>
      <c r="N181" s="164" t="str">
        <f>A!M1268</f>
        <v>01:00</v>
      </c>
      <c r="O181" s="380">
        <f>A!N1268</f>
        <v>15.05</v>
      </c>
      <c r="P181" s="176">
        <f>A!O1268</f>
        <v>28</v>
      </c>
      <c r="Q181" s="164">
        <f>A!P1268</f>
        <v>20</v>
      </c>
      <c r="R181" s="380">
        <f>A!Q1268</f>
        <v>15</v>
      </c>
      <c r="S181" s="176">
        <f>A!R1268</f>
        <v>37691</v>
      </c>
      <c r="T181" s="164">
        <f>A!S1268</f>
        <v>10</v>
      </c>
      <c r="U181" s="190">
        <f t="shared" si="19"/>
        <v>15</v>
      </c>
      <c r="V181" s="154">
        <f t="shared" si="20"/>
        <v>16.1465</v>
      </c>
      <c r="W181" s="27">
        <f t="shared" si="18"/>
        <v>7.5246714598450434E-2</v>
      </c>
      <c r="Y181" s="598">
        <f>A!T1268</f>
        <v>0</v>
      </c>
      <c r="Z181" s="681">
        <f>A!U1268</f>
        <v>0</v>
      </c>
      <c r="AA181" s="673">
        <f>A!V1268</f>
        <v>0</v>
      </c>
    </row>
    <row r="182" spans="2:27" ht="12" customHeight="1" thickBot="1">
      <c r="B182" s="174" t="s">
        <v>138</v>
      </c>
      <c r="C182" s="154">
        <f>A!B1269</f>
        <v>35.671500000000002</v>
      </c>
      <c r="D182" s="180" t="str">
        <f>A!C1269</f>
        <v>20-Jul</v>
      </c>
      <c r="E182" s="164">
        <f>A!D1269</f>
        <v>15</v>
      </c>
      <c r="F182" s="380">
        <f>A!E1269</f>
        <v>35</v>
      </c>
      <c r="G182" s="176">
        <f>A!F1269</f>
        <v>37732</v>
      </c>
      <c r="H182" s="164">
        <f>A!G1269</f>
        <v>15</v>
      </c>
      <c r="I182" s="380">
        <f>A!H1269</f>
        <v>35</v>
      </c>
      <c r="J182" s="176">
        <f>A!I1269</f>
        <v>38098</v>
      </c>
      <c r="K182" s="164">
        <f>A!J1269</f>
        <v>15</v>
      </c>
      <c r="L182" s="380">
        <f>A!K1269</f>
        <v>35.0002964572694</v>
      </c>
      <c r="M182" s="176" t="str">
        <f>A!L1269</f>
        <v>07/14</v>
      </c>
      <c r="N182" s="164" t="str">
        <f>A!M1269</f>
        <v>18:00</v>
      </c>
      <c r="O182" s="380">
        <f>A!N1269</f>
        <v>35</v>
      </c>
      <c r="P182" s="176">
        <f>A!O1269</f>
        <v>71</v>
      </c>
      <c r="Q182" s="164">
        <f>A!P1269</f>
        <v>10</v>
      </c>
      <c r="R182" s="380">
        <f>A!Q1269</f>
        <v>35</v>
      </c>
      <c r="S182" s="176">
        <f>A!R1269</f>
        <v>37691</v>
      </c>
      <c r="T182" s="164">
        <f>A!S1269</f>
        <v>11</v>
      </c>
      <c r="U182" s="190">
        <f t="shared" si="19"/>
        <v>35</v>
      </c>
      <c r="V182" s="154">
        <f t="shared" si="20"/>
        <v>35.671500000000002</v>
      </c>
      <c r="W182" s="27">
        <f t="shared" si="18"/>
        <v>1.912453431239057E-2</v>
      </c>
      <c r="Y182" s="598">
        <f>A!T1269</f>
        <v>0</v>
      </c>
      <c r="Z182" s="681">
        <f>A!U1269</f>
        <v>0</v>
      </c>
      <c r="AA182" s="673">
        <f>A!V1269</f>
        <v>0</v>
      </c>
    </row>
    <row r="183" spans="2:27" ht="12" customHeight="1" thickTop="1">
      <c r="B183" s="19" t="s">
        <v>252</v>
      </c>
      <c r="C183" s="185"/>
      <c r="D183" s="374"/>
      <c r="E183" s="196"/>
      <c r="F183" s="20"/>
      <c r="G183" s="179"/>
      <c r="H183" s="196"/>
      <c r="I183" s="185"/>
      <c r="J183" s="179"/>
      <c r="K183" s="196"/>
      <c r="L183" s="20"/>
      <c r="M183" s="179"/>
      <c r="N183" s="196"/>
      <c r="O183" s="20"/>
      <c r="P183" s="179"/>
      <c r="Q183" s="196"/>
      <c r="R183" s="196"/>
      <c r="S183" s="196"/>
      <c r="T183" s="196"/>
      <c r="U183" s="454" t="s">
        <v>24</v>
      </c>
      <c r="V183" s="185"/>
      <c r="W183" s="21"/>
      <c r="Y183" s="598"/>
      <c r="Z183" s="681"/>
      <c r="AA183" s="673"/>
    </row>
    <row r="184" spans="2:27" ht="12" customHeight="1">
      <c r="B184" s="170"/>
      <c r="C184" s="186" t="s">
        <v>245</v>
      </c>
      <c r="D184" s="180"/>
      <c r="E184" s="197"/>
      <c r="F184" s="377" t="s">
        <v>536</v>
      </c>
      <c r="G184" s="180"/>
      <c r="H184" s="197"/>
      <c r="I184" s="381" t="s">
        <v>258</v>
      </c>
      <c r="J184" s="106"/>
      <c r="K184" s="116"/>
      <c r="L184" s="384" t="s">
        <v>433</v>
      </c>
      <c r="M184" s="106"/>
      <c r="N184" s="116"/>
      <c r="O184" s="722" t="s">
        <v>469</v>
      </c>
      <c r="P184" s="120"/>
      <c r="Q184" s="48"/>
      <c r="R184" s="437" t="s">
        <v>482</v>
      </c>
      <c r="U184" s="190"/>
      <c r="V184" s="154"/>
      <c r="W184" s="23" t="s">
        <v>25</v>
      </c>
      <c r="Y184" s="598"/>
      <c r="Z184" s="681"/>
      <c r="AA184" s="673"/>
    </row>
    <row r="185" spans="2:27" ht="12" customHeight="1">
      <c r="B185" s="171"/>
      <c r="C185" s="187" t="s">
        <v>26</v>
      </c>
      <c r="D185" s="181" t="s">
        <v>77</v>
      </c>
      <c r="E185" s="198" t="s">
        <v>78</v>
      </c>
      <c r="F185" s="378" t="s">
        <v>13</v>
      </c>
      <c r="G185" s="181" t="s">
        <v>77</v>
      </c>
      <c r="H185" s="198" t="s">
        <v>78</v>
      </c>
      <c r="I185" s="382" t="s">
        <v>13</v>
      </c>
      <c r="J185" s="181" t="s">
        <v>77</v>
      </c>
      <c r="K185" s="198" t="s">
        <v>78</v>
      </c>
      <c r="L185" s="383" t="s">
        <v>434</v>
      </c>
      <c r="M185" s="181" t="s">
        <v>77</v>
      </c>
      <c r="N185" s="199" t="s">
        <v>78</v>
      </c>
      <c r="O185" s="373" t="s">
        <v>452</v>
      </c>
      <c r="P185" s="24" t="s">
        <v>77</v>
      </c>
      <c r="Q185" s="723" t="s">
        <v>78</v>
      </c>
      <c r="R185" s="353" t="s">
        <v>483</v>
      </c>
      <c r="S185" s="24" t="s">
        <v>77</v>
      </c>
      <c r="T185" s="177" t="s">
        <v>78</v>
      </c>
      <c r="U185" s="455" t="s">
        <v>27</v>
      </c>
      <c r="V185" s="187" t="s">
        <v>28</v>
      </c>
      <c r="W185" s="25" t="s">
        <v>259</v>
      </c>
      <c r="Y185" s="683" t="s">
        <v>522</v>
      </c>
      <c r="Z185" s="181" t="s">
        <v>77</v>
      </c>
      <c r="AA185" s="177" t="s">
        <v>78</v>
      </c>
    </row>
    <row r="186" spans="2:27" ht="12" customHeight="1">
      <c r="B186" s="172" t="s">
        <v>91</v>
      </c>
      <c r="C186" s="154">
        <f>A!B1280</f>
        <v>7.9299799999999996</v>
      </c>
      <c r="D186" s="180" t="str">
        <f>A!C1280</f>
        <v>06-Jan</v>
      </c>
      <c r="E186" s="164">
        <f>A!D1280</f>
        <v>6</v>
      </c>
      <c r="F186" s="380">
        <f>A!E1280</f>
        <v>8.89</v>
      </c>
      <c r="G186" s="176">
        <f>A!F1280</f>
        <v>36897</v>
      </c>
      <c r="H186" s="164">
        <f>A!G1280</f>
        <v>6</v>
      </c>
      <c r="I186" s="380">
        <f>A!H1280</f>
        <v>8.83</v>
      </c>
      <c r="J186" s="176">
        <f>A!I1280</f>
        <v>36897</v>
      </c>
      <c r="K186" s="164">
        <f>A!J1280</f>
        <v>6</v>
      </c>
      <c r="L186" s="380">
        <f>A!K1280</f>
        <v>8.7262833957235895</v>
      </c>
      <c r="M186" s="176" t="str">
        <f>A!L1280</f>
        <v>01/06</v>
      </c>
      <c r="N186" s="164" t="str">
        <f>A!M1280</f>
        <v>06:00</v>
      </c>
      <c r="O186" s="380">
        <f>A!N1280</f>
        <v>8</v>
      </c>
      <c r="P186" s="176">
        <f>A!O1280</f>
        <v>6</v>
      </c>
      <c r="Q186" s="164">
        <f>A!P1280</f>
        <v>5</v>
      </c>
      <c r="R186" s="380">
        <f>A!Q1280</f>
        <v>6.99</v>
      </c>
      <c r="S186" s="176">
        <f>A!R1280</f>
        <v>37627</v>
      </c>
      <c r="T186" s="164">
        <f>A!S1280</f>
        <v>5</v>
      </c>
      <c r="U186" s="190">
        <f t="shared" ref="U186:U205" si="21">MINA(C186,F186,I186,L186,O186,R186)</f>
        <v>6.99</v>
      </c>
      <c r="V186" s="154">
        <f t="shared" ref="V186:V205" si="22">MAXA(C186,F186,I186,L186,O186,R186)</f>
        <v>8.89</v>
      </c>
      <c r="W186" s="27">
        <f t="shared" ref="W186:W205" si="23">(V186-U186)/AVERAGE(C186,F186,I186,L186,O186,R186)</f>
        <v>0.23092693705854875</v>
      </c>
      <c r="Y186" s="598">
        <f>A!T1280</f>
        <v>0</v>
      </c>
      <c r="Z186" s="681">
        <f>A!U1280</f>
        <v>0</v>
      </c>
      <c r="AA186" s="673">
        <f>A!V1280</f>
        <v>0</v>
      </c>
    </row>
    <row r="187" spans="2:27" ht="12" customHeight="1">
      <c r="B187" s="173" t="s">
        <v>96</v>
      </c>
      <c r="C187" s="154">
        <f>A!B1281</f>
        <v>7.9299799999999996</v>
      </c>
      <c r="D187" s="180" t="str">
        <f>A!C1281</f>
        <v>06-Jan</v>
      </c>
      <c r="E187" s="164">
        <f>A!D1281</f>
        <v>6</v>
      </c>
      <c r="F187" s="380">
        <f>A!E1281</f>
        <v>8.89</v>
      </c>
      <c r="G187" s="176">
        <f>A!F1281</f>
        <v>36897</v>
      </c>
      <c r="H187" s="164">
        <f>A!G1281</f>
        <v>6</v>
      </c>
      <c r="I187" s="380">
        <f>A!H1281</f>
        <v>8.83</v>
      </c>
      <c r="J187" s="176">
        <f>A!I1281</f>
        <v>36897</v>
      </c>
      <c r="K187" s="164">
        <f>A!J1281</f>
        <v>6</v>
      </c>
      <c r="L187" s="380">
        <f>A!K1281</f>
        <v>8.7262065186768094</v>
      </c>
      <c r="M187" s="176" t="str">
        <f>A!L1281</f>
        <v>01/06</v>
      </c>
      <c r="N187" s="164" t="str">
        <f>A!M1281</f>
        <v>06:00</v>
      </c>
      <c r="O187" s="380">
        <f>A!N1281</f>
        <v>8</v>
      </c>
      <c r="P187" s="176">
        <f>A!O1281</f>
        <v>6</v>
      </c>
      <c r="Q187" s="164">
        <f>A!P1281</f>
        <v>5</v>
      </c>
      <c r="R187" s="380">
        <f>A!Q1281</f>
        <v>6.99</v>
      </c>
      <c r="S187" s="176">
        <f>A!R1281</f>
        <v>37627</v>
      </c>
      <c r="T187" s="164">
        <f>A!S1281</f>
        <v>5</v>
      </c>
      <c r="U187" s="190">
        <f t="shared" si="21"/>
        <v>6.99</v>
      </c>
      <c r="V187" s="154">
        <f t="shared" si="22"/>
        <v>8.89</v>
      </c>
      <c r="W187" s="27">
        <f t="shared" si="23"/>
        <v>0.23092729667678538</v>
      </c>
      <c r="Y187" s="598">
        <f>A!T1281</f>
        <v>0</v>
      </c>
      <c r="Z187" s="681">
        <f>A!U1281</f>
        <v>0</v>
      </c>
      <c r="AA187" s="673">
        <f>A!V1281</f>
        <v>0</v>
      </c>
    </row>
    <row r="188" spans="2:27" ht="12" customHeight="1">
      <c r="B188" s="173" t="s">
        <v>98</v>
      </c>
      <c r="C188" s="154">
        <f>A!B1282</f>
        <v>7.9299799999999996</v>
      </c>
      <c r="D188" s="180" t="str">
        <f>A!C1282</f>
        <v>06-Jan</v>
      </c>
      <c r="E188" s="164">
        <f>A!D1282</f>
        <v>6</v>
      </c>
      <c r="F188" s="380">
        <f>A!E1282</f>
        <v>10.83</v>
      </c>
      <c r="G188" s="176">
        <f>A!F1282</f>
        <v>36897</v>
      </c>
      <c r="H188" s="164">
        <f>A!G1282</f>
        <v>7</v>
      </c>
      <c r="I188" s="380">
        <f>A!H1282</f>
        <v>10.78</v>
      </c>
      <c r="J188" s="176">
        <f>A!I1282</f>
        <v>36897</v>
      </c>
      <c r="K188" s="164">
        <f>A!J1282</f>
        <v>7</v>
      </c>
      <c r="L188" s="380">
        <f>A!K1282</f>
        <v>7.7562262531981503</v>
      </c>
      <c r="M188" s="176" t="str">
        <f>A!L1282</f>
        <v>01/06</v>
      </c>
      <c r="N188" s="164" t="str">
        <f>A!M1282</f>
        <v>06:00</v>
      </c>
      <c r="O188" s="380">
        <f>A!N1282</f>
        <v>8</v>
      </c>
      <c r="P188" s="176">
        <f>A!O1282</f>
        <v>6</v>
      </c>
      <c r="Q188" s="164">
        <f>A!P1282</f>
        <v>5</v>
      </c>
      <c r="R188" s="380">
        <f>A!Q1282</f>
        <v>6.99</v>
      </c>
      <c r="S188" s="176">
        <f>A!R1282</f>
        <v>37627</v>
      </c>
      <c r="T188" s="164">
        <f>A!S1282</f>
        <v>5</v>
      </c>
      <c r="U188" s="190">
        <f t="shared" si="21"/>
        <v>6.99</v>
      </c>
      <c r="V188" s="154">
        <f t="shared" si="22"/>
        <v>10.83</v>
      </c>
      <c r="W188" s="27">
        <f t="shared" si="23"/>
        <v>0.44065159151971806</v>
      </c>
      <c r="Y188" s="598">
        <f>A!T1282</f>
        <v>0</v>
      </c>
      <c r="Z188" s="681">
        <f>A!U1282</f>
        <v>0</v>
      </c>
      <c r="AA188" s="673">
        <f>A!V1282</f>
        <v>0</v>
      </c>
    </row>
    <row r="189" spans="2:27" ht="12" customHeight="1">
      <c r="B189" s="173" t="s">
        <v>102</v>
      </c>
      <c r="C189" s="154">
        <f>A!B1283</f>
        <v>7.9299799999999996</v>
      </c>
      <c r="D189" s="180" t="str">
        <f>A!C1283</f>
        <v>06-Jan</v>
      </c>
      <c r="E189" s="164">
        <f>A!D1283</f>
        <v>6</v>
      </c>
      <c r="F189" s="380">
        <f>A!E1283</f>
        <v>8.89</v>
      </c>
      <c r="G189" s="176">
        <f>A!F1283</f>
        <v>36897</v>
      </c>
      <c r="H189" s="164">
        <f>A!G1283</f>
        <v>6</v>
      </c>
      <c r="I189" s="380">
        <f>A!H1283</f>
        <v>8.83</v>
      </c>
      <c r="J189" s="176">
        <f>A!I1283</f>
        <v>36897</v>
      </c>
      <c r="K189" s="164">
        <f>A!J1283</f>
        <v>6</v>
      </c>
      <c r="L189" s="380">
        <f>A!K1283</f>
        <v>8.7247196659979505</v>
      </c>
      <c r="M189" s="176" t="str">
        <f>A!L1283</f>
        <v>01/06</v>
      </c>
      <c r="N189" s="164" t="str">
        <f>A!M1283</f>
        <v>06:00</v>
      </c>
      <c r="O189" s="380">
        <f>A!N1283</f>
        <v>8</v>
      </c>
      <c r="P189" s="176">
        <f>A!O1283</f>
        <v>6</v>
      </c>
      <c r="Q189" s="164">
        <f>A!P1283</f>
        <v>5</v>
      </c>
      <c r="R189" s="380">
        <f>A!Q1283</f>
        <v>6.99</v>
      </c>
      <c r="S189" s="176">
        <f>A!R1283</f>
        <v>37627</v>
      </c>
      <c r="T189" s="164">
        <f>A!S1283</f>
        <v>5</v>
      </c>
      <c r="U189" s="190">
        <f t="shared" si="21"/>
        <v>6.99</v>
      </c>
      <c r="V189" s="154">
        <f t="shared" si="22"/>
        <v>8.89</v>
      </c>
      <c r="W189" s="27">
        <f t="shared" si="23"/>
        <v>0.23093425215047422</v>
      </c>
      <c r="Y189" s="598">
        <f>A!T1283</f>
        <v>0</v>
      </c>
      <c r="Z189" s="681">
        <f>A!U1283</f>
        <v>0</v>
      </c>
      <c r="AA189" s="673">
        <f>A!V1283</f>
        <v>0</v>
      </c>
    </row>
    <row r="190" spans="2:27" ht="12" customHeight="1">
      <c r="B190" s="173" t="s">
        <v>356</v>
      </c>
      <c r="C190" s="154">
        <f>A!B1284</f>
        <v>7.9299799999999996</v>
      </c>
      <c r="D190" s="180" t="str">
        <f>A!C1284</f>
        <v>06-Jan</v>
      </c>
      <c r="E190" s="164">
        <f>A!D1284</f>
        <v>6</v>
      </c>
      <c r="F190" s="380">
        <f>A!E1284</f>
        <v>8.89</v>
      </c>
      <c r="G190" s="176">
        <f>A!F1284</f>
        <v>36897</v>
      </c>
      <c r="H190" s="164">
        <f>A!G1284</f>
        <v>6</v>
      </c>
      <c r="I190" s="380">
        <f>A!H1284</f>
        <v>8.83</v>
      </c>
      <c r="J190" s="176">
        <f>A!I1284</f>
        <v>36897</v>
      </c>
      <c r="K190" s="164">
        <f>A!J1284</f>
        <v>6</v>
      </c>
      <c r="L190" s="380">
        <f>A!K1284</f>
        <v>8.7247196659979505</v>
      </c>
      <c r="M190" s="176" t="str">
        <f>A!L1284</f>
        <v>01/06</v>
      </c>
      <c r="N190" s="164" t="str">
        <f>A!M1284</f>
        <v>06:00</v>
      </c>
      <c r="O190" s="380">
        <f>A!N1284</f>
        <v>8</v>
      </c>
      <c r="P190" s="176">
        <f>A!O1284</f>
        <v>6</v>
      </c>
      <c r="Q190" s="164">
        <f>A!P1284</f>
        <v>5</v>
      </c>
      <c r="R190" s="380">
        <f>A!Q1284</f>
        <v>6.99</v>
      </c>
      <c r="S190" s="176">
        <f>A!R1284</f>
        <v>37627</v>
      </c>
      <c r="T190" s="164">
        <f>A!S1284</f>
        <v>5</v>
      </c>
      <c r="U190" s="190">
        <f t="shared" si="21"/>
        <v>6.99</v>
      </c>
      <c r="V190" s="154">
        <f t="shared" si="22"/>
        <v>8.89</v>
      </c>
      <c r="W190" s="27">
        <f t="shared" si="23"/>
        <v>0.23093425215047422</v>
      </c>
      <c r="Y190" s="598">
        <f>A!T1284</f>
        <v>0</v>
      </c>
      <c r="Z190" s="681">
        <f>A!U1284</f>
        <v>0</v>
      </c>
      <c r="AA190" s="673">
        <f>A!V1284</f>
        <v>0</v>
      </c>
    </row>
    <row r="191" spans="2:27" ht="12" customHeight="1">
      <c r="B191" s="173" t="s">
        <v>105</v>
      </c>
      <c r="C191" s="154">
        <f>A!B1285</f>
        <v>7.9299799999999996</v>
      </c>
      <c r="D191" s="180" t="str">
        <f>A!C1285</f>
        <v>06-Jan</v>
      </c>
      <c r="E191" s="164">
        <f>A!D1285</f>
        <v>6</v>
      </c>
      <c r="F191" s="380">
        <f>A!E1285</f>
        <v>8.89</v>
      </c>
      <c r="G191" s="176">
        <f>A!F1285</f>
        <v>36897</v>
      </c>
      <c r="H191" s="164">
        <f>A!G1285</f>
        <v>6</v>
      </c>
      <c r="I191" s="380">
        <f>A!H1285</f>
        <v>8.83</v>
      </c>
      <c r="J191" s="176">
        <f>A!I1285</f>
        <v>36897</v>
      </c>
      <c r="K191" s="164">
        <f>A!J1285</f>
        <v>6</v>
      </c>
      <c r="L191" s="380">
        <f>A!K1285</f>
        <v>8.7262833957235895</v>
      </c>
      <c r="M191" s="176" t="str">
        <f>A!L1285</f>
        <v>01/06</v>
      </c>
      <c r="N191" s="164" t="str">
        <f>A!M1285</f>
        <v>06:00</v>
      </c>
      <c r="O191" s="380">
        <f>A!N1285</f>
        <v>8</v>
      </c>
      <c r="P191" s="176">
        <f>A!O1285</f>
        <v>6</v>
      </c>
      <c r="Q191" s="164">
        <f>A!P1285</f>
        <v>5</v>
      </c>
      <c r="R191" s="380">
        <f>A!Q1285</f>
        <v>6.99</v>
      </c>
      <c r="S191" s="176">
        <f>A!R1285</f>
        <v>37627</v>
      </c>
      <c r="T191" s="164">
        <f>A!S1285</f>
        <v>5</v>
      </c>
      <c r="U191" s="190">
        <f t="shared" si="21"/>
        <v>6.99</v>
      </c>
      <c r="V191" s="154">
        <f t="shared" si="22"/>
        <v>8.89</v>
      </c>
      <c r="W191" s="27">
        <f t="shared" si="23"/>
        <v>0.23092693705854875</v>
      </c>
      <c r="Y191" s="598">
        <f>A!T1285</f>
        <v>0</v>
      </c>
      <c r="Z191" s="681">
        <f>A!U1285</f>
        <v>0</v>
      </c>
      <c r="AA191" s="673">
        <f>A!V1285</f>
        <v>0</v>
      </c>
    </row>
    <row r="192" spans="2:27" ht="12" customHeight="1">
      <c r="B192" s="173" t="s">
        <v>108</v>
      </c>
      <c r="C192" s="154">
        <f>A!B1286</f>
        <v>7.9299799999999996</v>
      </c>
      <c r="D192" s="180" t="str">
        <f>A!C1286</f>
        <v>06-Jan</v>
      </c>
      <c r="E192" s="164">
        <f>A!D1286</f>
        <v>6</v>
      </c>
      <c r="F192" s="380">
        <f>A!E1286</f>
        <v>8.89</v>
      </c>
      <c r="G192" s="176">
        <f>A!F1286</f>
        <v>36897</v>
      </c>
      <c r="H192" s="164">
        <f>A!G1286</f>
        <v>6</v>
      </c>
      <c r="I192" s="380">
        <f>A!H1286</f>
        <v>8.83</v>
      </c>
      <c r="J192" s="176">
        <f>A!I1286</f>
        <v>36897</v>
      </c>
      <c r="K192" s="164">
        <f>A!J1286</f>
        <v>6</v>
      </c>
      <c r="L192" s="380">
        <f>A!K1286</f>
        <v>8.7264633127036095</v>
      </c>
      <c r="M192" s="176" t="str">
        <f>A!L1286</f>
        <v>01/06</v>
      </c>
      <c r="N192" s="164" t="str">
        <f>A!M1286</f>
        <v>06:00</v>
      </c>
      <c r="O192" s="380">
        <f>A!N1286</f>
        <v>8</v>
      </c>
      <c r="P192" s="176">
        <f>A!O1286</f>
        <v>6</v>
      </c>
      <c r="Q192" s="164">
        <f>A!P1286</f>
        <v>5</v>
      </c>
      <c r="R192" s="380">
        <f>A!Q1286</f>
        <v>6.99</v>
      </c>
      <c r="S192" s="176">
        <f>A!R1286</f>
        <v>37627</v>
      </c>
      <c r="T192" s="164">
        <f>A!S1286</f>
        <v>5</v>
      </c>
      <c r="U192" s="190">
        <f t="shared" si="21"/>
        <v>6.99</v>
      </c>
      <c r="V192" s="154">
        <f t="shared" si="22"/>
        <v>8.89</v>
      </c>
      <c r="W192" s="27">
        <f t="shared" si="23"/>
        <v>0.23092609544075474</v>
      </c>
      <c r="Y192" s="598">
        <f>A!T1286</f>
        <v>0</v>
      </c>
      <c r="Z192" s="681">
        <f>A!U1286</f>
        <v>0</v>
      </c>
      <c r="AA192" s="673">
        <f>A!V1286</f>
        <v>0</v>
      </c>
    </row>
    <row r="193" spans="2:27" ht="12" customHeight="1">
      <c r="B193" s="173" t="s">
        <v>109</v>
      </c>
      <c r="C193" s="154">
        <f>A!B1287</f>
        <v>7.9299799999999996</v>
      </c>
      <c r="D193" s="180" t="str">
        <f>A!C1287</f>
        <v>06-Jan</v>
      </c>
      <c r="E193" s="164">
        <f>A!D1287</f>
        <v>6</v>
      </c>
      <c r="F193" s="380">
        <f>A!E1287</f>
        <v>8.89</v>
      </c>
      <c r="G193" s="176">
        <f>A!F1287</f>
        <v>36897</v>
      </c>
      <c r="H193" s="164">
        <f>A!G1287</f>
        <v>6</v>
      </c>
      <c r="I193" s="380">
        <f>A!H1287</f>
        <v>8.83</v>
      </c>
      <c r="J193" s="176">
        <f>A!I1287</f>
        <v>36897</v>
      </c>
      <c r="K193" s="164">
        <f>A!J1287</f>
        <v>6</v>
      </c>
      <c r="L193" s="380">
        <f>A!K1287</f>
        <v>8.7262833957235593</v>
      </c>
      <c r="M193" s="176" t="str">
        <f>A!L1287</f>
        <v>01/06</v>
      </c>
      <c r="N193" s="164" t="str">
        <f>A!M1287</f>
        <v>06:00</v>
      </c>
      <c r="O193" s="380"/>
      <c r="P193" s="176"/>
      <c r="Q193" s="164"/>
      <c r="R193" s="380">
        <f>A!Q1287</f>
        <v>6.99</v>
      </c>
      <c r="S193" s="176">
        <f>A!R1287</f>
        <v>37627</v>
      </c>
      <c r="T193" s="164">
        <f>A!S1287</f>
        <v>5</v>
      </c>
      <c r="U193" s="190">
        <f t="shared" si="21"/>
        <v>6.99</v>
      </c>
      <c r="V193" s="154">
        <f t="shared" si="22"/>
        <v>8.89</v>
      </c>
      <c r="W193" s="27">
        <f t="shared" si="23"/>
        <v>0.22965574408110817</v>
      </c>
      <c r="Y193" s="598">
        <f>A!T1287</f>
        <v>0</v>
      </c>
      <c r="Z193" s="681">
        <f>A!U1287</f>
        <v>0</v>
      </c>
      <c r="AA193" s="673">
        <f>A!V1287</f>
        <v>0</v>
      </c>
    </row>
    <row r="194" spans="2:27" ht="12" customHeight="1">
      <c r="B194" s="173" t="s">
        <v>111</v>
      </c>
      <c r="C194" s="154">
        <f>A!B1288</f>
        <v>7.9299799999999996</v>
      </c>
      <c r="D194" s="180" t="str">
        <f>A!C1288</f>
        <v>06-Jan</v>
      </c>
      <c r="E194" s="164">
        <f>A!D1288</f>
        <v>6</v>
      </c>
      <c r="F194" s="380">
        <f>A!E1288</f>
        <v>8.89</v>
      </c>
      <c r="G194" s="176">
        <f>A!F1288</f>
        <v>36897</v>
      </c>
      <c r="H194" s="164">
        <f>A!G1288</f>
        <v>6</v>
      </c>
      <c r="I194" s="380">
        <f>A!H1288</f>
        <v>8.83</v>
      </c>
      <c r="J194" s="176">
        <f>A!I1288</f>
        <v>36897</v>
      </c>
      <c r="K194" s="164">
        <f>A!J1288</f>
        <v>6</v>
      </c>
      <c r="L194" s="380"/>
      <c r="M194" s="176"/>
      <c r="N194" s="164"/>
      <c r="O194" s="380"/>
      <c r="P194" s="176"/>
      <c r="Q194" s="164"/>
      <c r="R194" s="380">
        <f>A!Q1288</f>
        <v>6.99</v>
      </c>
      <c r="S194" s="176">
        <f>A!R1288</f>
        <v>37627</v>
      </c>
      <c r="T194" s="164">
        <f>A!S1288</f>
        <v>5</v>
      </c>
      <c r="U194" s="190">
        <f t="shared" si="21"/>
        <v>6.99</v>
      </c>
      <c r="V194" s="154">
        <f t="shared" si="22"/>
        <v>8.89</v>
      </c>
      <c r="W194" s="27">
        <f t="shared" si="23"/>
        <v>0.23284327992848039</v>
      </c>
      <c r="Y194" s="598">
        <f>A!T1288</f>
        <v>0</v>
      </c>
      <c r="Z194" s="681">
        <f>A!U1288</f>
        <v>0</v>
      </c>
      <c r="AA194" s="673">
        <f>A!V1288</f>
        <v>0</v>
      </c>
    </row>
    <row r="195" spans="2:27" ht="12" customHeight="1">
      <c r="B195" s="173" t="s">
        <v>112</v>
      </c>
      <c r="C195" s="154">
        <f>A!B1289</f>
        <v>7.9299799999999996</v>
      </c>
      <c r="D195" s="180" t="str">
        <f>A!C1289</f>
        <v>06-Jan</v>
      </c>
      <c r="E195" s="164">
        <f>A!D1289</f>
        <v>6</v>
      </c>
      <c r="F195" s="380">
        <f>A!E1289</f>
        <v>8.89</v>
      </c>
      <c r="G195" s="176">
        <f>A!F1289</f>
        <v>36897</v>
      </c>
      <c r="H195" s="164">
        <f>A!G1289</f>
        <v>6</v>
      </c>
      <c r="I195" s="380">
        <f>A!H1289</f>
        <v>8.83</v>
      </c>
      <c r="J195" s="176">
        <f>A!I1289</f>
        <v>36897</v>
      </c>
      <c r="K195" s="164">
        <f>A!J1289</f>
        <v>6</v>
      </c>
      <c r="L195" s="380">
        <f>A!K1289</f>
        <v>8.7262833957235593</v>
      </c>
      <c r="M195" s="176" t="str">
        <f>A!L1289</f>
        <v>01/06</v>
      </c>
      <c r="N195" s="164" t="str">
        <f>A!M1289</f>
        <v>06:00</v>
      </c>
      <c r="O195" s="380"/>
      <c r="P195" s="176"/>
      <c r="Q195" s="164"/>
      <c r="R195" s="380">
        <f>A!Q1289</f>
        <v>6.99</v>
      </c>
      <c r="S195" s="176">
        <f>A!R1289</f>
        <v>37627</v>
      </c>
      <c r="T195" s="164">
        <f>A!S1289</f>
        <v>5</v>
      </c>
      <c r="U195" s="190">
        <f t="shared" si="21"/>
        <v>6.99</v>
      </c>
      <c r="V195" s="154">
        <f t="shared" si="22"/>
        <v>8.89</v>
      </c>
      <c r="W195" s="27">
        <f t="shared" si="23"/>
        <v>0.22965574408110817</v>
      </c>
      <c r="Y195" s="598">
        <f>A!T1289</f>
        <v>0</v>
      </c>
      <c r="Z195" s="681">
        <f>A!U1289</f>
        <v>0</v>
      </c>
      <c r="AA195" s="673">
        <f>A!V1289</f>
        <v>0</v>
      </c>
    </row>
    <row r="196" spans="2:27" ht="12" customHeight="1">
      <c r="B196" s="173" t="s">
        <v>113</v>
      </c>
      <c r="C196" s="154">
        <f>A!B1290</f>
        <v>7.9299799999999996</v>
      </c>
      <c r="D196" s="180" t="str">
        <f>A!C1290</f>
        <v>06-Jan</v>
      </c>
      <c r="E196" s="164">
        <f>A!D1290</f>
        <v>6</v>
      </c>
      <c r="F196" s="380">
        <f>A!E1290</f>
        <v>8.89</v>
      </c>
      <c r="G196" s="176">
        <f>A!F1290</f>
        <v>36897</v>
      </c>
      <c r="H196" s="164">
        <f>A!G1290</f>
        <v>6</v>
      </c>
      <c r="I196" s="380">
        <f>A!H1290</f>
        <v>8.83</v>
      </c>
      <c r="J196" s="176">
        <f>A!I1290</f>
        <v>36897</v>
      </c>
      <c r="K196" s="164">
        <f>A!J1290</f>
        <v>6</v>
      </c>
      <c r="L196" s="380">
        <f>A!K1290</f>
        <v>8.7262833957235593</v>
      </c>
      <c r="M196" s="176" t="str">
        <f>A!L1290</f>
        <v>01/06</v>
      </c>
      <c r="N196" s="164" t="str">
        <f>A!M1290</f>
        <v>06:00</v>
      </c>
      <c r="O196" s="380"/>
      <c r="P196" s="176"/>
      <c r="Q196" s="164"/>
      <c r="R196" s="380">
        <f>A!Q1290</f>
        <v>6.99</v>
      </c>
      <c r="S196" s="176">
        <f>A!R1290</f>
        <v>37627</v>
      </c>
      <c r="T196" s="164">
        <f>A!S1290</f>
        <v>5</v>
      </c>
      <c r="U196" s="190">
        <f t="shared" si="21"/>
        <v>6.99</v>
      </c>
      <c r="V196" s="154">
        <f t="shared" si="22"/>
        <v>8.89</v>
      </c>
      <c r="W196" s="27">
        <f t="shared" si="23"/>
        <v>0.22965574408110817</v>
      </c>
      <c r="Y196" s="598">
        <f>A!T1290</f>
        <v>0</v>
      </c>
      <c r="Z196" s="681">
        <f>A!U1290</f>
        <v>0</v>
      </c>
      <c r="AA196" s="673">
        <f>A!V1290</f>
        <v>0</v>
      </c>
    </row>
    <row r="197" spans="2:27" ht="12" customHeight="1">
      <c r="B197" s="173" t="s">
        <v>114</v>
      </c>
      <c r="C197" s="154">
        <f>A!B1291</f>
        <v>7.9299799999999996</v>
      </c>
      <c r="D197" s="180" t="str">
        <f>A!C1291</f>
        <v>06-Jan</v>
      </c>
      <c r="E197" s="164">
        <f>A!D1291</f>
        <v>6</v>
      </c>
      <c r="F197" s="380">
        <f>A!E1291</f>
        <v>8.89</v>
      </c>
      <c r="G197" s="176">
        <f>A!F1291</f>
        <v>36897</v>
      </c>
      <c r="H197" s="164">
        <f>A!G1291</f>
        <v>6</v>
      </c>
      <c r="I197" s="380">
        <f>A!H1291</f>
        <v>8.83</v>
      </c>
      <c r="J197" s="176">
        <f>A!I1291</f>
        <v>36897</v>
      </c>
      <c r="K197" s="164">
        <f>A!J1291</f>
        <v>6</v>
      </c>
      <c r="L197" s="380">
        <f>A!K1291</f>
        <v>8.7262833957235593</v>
      </c>
      <c r="M197" s="176" t="str">
        <f>A!L1291</f>
        <v>01/06</v>
      </c>
      <c r="N197" s="164" t="str">
        <f>A!M1291</f>
        <v>06:00</v>
      </c>
      <c r="O197" s="380"/>
      <c r="P197" s="176"/>
      <c r="Q197" s="164"/>
      <c r="R197" s="380">
        <f>A!Q1291</f>
        <v>7</v>
      </c>
      <c r="S197" s="176">
        <f>A!R1291</f>
        <v>37627</v>
      </c>
      <c r="T197" s="164">
        <f>A!S1291</f>
        <v>5</v>
      </c>
      <c r="U197" s="190">
        <f t="shared" si="21"/>
        <v>7</v>
      </c>
      <c r="V197" s="154">
        <f t="shared" si="22"/>
        <v>8.89</v>
      </c>
      <c r="W197" s="27">
        <f t="shared" si="23"/>
        <v>0.22839181754089249</v>
      </c>
      <c r="Y197" s="598">
        <f>A!T1291</f>
        <v>0</v>
      </c>
      <c r="Z197" s="681">
        <f>A!U1291</f>
        <v>0</v>
      </c>
      <c r="AA197" s="673">
        <f>A!V1291</f>
        <v>0</v>
      </c>
    </row>
    <row r="198" spans="2:27" ht="12" customHeight="1">
      <c r="B198" s="173" t="s">
        <v>115</v>
      </c>
      <c r="C198" s="154">
        <f>A!B1292</f>
        <v>8.4270099999999992</v>
      </c>
      <c r="D198" s="180" t="str">
        <f>A!C1292</f>
        <v>20-Dec</v>
      </c>
      <c r="E198" s="164">
        <f>A!D1292</f>
        <v>22</v>
      </c>
      <c r="F198" s="380">
        <f>A!E1292</f>
        <v>8.17</v>
      </c>
      <c r="G198" s="176">
        <f>A!F1292</f>
        <v>38341</v>
      </c>
      <c r="H198" s="164">
        <f>A!G1292</f>
        <v>12</v>
      </c>
      <c r="I198" s="380">
        <f>A!H1292</f>
        <v>7.94</v>
      </c>
      <c r="J198" s="176">
        <f>A!I1292</f>
        <v>37975</v>
      </c>
      <c r="K198" s="164">
        <f>A!J1292</f>
        <v>11</v>
      </c>
      <c r="L198" s="380">
        <f>A!K1292</f>
        <v>8.8363228331094898</v>
      </c>
      <c r="M198" s="176" t="str">
        <f>A!L1292</f>
        <v>12/21</v>
      </c>
      <c r="N198" s="164" t="str">
        <f>A!M1292</f>
        <v>01:00</v>
      </c>
      <c r="O198" s="380">
        <f>A!N1292</f>
        <v>8.5399999999999991</v>
      </c>
      <c r="P198" s="176">
        <f>A!O1292</f>
        <v>355</v>
      </c>
      <c r="Q198" s="164">
        <f>A!P1292</f>
        <v>20</v>
      </c>
      <c r="R198" s="380">
        <f>A!Q1292</f>
        <v>24.04</v>
      </c>
      <c r="S198" s="176">
        <f>A!R1292</f>
        <v>37726</v>
      </c>
      <c r="T198" s="164">
        <f>A!S1292</f>
        <v>5</v>
      </c>
      <c r="U198" s="190">
        <f t="shared" si="21"/>
        <v>7.94</v>
      </c>
      <c r="V198" s="154">
        <f t="shared" si="22"/>
        <v>24.04</v>
      </c>
      <c r="W198" s="27">
        <f t="shared" si="23"/>
        <v>1.4646720014049912</v>
      </c>
      <c r="Y198" s="598">
        <f>A!T1292</f>
        <v>0</v>
      </c>
      <c r="Z198" s="681">
        <f>A!U1292</f>
        <v>0</v>
      </c>
      <c r="AA198" s="673">
        <f>A!V1292</f>
        <v>0</v>
      </c>
    </row>
    <row r="199" spans="2:27" ht="12" customHeight="1">
      <c r="B199" s="173" t="s">
        <v>121</v>
      </c>
      <c r="C199" s="154">
        <f>A!B1293</f>
        <v>8.4270099999999992</v>
      </c>
      <c r="D199" s="180" t="str">
        <f>A!C1293</f>
        <v>20-Dec</v>
      </c>
      <c r="E199" s="164">
        <f>A!D1293</f>
        <v>22</v>
      </c>
      <c r="F199" s="380">
        <f>A!E1293</f>
        <v>8.17</v>
      </c>
      <c r="G199" s="176">
        <f>A!F1293</f>
        <v>38341</v>
      </c>
      <c r="H199" s="164">
        <f>A!G1293</f>
        <v>12</v>
      </c>
      <c r="I199" s="380">
        <f>A!H1293</f>
        <v>7.94</v>
      </c>
      <c r="J199" s="176">
        <f>A!I1293</f>
        <v>37975</v>
      </c>
      <c r="K199" s="164">
        <f>A!J1293</f>
        <v>11</v>
      </c>
      <c r="L199" s="380">
        <f>A!K1293</f>
        <v>8.8363228424112794</v>
      </c>
      <c r="M199" s="176" t="str">
        <f>A!L1293</f>
        <v>12/21</v>
      </c>
      <c r="N199" s="164" t="str">
        <f>A!M1293</f>
        <v>01:00</v>
      </c>
      <c r="O199" s="380">
        <f>A!N1293</f>
        <v>8.5399999999999991</v>
      </c>
      <c r="P199" s="176">
        <f>A!O1293</f>
        <v>355</v>
      </c>
      <c r="Q199" s="164">
        <f>A!P1293</f>
        <v>20</v>
      </c>
      <c r="R199" s="380">
        <f>A!Q1293</f>
        <v>24.04</v>
      </c>
      <c r="S199" s="176">
        <f>A!R1293</f>
        <v>37726</v>
      </c>
      <c r="T199" s="164">
        <f>A!S1293</f>
        <v>5</v>
      </c>
      <c r="U199" s="190">
        <f t="shared" si="21"/>
        <v>7.94</v>
      </c>
      <c r="V199" s="154">
        <f t="shared" si="22"/>
        <v>24.04</v>
      </c>
      <c r="W199" s="27">
        <f t="shared" si="23"/>
        <v>1.4646720011984198</v>
      </c>
      <c r="Y199" s="598">
        <f>A!T1293</f>
        <v>0</v>
      </c>
      <c r="Z199" s="681">
        <f>A!U1293</f>
        <v>0</v>
      </c>
      <c r="AA199" s="673">
        <f>A!V1293</f>
        <v>0</v>
      </c>
    </row>
    <row r="200" spans="2:27" ht="12" customHeight="1">
      <c r="B200" s="173" t="s">
        <v>125</v>
      </c>
      <c r="C200" s="154">
        <f>A!B1294</f>
        <v>8.3052600000000005</v>
      </c>
      <c r="D200" s="180" t="str">
        <f>A!C1294</f>
        <v>20-Dec</v>
      </c>
      <c r="E200" s="164">
        <f>A!D1294</f>
        <v>22</v>
      </c>
      <c r="F200" s="380">
        <f>A!E1294</f>
        <v>8.11</v>
      </c>
      <c r="G200" s="176">
        <f>A!F1294</f>
        <v>38341</v>
      </c>
      <c r="H200" s="164">
        <f>A!G1294</f>
        <v>12</v>
      </c>
      <c r="I200" s="380">
        <f>A!H1294</f>
        <v>7.89</v>
      </c>
      <c r="J200" s="176">
        <f>A!I1294</f>
        <v>37975</v>
      </c>
      <c r="K200" s="164">
        <f>A!J1294</f>
        <v>12</v>
      </c>
      <c r="L200" s="380">
        <f>A!K1294</f>
        <v>8.7329520948337294</v>
      </c>
      <c r="M200" s="176" t="str">
        <f>A!L1294</f>
        <v>12/21</v>
      </c>
      <c r="N200" s="164" t="str">
        <f>A!M1294</f>
        <v>01:00</v>
      </c>
      <c r="O200" s="380">
        <f>A!N1294</f>
        <v>8.51</v>
      </c>
      <c r="P200" s="176">
        <f>A!O1294</f>
        <v>355</v>
      </c>
      <c r="Q200" s="164">
        <f>A!P1294</f>
        <v>20</v>
      </c>
      <c r="R200" s="380">
        <f>A!Q1294</f>
        <v>13.57</v>
      </c>
      <c r="S200" s="176">
        <f>A!R1294</f>
        <v>37926</v>
      </c>
      <c r="T200" s="164">
        <f>A!S1294</f>
        <v>7</v>
      </c>
      <c r="U200" s="190">
        <f t="shared" si="21"/>
        <v>7.89</v>
      </c>
      <c r="V200" s="154">
        <f t="shared" si="22"/>
        <v>13.57</v>
      </c>
      <c r="W200" s="27">
        <f t="shared" si="23"/>
        <v>0.61830742879256684</v>
      </c>
      <c r="Y200" s="598">
        <f>A!T1294</f>
        <v>0</v>
      </c>
      <c r="Z200" s="681">
        <f>A!U1294</f>
        <v>0</v>
      </c>
      <c r="AA200" s="673">
        <f>A!V1294</f>
        <v>0</v>
      </c>
    </row>
    <row r="201" spans="2:27" ht="12" customHeight="1">
      <c r="B201" s="173" t="s">
        <v>127</v>
      </c>
      <c r="C201" s="154">
        <f>A!B1295</f>
        <v>8.4140999999999995</v>
      </c>
      <c r="D201" s="180" t="str">
        <f>A!C1295</f>
        <v>20-Dec</v>
      </c>
      <c r="E201" s="164">
        <f>A!D1295</f>
        <v>22</v>
      </c>
      <c r="F201" s="380">
        <f>A!E1295</f>
        <v>8.17</v>
      </c>
      <c r="G201" s="176">
        <f>A!F1295</f>
        <v>38341</v>
      </c>
      <c r="H201" s="164">
        <f>A!G1295</f>
        <v>12</v>
      </c>
      <c r="I201" s="380">
        <f>A!H1295</f>
        <v>7.94</v>
      </c>
      <c r="J201" s="176">
        <f>A!I1295</f>
        <v>37975</v>
      </c>
      <c r="K201" s="164">
        <f>A!J1295</f>
        <v>11</v>
      </c>
      <c r="L201" s="380">
        <f>A!K1295</f>
        <v>8.7910868675373006</v>
      </c>
      <c r="M201" s="176" t="str">
        <f>A!L1295</f>
        <v>12/21</v>
      </c>
      <c r="N201" s="164" t="str">
        <f>A!M1295</f>
        <v>01:00</v>
      </c>
      <c r="O201" s="380">
        <f>A!N1295</f>
        <v>8.5399999999999991</v>
      </c>
      <c r="P201" s="176">
        <f>A!O1295</f>
        <v>355</v>
      </c>
      <c r="Q201" s="164">
        <f>A!P1295</f>
        <v>20</v>
      </c>
      <c r="R201" s="380">
        <f>A!Q1295</f>
        <v>15.98</v>
      </c>
      <c r="S201" s="176">
        <f>A!R1295</f>
        <v>37723</v>
      </c>
      <c r="T201" s="164">
        <f>A!S1295</f>
        <v>19</v>
      </c>
      <c r="U201" s="190">
        <f t="shared" si="21"/>
        <v>7.94</v>
      </c>
      <c r="V201" s="154">
        <f t="shared" si="22"/>
        <v>15.98</v>
      </c>
      <c r="W201" s="27">
        <f t="shared" si="23"/>
        <v>0.83409430508950155</v>
      </c>
      <c r="Y201" s="598">
        <f>A!T1295</f>
        <v>0</v>
      </c>
      <c r="Z201" s="681">
        <f>A!U1295</f>
        <v>0</v>
      </c>
      <c r="AA201" s="673">
        <f>A!V1295</f>
        <v>0</v>
      </c>
    </row>
    <row r="202" spans="2:27" ht="12" customHeight="1">
      <c r="B202" s="173" t="s">
        <v>130</v>
      </c>
      <c r="C202" s="154">
        <f>A!B1296</f>
        <v>8.4441500000000005</v>
      </c>
      <c r="D202" s="180" t="str">
        <f>A!C1296</f>
        <v>20-Dec</v>
      </c>
      <c r="E202" s="164">
        <f>A!D1296</f>
        <v>22</v>
      </c>
      <c r="F202" s="380">
        <f>A!E1296</f>
        <v>8.17</v>
      </c>
      <c r="G202" s="176">
        <f>A!F1296</f>
        <v>38341</v>
      </c>
      <c r="H202" s="164">
        <f>A!G1296</f>
        <v>13</v>
      </c>
      <c r="I202" s="380">
        <f>A!H1296</f>
        <v>7.94</v>
      </c>
      <c r="J202" s="176">
        <f>A!I1296</f>
        <v>37975</v>
      </c>
      <c r="K202" s="164">
        <f>A!J1296</f>
        <v>12</v>
      </c>
      <c r="L202" s="380">
        <f>A!K1296</f>
        <v>8.9123428144218799</v>
      </c>
      <c r="M202" s="176" t="str">
        <f>A!L1296</f>
        <v>12/21</v>
      </c>
      <c r="N202" s="164" t="str">
        <f>A!M1296</f>
        <v>01:00</v>
      </c>
      <c r="O202" s="380">
        <f>A!N1296</f>
        <v>8.5399999999999991</v>
      </c>
      <c r="P202" s="176">
        <f>A!O1296</f>
        <v>355</v>
      </c>
      <c r="Q202" s="164">
        <f>A!P1296</f>
        <v>20</v>
      </c>
      <c r="R202" s="380">
        <f>A!Q1296</f>
        <v>33.01</v>
      </c>
      <c r="S202" s="176">
        <f>A!R1296</f>
        <v>37712</v>
      </c>
      <c r="T202" s="164">
        <f>A!S1296</f>
        <v>8</v>
      </c>
      <c r="U202" s="190">
        <f t="shared" si="21"/>
        <v>7.94</v>
      </c>
      <c r="V202" s="154">
        <f t="shared" si="22"/>
        <v>33.01</v>
      </c>
      <c r="W202" s="27">
        <f t="shared" si="23"/>
        <v>2.0051590571171278</v>
      </c>
      <c r="Y202" s="598">
        <f>A!T1296</f>
        <v>0</v>
      </c>
      <c r="Z202" s="681">
        <f>A!U1296</f>
        <v>0</v>
      </c>
      <c r="AA202" s="673">
        <f>A!V1296</f>
        <v>0</v>
      </c>
    </row>
    <row r="203" spans="2:27" ht="12" customHeight="1">
      <c r="B203" s="173" t="s">
        <v>132</v>
      </c>
      <c r="C203" s="154">
        <f>A!B1297</f>
        <v>8.4215</v>
      </c>
      <c r="D203" s="180" t="str">
        <f>A!C1297</f>
        <v>20-Dec</v>
      </c>
      <c r="E203" s="164">
        <f>A!D1297</f>
        <v>22</v>
      </c>
      <c r="F203" s="380">
        <f>A!E1297</f>
        <v>8.17</v>
      </c>
      <c r="G203" s="176">
        <f>A!F1297</f>
        <v>38341</v>
      </c>
      <c r="H203" s="164">
        <f>A!G1297</f>
        <v>12</v>
      </c>
      <c r="I203" s="380">
        <f>A!H1297</f>
        <v>7.94</v>
      </c>
      <c r="J203" s="176">
        <f>A!I1297</f>
        <v>37975</v>
      </c>
      <c r="K203" s="164">
        <f>A!J1297</f>
        <v>11</v>
      </c>
      <c r="L203" s="380">
        <f>A!K1297</f>
        <v>8.9817083115594407</v>
      </c>
      <c r="M203" s="176" t="str">
        <f>A!L1297</f>
        <v>12/21</v>
      </c>
      <c r="N203" s="164" t="str">
        <f>A!M1297</f>
        <v>02:00</v>
      </c>
      <c r="O203" s="380">
        <f>A!N1297</f>
        <v>8.5399999999999991</v>
      </c>
      <c r="P203" s="176">
        <f>A!O1297</f>
        <v>355</v>
      </c>
      <c r="Q203" s="164">
        <f>A!P1297</f>
        <v>20</v>
      </c>
      <c r="R203" s="380">
        <f>A!Q1297</f>
        <v>24.04</v>
      </c>
      <c r="S203" s="176">
        <f>A!R1297</f>
        <v>37726</v>
      </c>
      <c r="T203" s="164">
        <f>A!S1297</f>
        <v>5</v>
      </c>
      <c r="U203" s="190">
        <f t="shared" si="21"/>
        <v>7.94</v>
      </c>
      <c r="V203" s="154">
        <f t="shared" si="22"/>
        <v>24.04</v>
      </c>
      <c r="W203" s="27">
        <f t="shared" si="23"/>
        <v>1.4615722623818375</v>
      </c>
      <c r="Y203" s="598">
        <f>A!T1297</f>
        <v>0</v>
      </c>
      <c r="Z203" s="681">
        <f>A!U1297</f>
        <v>0</v>
      </c>
      <c r="AA203" s="673">
        <f>A!V1297</f>
        <v>0</v>
      </c>
    </row>
    <row r="204" spans="2:27" ht="12" customHeight="1">
      <c r="B204" s="173" t="s">
        <v>135</v>
      </c>
      <c r="C204" s="154">
        <f>A!B1298</f>
        <v>8.2277799999999992</v>
      </c>
      <c r="D204" s="180" t="str">
        <f>A!C1298</f>
        <v>20-Dec</v>
      </c>
      <c r="E204" s="164">
        <f>A!D1298</f>
        <v>22</v>
      </c>
      <c r="F204" s="380">
        <f>A!E1298</f>
        <v>8.11</v>
      </c>
      <c r="G204" s="176">
        <f>A!F1298</f>
        <v>38341</v>
      </c>
      <c r="H204" s="164">
        <f>A!G1298</f>
        <v>12</v>
      </c>
      <c r="I204" s="380">
        <f>A!H1298</f>
        <v>7.89</v>
      </c>
      <c r="J204" s="176">
        <f>A!I1298</f>
        <v>37975</v>
      </c>
      <c r="K204" s="164">
        <f>A!J1298</f>
        <v>12</v>
      </c>
      <c r="L204" s="380">
        <f>A!K1298</f>
        <v>8.8774926192274499</v>
      </c>
      <c r="M204" s="176" t="str">
        <f>A!L1298</f>
        <v>12/21</v>
      </c>
      <c r="N204" s="164" t="str">
        <f>A!M1298</f>
        <v>01:00</v>
      </c>
      <c r="O204" s="380">
        <f>A!N1298</f>
        <v>8.51</v>
      </c>
      <c r="P204" s="176">
        <f>A!O1298</f>
        <v>355</v>
      </c>
      <c r="Q204" s="164">
        <f>A!P1298</f>
        <v>20</v>
      </c>
      <c r="R204" s="380">
        <f>A!Q1298</f>
        <v>14.95</v>
      </c>
      <c r="S204" s="176">
        <f>A!R1298</f>
        <v>37974</v>
      </c>
      <c r="T204" s="164">
        <f>A!S1298</f>
        <v>1</v>
      </c>
      <c r="U204" s="190">
        <f t="shared" si="21"/>
        <v>7.89</v>
      </c>
      <c r="V204" s="154">
        <f t="shared" si="22"/>
        <v>14.95</v>
      </c>
      <c r="W204" s="27">
        <f t="shared" si="23"/>
        <v>0.74886936875826449</v>
      </c>
      <c r="Y204" s="598">
        <f>A!T1298</f>
        <v>0</v>
      </c>
      <c r="Z204" s="681">
        <f>A!U1298</f>
        <v>0</v>
      </c>
      <c r="AA204" s="673">
        <f>A!V1298</f>
        <v>0</v>
      </c>
    </row>
    <row r="205" spans="2:27" ht="12" customHeight="1" thickBot="1">
      <c r="B205" s="174" t="s">
        <v>138</v>
      </c>
      <c r="C205" s="158">
        <f>A!B1299</f>
        <v>8.4485600000000005</v>
      </c>
      <c r="D205" s="385" t="str">
        <f>A!C1299</f>
        <v>20-Dec</v>
      </c>
      <c r="E205" s="167">
        <f>A!D1299</f>
        <v>22</v>
      </c>
      <c r="F205" s="386">
        <f>A!E1299</f>
        <v>8.17</v>
      </c>
      <c r="G205" s="182">
        <f>A!F1299</f>
        <v>38341</v>
      </c>
      <c r="H205" s="167">
        <f>A!G1299</f>
        <v>13</v>
      </c>
      <c r="I205" s="386">
        <f>A!H1299</f>
        <v>7.94</v>
      </c>
      <c r="J205" s="182">
        <f>A!I1299</f>
        <v>37975</v>
      </c>
      <c r="K205" s="167">
        <f>A!J1299</f>
        <v>12</v>
      </c>
      <c r="L205" s="609">
        <f>A!K1299</f>
        <v>9.0584269973109208</v>
      </c>
      <c r="M205" s="610" t="str">
        <f>A!L1299</f>
        <v>12/21</v>
      </c>
      <c r="N205" s="611" t="str">
        <f>A!M1299</f>
        <v>02:00</v>
      </c>
      <c r="O205" s="609">
        <f>A!N1299</f>
        <v>8.5399999999999991</v>
      </c>
      <c r="P205" s="610">
        <f>A!O1299</f>
        <v>355</v>
      </c>
      <c r="Q205" s="612">
        <f>A!P1299</f>
        <v>20</v>
      </c>
      <c r="R205" s="609">
        <f>A!Q1299</f>
        <v>33.01</v>
      </c>
      <c r="S205" s="610">
        <f>A!R1299</f>
        <v>37712</v>
      </c>
      <c r="T205" s="611">
        <f>A!S1299</f>
        <v>8</v>
      </c>
      <c r="U205" s="191">
        <f t="shared" si="21"/>
        <v>7.94</v>
      </c>
      <c r="V205" s="158">
        <f t="shared" si="22"/>
        <v>33.01</v>
      </c>
      <c r="W205" s="30">
        <f t="shared" si="23"/>
        <v>2.0011444652608099</v>
      </c>
      <c r="Y205" s="598">
        <f>A!T1299</f>
        <v>0</v>
      </c>
      <c r="Z205" s="681">
        <f>A!U1299</f>
        <v>0</v>
      </c>
      <c r="AA205" s="673">
        <f>A!V1299</f>
        <v>0</v>
      </c>
    </row>
    <row r="206" spans="2:27" ht="12" customHeight="1" thickTop="1">
      <c r="D206" s="375"/>
      <c r="E206" s="116"/>
      <c r="G206" s="106"/>
      <c r="H206" s="116"/>
      <c r="J206" s="106"/>
      <c r="K206" s="376" t="s">
        <v>553</v>
      </c>
      <c r="M206" s="106"/>
      <c r="N206" s="116"/>
      <c r="P206" s="106"/>
      <c r="Q206" s="116"/>
      <c r="R206" s="116"/>
      <c r="S206" s="116"/>
      <c r="T206" s="116"/>
      <c r="Y206" s="676"/>
      <c r="Z206" s="681"/>
      <c r="AA206" s="673"/>
    </row>
    <row r="207" spans="2:27" ht="12" customHeight="1">
      <c r="D207" s="375"/>
      <c r="E207" s="116"/>
      <c r="G207" s="106"/>
      <c r="H207" s="116"/>
      <c r="J207" s="106"/>
      <c r="K207" s="116"/>
      <c r="M207" s="106"/>
      <c r="N207" s="116"/>
      <c r="P207" s="106"/>
      <c r="Q207" s="116"/>
      <c r="R207" s="116"/>
      <c r="S207" s="116"/>
      <c r="T207" s="116"/>
      <c r="Y207" s="676"/>
      <c r="Z207" s="681"/>
      <c r="AA207" s="673"/>
    </row>
    <row r="208" spans="2:27" ht="12" customHeight="1">
      <c r="D208" s="375"/>
      <c r="E208" s="116"/>
      <c r="G208" s="106"/>
      <c r="H208" s="116"/>
      <c r="J208" s="106"/>
      <c r="K208" s="116"/>
      <c r="M208" s="106"/>
      <c r="N208" s="116"/>
      <c r="P208" s="106"/>
      <c r="Q208" s="116"/>
      <c r="R208" s="116"/>
      <c r="S208" s="116"/>
      <c r="T208" s="116"/>
      <c r="Y208" s="676"/>
      <c r="Z208" s="681"/>
      <c r="AA208" s="673"/>
    </row>
    <row r="209" spans="2:27" ht="12" customHeight="1">
      <c r="D209" s="375"/>
      <c r="E209" s="116"/>
      <c r="G209" s="106"/>
      <c r="H209" s="116"/>
      <c r="J209" s="106"/>
      <c r="K209" s="116"/>
      <c r="M209" s="106"/>
      <c r="N209" s="116"/>
      <c r="P209" s="106"/>
      <c r="Q209" s="116"/>
      <c r="R209" s="116"/>
      <c r="S209" s="116"/>
      <c r="T209" s="116"/>
      <c r="Y209" s="676"/>
      <c r="Z209" s="681"/>
      <c r="AA209" s="673"/>
    </row>
    <row r="210" spans="2:27" ht="12" customHeight="1">
      <c r="D210" s="375"/>
      <c r="E210" s="116"/>
      <c r="G210" s="106"/>
      <c r="H210" s="116"/>
      <c r="J210" s="106"/>
      <c r="K210" s="116"/>
      <c r="M210" s="106"/>
      <c r="N210" s="116"/>
      <c r="P210" s="106"/>
      <c r="Q210" s="116"/>
      <c r="R210" s="116"/>
      <c r="S210" s="116"/>
      <c r="T210" s="116"/>
      <c r="Y210" s="676"/>
      <c r="Z210" s="681"/>
      <c r="AA210" s="673"/>
    </row>
    <row r="211" spans="2:27" ht="12" customHeight="1">
      <c r="D211" s="375"/>
      <c r="E211" s="116"/>
      <c r="G211" s="106"/>
      <c r="H211" s="116"/>
      <c r="J211" s="106"/>
      <c r="K211" s="116"/>
      <c r="M211" s="106"/>
      <c r="N211" s="116"/>
      <c r="P211" s="106"/>
      <c r="Q211" s="116"/>
      <c r="R211" s="116"/>
      <c r="S211" s="116"/>
      <c r="T211" s="116"/>
      <c r="Y211" s="676"/>
      <c r="Z211" s="681"/>
      <c r="AA211" s="673"/>
    </row>
    <row r="212" spans="2:27" ht="12" customHeight="1">
      <c r="D212" s="375"/>
      <c r="E212" s="116"/>
      <c r="G212" s="106"/>
      <c r="H212" s="116"/>
      <c r="J212" s="106"/>
      <c r="K212" s="116"/>
      <c r="M212" s="106"/>
      <c r="N212" s="116"/>
      <c r="P212" s="106"/>
      <c r="Q212" s="116"/>
      <c r="R212" s="116"/>
      <c r="S212" s="116"/>
      <c r="T212" s="116"/>
      <c r="Y212" s="676"/>
      <c r="Z212" s="681"/>
      <c r="AA212" s="673"/>
    </row>
    <row r="213" spans="2:27" ht="12" customHeight="1">
      <c r="D213" s="375"/>
      <c r="E213" s="116"/>
      <c r="G213" s="106"/>
      <c r="H213" s="116"/>
      <c r="J213" s="106"/>
      <c r="K213" s="116"/>
      <c r="M213" s="106"/>
      <c r="N213" s="116"/>
      <c r="P213" s="106"/>
      <c r="Q213" s="116"/>
      <c r="R213" s="116"/>
      <c r="S213" s="116"/>
      <c r="T213" s="116"/>
      <c r="Y213" s="676"/>
      <c r="Z213" s="681"/>
      <c r="AA213" s="673"/>
    </row>
    <row r="214" spans="2:27" ht="12" customHeight="1">
      <c r="D214" s="375"/>
      <c r="E214" s="116"/>
      <c r="G214" s="106"/>
      <c r="H214" s="116"/>
      <c r="J214" s="106"/>
      <c r="K214" s="116"/>
      <c r="M214" s="106"/>
      <c r="N214" s="116"/>
      <c r="P214" s="106"/>
      <c r="Q214" s="116"/>
      <c r="R214" s="116"/>
      <c r="S214" s="116"/>
      <c r="T214" s="116"/>
      <c r="Y214" s="676"/>
      <c r="Z214" s="681"/>
      <c r="AA214" s="673"/>
    </row>
    <row r="215" spans="2:27" ht="17.25" customHeight="1" thickBot="1">
      <c r="B215" s="192" t="s">
        <v>579</v>
      </c>
      <c r="C215" s="18"/>
      <c r="D215" s="180"/>
      <c r="E215" s="164"/>
      <c r="F215" s="18"/>
      <c r="G215" s="176"/>
      <c r="H215" s="164"/>
      <c r="I215" s="18"/>
      <c r="J215" s="176"/>
      <c r="K215" s="164"/>
      <c r="L215" s="18"/>
      <c r="M215" s="176"/>
      <c r="N215" s="164"/>
      <c r="O215" s="18"/>
      <c r="P215" s="176"/>
      <c r="Q215" s="164"/>
      <c r="R215" s="164"/>
      <c r="S215" s="164"/>
      <c r="T215" s="164"/>
      <c r="U215" s="18"/>
      <c r="V215" s="18"/>
      <c r="W215" s="18"/>
      <c r="Y215" s="676"/>
      <c r="Z215" s="681"/>
      <c r="AA215" s="673"/>
    </row>
    <row r="216" spans="2:27" ht="12" customHeight="1" thickTop="1">
      <c r="B216" s="19" t="s">
        <v>268</v>
      </c>
      <c r="C216" s="20"/>
      <c r="D216" s="374"/>
      <c r="E216" s="196"/>
      <c r="F216" s="20"/>
      <c r="G216" s="179"/>
      <c r="H216" s="196"/>
      <c r="I216" s="20"/>
      <c r="J216" s="179"/>
      <c r="K216" s="196"/>
      <c r="L216" s="20"/>
      <c r="M216" s="179"/>
      <c r="N216" s="196"/>
      <c r="O216" s="20"/>
      <c r="P216" s="179"/>
      <c r="Q216" s="196"/>
      <c r="R216" s="196"/>
      <c r="S216" s="196"/>
      <c r="T216" s="196"/>
      <c r="U216" s="147" t="s">
        <v>24</v>
      </c>
      <c r="V216" s="20"/>
      <c r="W216" s="21"/>
      <c r="Y216" s="676"/>
      <c r="Z216" s="681"/>
      <c r="AA216" s="673"/>
    </row>
    <row r="217" spans="2:27" ht="12" customHeight="1">
      <c r="B217" s="170"/>
      <c r="C217" s="22" t="s">
        <v>245</v>
      </c>
      <c r="D217" s="180"/>
      <c r="E217" s="197"/>
      <c r="F217" s="169" t="s">
        <v>536</v>
      </c>
      <c r="G217" s="731"/>
      <c r="H217" s="732"/>
      <c r="I217" s="205" t="s">
        <v>258</v>
      </c>
      <c r="J217" s="106"/>
      <c r="K217" s="116"/>
      <c r="L217" s="372" t="s">
        <v>433</v>
      </c>
      <c r="M217" s="124"/>
      <c r="N217" s="733"/>
      <c r="O217" s="436" t="s">
        <v>469</v>
      </c>
      <c r="R217" s="722" t="s">
        <v>482</v>
      </c>
      <c r="U217" s="148"/>
      <c r="V217" s="18"/>
      <c r="W217" s="23" t="s">
        <v>25</v>
      </c>
      <c r="Y217" s="676"/>
      <c r="Z217" s="681"/>
      <c r="AA217" s="673"/>
    </row>
    <row r="218" spans="2:27" ht="12" customHeight="1">
      <c r="B218" s="171"/>
      <c r="C218" s="24" t="s">
        <v>26</v>
      </c>
      <c r="D218" s="181" t="s">
        <v>77</v>
      </c>
      <c r="E218" s="198" t="s">
        <v>78</v>
      </c>
      <c r="F218" s="378" t="s">
        <v>13</v>
      </c>
      <c r="G218" s="181" t="s">
        <v>77</v>
      </c>
      <c r="H218" s="198" t="s">
        <v>78</v>
      </c>
      <c r="I218" s="378" t="s">
        <v>13</v>
      </c>
      <c r="J218" s="181" t="s">
        <v>77</v>
      </c>
      <c r="K218" s="199" t="s">
        <v>78</v>
      </c>
      <c r="L218" s="373" t="s">
        <v>434</v>
      </c>
      <c r="M218" s="181" t="s">
        <v>77</v>
      </c>
      <c r="N218" s="730" t="s">
        <v>78</v>
      </c>
      <c r="O218" s="353" t="s">
        <v>452</v>
      </c>
      <c r="P218" s="24" t="s">
        <v>77</v>
      </c>
      <c r="Q218" s="177" t="s">
        <v>78</v>
      </c>
      <c r="R218" s="373" t="s">
        <v>483</v>
      </c>
      <c r="S218" s="24" t="s">
        <v>77</v>
      </c>
      <c r="T218" s="177" t="s">
        <v>78</v>
      </c>
      <c r="U218" s="149" t="s">
        <v>27</v>
      </c>
      <c r="V218" s="24" t="s">
        <v>28</v>
      </c>
      <c r="W218" s="25" t="s">
        <v>259</v>
      </c>
      <c r="Y218" s="680" t="s">
        <v>522</v>
      </c>
      <c r="Z218" s="181" t="s">
        <v>77</v>
      </c>
      <c r="AA218" s="177" t="s">
        <v>78</v>
      </c>
    </row>
    <row r="219" spans="2:27" ht="12" customHeight="1">
      <c r="B219" s="172" t="s">
        <v>91</v>
      </c>
      <c r="C219" s="159">
        <f>A!B1310</f>
        <v>1.3284300000000001E-2</v>
      </c>
      <c r="D219" s="180" t="str">
        <f>A!C1310</f>
        <v>16-Nov</v>
      </c>
      <c r="E219" s="164">
        <f>A!D1310</f>
        <v>17</v>
      </c>
      <c r="F219" s="387">
        <f>A!E1310</f>
        <v>1.38E-2</v>
      </c>
      <c r="G219" s="176">
        <f>A!F1310</f>
        <v>37211</v>
      </c>
      <c r="H219" s="164">
        <f>A!G1310</f>
        <v>16</v>
      </c>
      <c r="I219" s="387">
        <f>A!H1310</f>
        <v>1.37E-2</v>
      </c>
      <c r="J219" s="176">
        <f>A!I1310</f>
        <v>37941</v>
      </c>
      <c r="K219" s="164">
        <f>A!J1310</f>
        <v>16</v>
      </c>
      <c r="L219" s="387">
        <f>A!K1310</f>
        <v>1.3520493309229401E-2</v>
      </c>
      <c r="M219" s="176" t="str">
        <f>A!L1310</f>
        <v>11/16</v>
      </c>
      <c r="N219" s="164" t="str">
        <f>A!M1310</f>
        <v>17:00</v>
      </c>
      <c r="O219" s="387">
        <f>A!N1310</f>
        <v>1.3457E-2</v>
      </c>
      <c r="P219" s="176">
        <f>A!O1310</f>
        <v>321</v>
      </c>
      <c r="Q219" s="164">
        <f>A!P1310</f>
        <v>16</v>
      </c>
      <c r="R219" s="387">
        <f>A!Q1310</f>
        <v>1.34E-2</v>
      </c>
      <c r="S219" s="176">
        <f>A!R1310</f>
        <v>37941</v>
      </c>
      <c r="T219" s="164">
        <f>A!S1310</f>
        <v>16</v>
      </c>
      <c r="U219" s="426">
        <f>MINA(C219,F219,I219,L219,O219,R219)</f>
        <v>1.3284300000000001E-2</v>
      </c>
      <c r="V219" s="159">
        <f>MAXA(C219,F219,I219,L219,O219,R219)</f>
        <v>1.38E-2</v>
      </c>
      <c r="W219" s="27">
        <f t="shared" ref="W219:W238" si="24">(V219-U219)/AVERAGE(C219,F219,I219,L219,O219,R219)</f>
        <v>3.8123849582906329E-2</v>
      </c>
      <c r="Y219" s="674">
        <f>A!T1310</f>
        <v>0</v>
      </c>
      <c r="Z219" s="681">
        <f>A!U1310</f>
        <v>0</v>
      </c>
      <c r="AA219" s="673">
        <f>A!V1310</f>
        <v>0</v>
      </c>
    </row>
    <row r="220" spans="2:27" ht="12" customHeight="1">
      <c r="B220" s="173" t="s">
        <v>96</v>
      </c>
      <c r="C220" s="159">
        <f>A!B1311</f>
        <v>1.57501E-2</v>
      </c>
      <c r="D220" s="180" t="str">
        <f>A!C1311</f>
        <v>01-Oct</v>
      </c>
      <c r="E220" s="164">
        <f>A!D1311</f>
        <v>23</v>
      </c>
      <c r="F220" s="387">
        <f>A!E1311</f>
        <v>1.8800000000000001E-2</v>
      </c>
      <c r="G220" s="176">
        <f>A!F1311</f>
        <v>37544</v>
      </c>
      <c r="H220" s="164">
        <f>A!G1311</f>
        <v>9</v>
      </c>
      <c r="I220" s="387">
        <f>A!H1311</f>
        <v>1.89E-2</v>
      </c>
      <c r="J220" s="176">
        <f>A!I1311</f>
        <v>37544</v>
      </c>
      <c r="K220" s="164">
        <f>A!J1311</f>
        <v>9</v>
      </c>
      <c r="L220" s="387">
        <f>A!K1311</f>
        <v>1.5501679513224099E-2</v>
      </c>
      <c r="M220" s="176" t="str">
        <f>A!L1311</f>
        <v>10/01</v>
      </c>
      <c r="N220" s="164" t="str">
        <f>A!M1311</f>
        <v>08:00</v>
      </c>
      <c r="O220" s="387">
        <f>A!N1311</f>
        <v>1.5432E-2</v>
      </c>
      <c r="P220" s="176">
        <f>A!O1311</f>
        <v>276</v>
      </c>
      <c r="Q220" s="164">
        <f>A!P1311</f>
        <v>8</v>
      </c>
      <c r="R220" s="387">
        <f>A!Q1311</f>
        <v>1.5699999999999999E-2</v>
      </c>
      <c r="S220" s="176">
        <f>A!R1311</f>
        <v>37896</v>
      </c>
      <c r="T220" s="164">
        <f>A!S1311</f>
        <v>8</v>
      </c>
      <c r="U220" s="426">
        <f t="shared" ref="U220:U238" si="25">MINA(C220,F220,I220,L220,O220,R220)</f>
        <v>1.5432E-2</v>
      </c>
      <c r="V220" s="159">
        <f t="shared" ref="V220:V238" si="26">MAXA(C220,F220,I220,L220,O220,R220)</f>
        <v>1.89E-2</v>
      </c>
      <c r="W220" s="27">
        <f t="shared" si="24"/>
        <v>0.20790581751811882</v>
      </c>
      <c r="Y220" s="674">
        <f>A!T1311</f>
        <v>0</v>
      </c>
      <c r="Z220" s="681">
        <f>A!U1311</f>
        <v>0</v>
      </c>
      <c r="AA220" s="673">
        <f>A!V1311</f>
        <v>0</v>
      </c>
    </row>
    <row r="221" spans="2:27" ht="12" customHeight="1">
      <c r="B221" s="173" t="s">
        <v>98</v>
      </c>
      <c r="C221" s="159">
        <f>A!B1312</f>
        <v>1.8016899999999999E-2</v>
      </c>
      <c r="D221" s="180" t="str">
        <f>A!C1312</f>
        <v>10-Jul</v>
      </c>
      <c r="E221" s="164">
        <f>A!D1312</f>
        <v>13</v>
      </c>
      <c r="F221" s="387">
        <f>A!E1312</f>
        <v>1.77E-2</v>
      </c>
      <c r="G221" s="176">
        <f>A!F1312</f>
        <v>37447</v>
      </c>
      <c r="H221" s="164">
        <f>A!G1312</f>
        <v>12</v>
      </c>
      <c r="I221" s="387">
        <f>A!H1312</f>
        <v>1.7600000000000001E-2</v>
      </c>
      <c r="J221" s="176">
        <f>A!I1312</f>
        <v>37447</v>
      </c>
      <c r="K221" s="164">
        <f>A!J1312</f>
        <v>12</v>
      </c>
      <c r="L221" s="387">
        <f>A!K1312</f>
        <v>1.7702793120556701E-2</v>
      </c>
      <c r="M221" s="176" t="str">
        <f>A!L1312</f>
        <v>10/01</v>
      </c>
      <c r="N221" s="164" t="str">
        <f>A!M1312</f>
        <v>11:00</v>
      </c>
      <c r="O221" s="387">
        <f>A!N1312</f>
        <v>1.7547E-2</v>
      </c>
      <c r="P221" s="176">
        <f>A!O1312</f>
        <v>192</v>
      </c>
      <c r="Q221" s="164">
        <f>A!P1312</f>
        <v>12</v>
      </c>
      <c r="R221" s="387">
        <f>A!Q1312</f>
        <v>1.77E-2</v>
      </c>
      <c r="S221" s="176">
        <f>A!R1312</f>
        <v>37812</v>
      </c>
      <c r="T221" s="164">
        <f>A!S1312</f>
        <v>12</v>
      </c>
      <c r="U221" s="426">
        <f t="shared" si="25"/>
        <v>1.7547E-2</v>
      </c>
      <c r="V221" s="159">
        <f t="shared" si="26"/>
        <v>1.8016899999999999E-2</v>
      </c>
      <c r="W221" s="27">
        <f t="shared" si="24"/>
        <v>2.6531361023923641E-2</v>
      </c>
      <c r="Y221" s="674">
        <f>A!T1312</f>
        <v>0</v>
      </c>
      <c r="Z221" s="681">
        <f>A!U1312</f>
        <v>0</v>
      </c>
      <c r="AA221" s="673">
        <f>A!V1312</f>
        <v>0</v>
      </c>
    </row>
    <row r="222" spans="2:27" ht="12" customHeight="1">
      <c r="B222" s="173" t="s">
        <v>102</v>
      </c>
      <c r="C222" s="159">
        <f>A!B1313</f>
        <v>1.7651400000000001E-2</v>
      </c>
      <c r="D222" s="180" t="str">
        <f>A!C1313</f>
        <v>10-Jul</v>
      </c>
      <c r="E222" s="164">
        <f>A!D1313</f>
        <v>12</v>
      </c>
      <c r="F222" s="387">
        <f>A!E1313</f>
        <v>1.78E-2</v>
      </c>
      <c r="G222" s="176">
        <f>A!F1313</f>
        <v>37896</v>
      </c>
      <c r="H222" s="164">
        <f>A!G1313</f>
        <v>9</v>
      </c>
      <c r="I222" s="387">
        <f>A!H1313</f>
        <v>1.77E-2</v>
      </c>
      <c r="J222" s="176">
        <f>A!I1313</f>
        <v>37447</v>
      </c>
      <c r="K222" s="164">
        <f>A!J1313</f>
        <v>13</v>
      </c>
      <c r="L222" s="387">
        <f>A!K1313</f>
        <v>1.7823450757128899E-2</v>
      </c>
      <c r="M222" s="176" t="str">
        <f>A!L1313</f>
        <v>07/10</v>
      </c>
      <c r="N222" s="164" t="str">
        <f>A!M1313</f>
        <v>12:00</v>
      </c>
      <c r="O222" s="387">
        <f>A!N1313</f>
        <v>1.7045000000000001E-2</v>
      </c>
      <c r="P222" s="176">
        <f>A!O1313</f>
        <v>192</v>
      </c>
      <c r="Q222" s="164">
        <f>A!P1313</f>
        <v>13</v>
      </c>
      <c r="R222" s="387">
        <f>A!Q1313</f>
        <v>1.77E-2</v>
      </c>
      <c r="S222" s="176">
        <f>A!R1313</f>
        <v>37812</v>
      </c>
      <c r="T222" s="164">
        <f>A!S1313</f>
        <v>12</v>
      </c>
      <c r="U222" s="426">
        <f t="shared" si="25"/>
        <v>1.7045000000000001E-2</v>
      </c>
      <c r="V222" s="159">
        <f t="shared" si="26"/>
        <v>1.7823450757128899E-2</v>
      </c>
      <c r="W222" s="27">
        <f t="shared" si="24"/>
        <v>4.418001453202422E-2</v>
      </c>
      <c r="Y222" s="674">
        <f>A!T1313</f>
        <v>0</v>
      </c>
      <c r="Z222" s="681">
        <f>A!U1313</f>
        <v>0</v>
      </c>
      <c r="AA222" s="673">
        <f>A!V1313</f>
        <v>0</v>
      </c>
    </row>
    <row r="223" spans="2:27" ht="12" customHeight="1">
      <c r="B223" s="173" t="s">
        <v>356</v>
      </c>
      <c r="C223" s="159">
        <f>A!B1314</f>
        <v>1.7871399999999999E-2</v>
      </c>
      <c r="D223" s="180" t="str">
        <f>A!C1314</f>
        <v>10-Jul</v>
      </c>
      <c r="E223" s="164">
        <f>A!D1314</f>
        <v>13</v>
      </c>
      <c r="F223" s="387">
        <f>A!E1314</f>
        <v>1.77E-2</v>
      </c>
      <c r="G223" s="176">
        <f>A!F1314</f>
        <v>37447</v>
      </c>
      <c r="H223" s="164">
        <f>A!G1314</f>
        <v>12</v>
      </c>
      <c r="I223" s="387">
        <f>A!H1314</f>
        <v>1.7399999999999999E-2</v>
      </c>
      <c r="J223" s="176">
        <f>A!I1314</f>
        <v>37447</v>
      </c>
      <c r="K223" s="164">
        <f>A!J1314</f>
        <v>12</v>
      </c>
      <c r="L223" s="387">
        <f>A!K1314</f>
        <v>1.77073946781496E-2</v>
      </c>
      <c r="M223" s="176" t="str">
        <f>A!L1314</f>
        <v>07/10</v>
      </c>
      <c r="N223" s="164" t="str">
        <f>A!M1314</f>
        <v>12:00</v>
      </c>
      <c r="O223" s="387">
        <f>A!N1314</f>
        <v>1.7271999999999999E-2</v>
      </c>
      <c r="P223" s="176">
        <f>A!O1314</f>
        <v>192</v>
      </c>
      <c r="Q223" s="164">
        <f>A!P1314</f>
        <v>13</v>
      </c>
      <c r="R223" s="387">
        <f>A!Q1314</f>
        <v>1.77E-2</v>
      </c>
      <c r="S223" s="176">
        <f>A!R1314</f>
        <v>37812</v>
      </c>
      <c r="T223" s="164">
        <f>A!S1314</f>
        <v>12</v>
      </c>
      <c r="U223" s="426">
        <f t="shared" si="25"/>
        <v>1.7271999999999999E-2</v>
      </c>
      <c r="V223" s="159">
        <f t="shared" si="26"/>
        <v>1.7871399999999999E-2</v>
      </c>
      <c r="W223" s="27">
        <f t="shared" si="24"/>
        <v>3.404044438052671E-2</v>
      </c>
      <c r="Y223" s="674">
        <f>A!T1314</f>
        <v>0</v>
      </c>
      <c r="Z223" s="681">
        <f>A!U1314</f>
        <v>0</v>
      </c>
      <c r="AA223" s="673">
        <f>A!V1314</f>
        <v>0</v>
      </c>
    </row>
    <row r="224" spans="2:27" ht="12" customHeight="1">
      <c r="B224" s="173" t="s">
        <v>105</v>
      </c>
      <c r="C224" s="159">
        <f>A!B1315</f>
        <v>1.6758200000000001E-2</v>
      </c>
      <c r="D224" s="180" t="str">
        <f>A!C1315</f>
        <v>01-Oct</v>
      </c>
      <c r="E224" s="164">
        <f>A!D1315</f>
        <v>24</v>
      </c>
      <c r="F224" s="387">
        <f>A!E1315</f>
        <v>1.9900000000000001E-2</v>
      </c>
      <c r="G224" s="176">
        <f>A!F1315</f>
        <v>37470</v>
      </c>
      <c r="H224" s="164">
        <f>A!G1315</f>
        <v>22</v>
      </c>
      <c r="I224" s="387">
        <f>A!H1315</f>
        <v>1.9900000000000001E-2</v>
      </c>
      <c r="J224" s="176">
        <f>A!I1315</f>
        <v>37470</v>
      </c>
      <c r="K224" s="164">
        <f>A!J1315</f>
        <v>22</v>
      </c>
      <c r="L224" s="387">
        <f>A!K1315</f>
        <v>1.6944945323193399E-2</v>
      </c>
      <c r="M224" s="176" t="str">
        <f>A!L1315</f>
        <v>10/02</v>
      </c>
      <c r="N224" s="164" t="str">
        <f>A!M1315</f>
        <v>01:00</v>
      </c>
      <c r="O224" s="387">
        <f>A!N1315</f>
        <v>1.6479000000000001E-2</v>
      </c>
      <c r="P224" s="176">
        <f>A!O1315</f>
        <v>276</v>
      </c>
      <c r="Q224" s="164">
        <f>A!P1315</f>
        <v>2</v>
      </c>
      <c r="R224" s="387">
        <f>A!Q1315</f>
        <v>1.66E-2</v>
      </c>
      <c r="S224" s="176">
        <f>A!R1315</f>
        <v>37896</v>
      </c>
      <c r="T224" s="164">
        <f>A!S1315</f>
        <v>1</v>
      </c>
      <c r="U224" s="426">
        <f t="shared" si="25"/>
        <v>1.6479000000000001E-2</v>
      </c>
      <c r="V224" s="159">
        <f t="shared" si="26"/>
        <v>1.9900000000000001E-2</v>
      </c>
      <c r="W224" s="27">
        <f t="shared" si="24"/>
        <v>0.19258385105458492</v>
      </c>
      <c r="Y224" s="674">
        <f>A!T1315</f>
        <v>0</v>
      </c>
      <c r="Z224" s="681">
        <f>A!U1315</f>
        <v>0</v>
      </c>
      <c r="AA224" s="673">
        <f>A!V1315</f>
        <v>0</v>
      </c>
    </row>
    <row r="225" spans="2:27" ht="12" customHeight="1">
      <c r="B225" s="173" t="s">
        <v>108</v>
      </c>
      <c r="C225" s="159">
        <f>A!B1316</f>
        <v>1.34334E-2</v>
      </c>
      <c r="D225" s="180" t="str">
        <f>A!C1316</f>
        <v>10-Jul</v>
      </c>
      <c r="E225" s="164">
        <f>A!D1316</f>
        <v>13</v>
      </c>
      <c r="F225" s="387">
        <f>A!E1316</f>
        <v>1.38E-2</v>
      </c>
      <c r="G225" s="176">
        <f>A!F1316</f>
        <v>37211</v>
      </c>
      <c r="H225" s="164">
        <f>A!G1316</f>
        <v>16</v>
      </c>
      <c r="I225" s="387">
        <f>A!H1316</f>
        <v>1.37E-2</v>
      </c>
      <c r="J225" s="176">
        <f>A!I1316</f>
        <v>37941</v>
      </c>
      <c r="K225" s="164">
        <f>A!J1316</f>
        <v>16</v>
      </c>
      <c r="L225" s="387">
        <f>A!K1316</f>
        <v>1.35204580758931E-2</v>
      </c>
      <c r="M225" s="176" t="str">
        <f>A!L1316</f>
        <v>11/16</v>
      </c>
      <c r="N225" s="164" t="str">
        <f>A!M1316</f>
        <v>17:00</v>
      </c>
      <c r="O225" s="387">
        <f>A!N1316</f>
        <v>1.3457E-2</v>
      </c>
      <c r="P225" s="176">
        <f>A!O1316</f>
        <v>321</v>
      </c>
      <c r="Q225" s="164">
        <f>A!P1316</f>
        <v>16</v>
      </c>
      <c r="R225" s="387">
        <f>A!Q1316</f>
        <v>1.34E-2</v>
      </c>
      <c r="S225" s="176">
        <f>A!R1316</f>
        <v>37941</v>
      </c>
      <c r="T225" s="164">
        <f>A!S1316</f>
        <v>16</v>
      </c>
      <c r="U225" s="426">
        <f t="shared" si="25"/>
        <v>1.34E-2</v>
      </c>
      <c r="V225" s="159">
        <f t="shared" si="26"/>
        <v>1.38E-2</v>
      </c>
      <c r="W225" s="27">
        <f t="shared" si="24"/>
        <v>2.9516353126662481E-2</v>
      </c>
      <c r="Y225" s="674">
        <f>A!T1316</f>
        <v>0</v>
      </c>
      <c r="Z225" s="681">
        <f>A!U1316</f>
        <v>0</v>
      </c>
      <c r="AA225" s="673">
        <f>A!V1316</f>
        <v>0</v>
      </c>
    </row>
    <row r="226" spans="2:27" ht="12" customHeight="1">
      <c r="B226" s="173" t="s">
        <v>109</v>
      </c>
      <c r="C226" s="159">
        <f>A!B1317</f>
        <v>1.69436E-2</v>
      </c>
      <c r="D226" s="180" t="str">
        <f>A!C1317</f>
        <v>05-Apr</v>
      </c>
      <c r="E226" s="164">
        <f>A!D1317</f>
        <v>22</v>
      </c>
      <c r="F226" s="387">
        <f>A!E1317</f>
        <v>1.7000000000000001E-2</v>
      </c>
      <c r="G226" s="176">
        <f>A!F1317</f>
        <v>37351</v>
      </c>
      <c r="H226" s="164">
        <f>A!G1317</f>
        <v>21</v>
      </c>
      <c r="I226" s="387">
        <f>A!H1317</f>
        <v>1.7000000000000001E-2</v>
      </c>
      <c r="J226" s="176">
        <f>A!I1317</f>
        <v>37716</v>
      </c>
      <c r="K226" s="164">
        <f>A!J1317</f>
        <v>21</v>
      </c>
      <c r="L226" s="387">
        <f>A!K1317</f>
        <v>1.6893284106592101E-2</v>
      </c>
      <c r="M226" s="176" t="str">
        <f>A!L1317</f>
        <v>04/05</v>
      </c>
      <c r="N226" s="164" t="str">
        <f>A!M1317</f>
        <v>22:00</v>
      </c>
      <c r="O226" s="387"/>
      <c r="P226" s="176"/>
      <c r="Q226" s="164"/>
      <c r="R226" s="387">
        <f>A!Q1317</f>
        <v>1.7299999999999999E-2</v>
      </c>
      <c r="S226" s="176">
        <f>A!R1317</f>
        <v>37733</v>
      </c>
      <c r="T226" s="164">
        <f>A!S1317</f>
        <v>6</v>
      </c>
      <c r="U226" s="426">
        <f t="shared" si="25"/>
        <v>1.6893284106592101E-2</v>
      </c>
      <c r="V226" s="159">
        <f t="shared" si="26"/>
        <v>1.7299999999999999E-2</v>
      </c>
      <c r="W226" s="27">
        <f t="shared" si="24"/>
        <v>2.38859982765335E-2</v>
      </c>
      <c r="Y226" s="674">
        <f>A!T1317</f>
        <v>0</v>
      </c>
      <c r="Z226" s="681">
        <f>A!U1317</f>
        <v>0</v>
      </c>
      <c r="AA226" s="673">
        <f>A!V1317</f>
        <v>0</v>
      </c>
    </row>
    <row r="227" spans="2:27" ht="12" customHeight="1">
      <c r="B227" s="173" t="s">
        <v>111</v>
      </c>
      <c r="C227" s="159">
        <f>A!B1318</f>
        <v>1.68355E-2</v>
      </c>
      <c r="D227" s="180" t="str">
        <f>A!C1318</f>
        <v>05-Apr</v>
      </c>
      <c r="E227" s="164">
        <f>A!D1318</f>
        <v>22</v>
      </c>
      <c r="F227" s="387">
        <f>A!E1318</f>
        <v>1.6899999999999998E-2</v>
      </c>
      <c r="G227" s="176">
        <f>A!F1318</f>
        <v>37348</v>
      </c>
      <c r="H227" s="164">
        <f>A!G1318</f>
        <v>5</v>
      </c>
      <c r="I227" s="387">
        <f>A!H1318</f>
        <v>1.6899999999999998E-2</v>
      </c>
      <c r="J227" s="176">
        <f>A!I1318</f>
        <v>37348</v>
      </c>
      <c r="K227" s="164">
        <f>A!J1318</f>
        <v>5</v>
      </c>
      <c r="L227" s="387"/>
      <c r="M227" s="176"/>
      <c r="N227" s="164"/>
      <c r="O227" s="387"/>
      <c r="P227" s="176"/>
      <c r="Q227" s="164"/>
      <c r="R227" s="387">
        <f>A!Q1318</f>
        <v>1.7299999999999999E-2</v>
      </c>
      <c r="S227" s="176">
        <f>A!R1318</f>
        <v>37733</v>
      </c>
      <c r="T227" s="164">
        <f>A!S1318</f>
        <v>6</v>
      </c>
      <c r="U227" s="426">
        <f t="shared" si="25"/>
        <v>1.68355E-2</v>
      </c>
      <c r="V227" s="159">
        <f t="shared" si="26"/>
        <v>1.7299999999999999E-2</v>
      </c>
      <c r="W227" s="27">
        <f t="shared" si="24"/>
        <v>2.7349471189584217E-2</v>
      </c>
      <c r="Y227" s="674">
        <f>A!T1318</f>
        <v>0</v>
      </c>
      <c r="Z227" s="681">
        <f>A!U1318</f>
        <v>0</v>
      </c>
      <c r="AA227" s="673">
        <f>A!V1318</f>
        <v>0</v>
      </c>
    </row>
    <row r="228" spans="2:27" ht="12" customHeight="1">
      <c r="B228" s="173" t="s">
        <v>112</v>
      </c>
      <c r="C228" s="159">
        <f>A!B1319</f>
        <v>1.42968E-2</v>
      </c>
      <c r="D228" s="180" t="str">
        <f>A!C1319</f>
        <v>02-Apr</v>
      </c>
      <c r="E228" s="164">
        <f>A!D1319</f>
        <v>10</v>
      </c>
      <c r="F228" s="387">
        <f>A!E1319</f>
        <v>1.47E-2</v>
      </c>
      <c r="G228" s="176">
        <f>A!F1319</f>
        <v>37712</v>
      </c>
      <c r="H228" s="164">
        <f>A!G1319</f>
        <v>21</v>
      </c>
      <c r="I228" s="387">
        <f>A!H1319</f>
        <v>1.41E-2</v>
      </c>
      <c r="J228" s="176">
        <f>A!I1319</f>
        <v>37363</v>
      </c>
      <c r="K228" s="164">
        <f>A!J1319</f>
        <v>3</v>
      </c>
      <c r="L228" s="387">
        <f>A!K1319</f>
        <v>1.46066109554102E-2</v>
      </c>
      <c r="M228" s="176" t="str">
        <f>A!L1319</f>
        <v>04/02</v>
      </c>
      <c r="N228" s="164" t="str">
        <f>A!M1319</f>
        <v>18:00</v>
      </c>
      <c r="O228" s="387"/>
      <c r="P228" s="176"/>
      <c r="Q228" s="164"/>
      <c r="R228" s="387">
        <f>A!Q1319</f>
        <v>1.47E-2</v>
      </c>
      <c r="S228" s="176">
        <f>A!R1319</f>
        <v>37713</v>
      </c>
      <c r="T228" s="164">
        <f>A!S1319</f>
        <v>18</v>
      </c>
      <c r="U228" s="426">
        <f t="shared" si="25"/>
        <v>1.41E-2</v>
      </c>
      <c r="V228" s="159">
        <f t="shared" si="26"/>
        <v>1.47E-2</v>
      </c>
      <c r="W228" s="27">
        <f t="shared" si="24"/>
        <v>4.1434511998993472E-2</v>
      </c>
      <c r="Y228" s="674">
        <f>A!T1319</f>
        <v>0</v>
      </c>
      <c r="Z228" s="681">
        <f>A!U1319</f>
        <v>0</v>
      </c>
      <c r="AA228" s="673">
        <f>A!V1319</f>
        <v>0</v>
      </c>
    </row>
    <row r="229" spans="2:27" ht="12" customHeight="1">
      <c r="B229" s="173" t="s">
        <v>113</v>
      </c>
      <c r="C229" s="159">
        <f>A!B1320</f>
        <v>1.6230600000000001E-2</v>
      </c>
      <c r="D229" s="180" t="str">
        <f>A!C1320</f>
        <v>02-Apr</v>
      </c>
      <c r="E229" s="164">
        <f>A!D1320</f>
        <v>5</v>
      </c>
      <c r="F229" s="387">
        <f>A!E1320</f>
        <v>1.5599999999999999E-2</v>
      </c>
      <c r="G229" s="176">
        <f>A!F1320</f>
        <v>37348</v>
      </c>
      <c r="H229" s="164">
        <f>A!G1320</f>
        <v>4</v>
      </c>
      <c r="I229" s="387">
        <f>A!H1320</f>
        <v>1.5599999999999999E-2</v>
      </c>
      <c r="J229" s="176">
        <f>A!I1320</f>
        <v>37713</v>
      </c>
      <c r="K229" s="164">
        <f>A!J1320</f>
        <v>4</v>
      </c>
      <c r="L229" s="387">
        <f>A!K1320</f>
        <v>1.6146153506642301E-2</v>
      </c>
      <c r="M229" s="176" t="str">
        <f>A!L1320</f>
        <v>04/02</v>
      </c>
      <c r="N229" s="164" t="str">
        <f>A!M1320</f>
        <v>05:00</v>
      </c>
      <c r="O229" s="387"/>
      <c r="P229" s="176"/>
      <c r="Q229" s="164"/>
      <c r="R229" s="387">
        <f>A!Q1320</f>
        <v>1.5800000000000002E-2</v>
      </c>
      <c r="S229" s="176">
        <f>A!R1320</f>
        <v>37713</v>
      </c>
      <c r="T229" s="164">
        <f>A!S1320</f>
        <v>5</v>
      </c>
      <c r="U229" s="426">
        <f t="shared" si="25"/>
        <v>1.5599999999999999E-2</v>
      </c>
      <c r="V229" s="159">
        <f t="shared" si="26"/>
        <v>1.6230600000000001E-2</v>
      </c>
      <c r="W229" s="27">
        <f t="shared" si="24"/>
        <v>3.9721957131141232E-2</v>
      </c>
      <c r="Y229" s="674">
        <f>A!T1320</f>
        <v>0</v>
      </c>
      <c r="Z229" s="681">
        <f>A!U1320</f>
        <v>0</v>
      </c>
      <c r="AA229" s="673">
        <f>A!V1320</f>
        <v>0</v>
      </c>
    </row>
    <row r="230" spans="2:27" ht="12" customHeight="1">
      <c r="B230" s="173" t="s">
        <v>114</v>
      </c>
      <c r="C230" s="159">
        <f>A!B1321</f>
        <v>1.33128E-2</v>
      </c>
      <c r="D230" s="180" t="str">
        <f>A!C1321</f>
        <v>16-Nov</v>
      </c>
      <c r="E230" s="164">
        <f>A!D1321</f>
        <v>17</v>
      </c>
      <c r="F230" s="387">
        <f>A!E1321</f>
        <v>1.38E-2</v>
      </c>
      <c r="G230" s="176">
        <f>A!F1321</f>
        <v>37211</v>
      </c>
      <c r="H230" s="164">
        <f>A!G1321</f>
        <v>16</v>
      </c>
      <c r="I230" s="387">
        <f>A!H1321</f>
        <v>1.37E-2</v>
      </c>
      <c r="J230" s="176">
        <f>A!I1321</f>
        <v>37941</v>
      </c>
      <c r="K230" s="164">
        <f>A!J1321</f>
        <v>16</v>
      </c>
      <c r="L230" s="387">
        <f>A!K1321</f>
        <v>1.35204933108933E-2</v>
      </c>
      <c r="M230" s="176" t="str">
        <f>A!L1321</f>
        <v>11/16</v>
      </c>
      <c r="N230" s="164" t="str">
        <f>A!M1321</f>
        <v>17:00</v>
      </c>
      <c r="O230" s="387"/>
      <c r="P230" s="176"/>
      <c r="Q230" s="164"/>
      <c r="R230" s="387">
        <f>A!Q1321</f>
        <v>1.34E-2</v>
      </c>
      <c r="S230" s="176">
        <f>A!R1321</f>
        <v>37941</v>
      </c>
      <c r="T230" s="164">
        <f>A!S1321</f>
        <v>16</v>
      </c>
      <c r="U230" s="426">
        <f t="shared" si="25"/>
        <v>1.33128E-2</v>
      </c>
      <c r="V230" s="159">
        <f t="shared" si="26"/>
        <v>1.38E-2</v>
      </c>
      <c r="W230" s="27">
        <f t="shared" si="24"/>
        <v>3.5964588179978954E-2</v>
      </c>
      <c r="Y230" s="674">
        <f>A!T1321</f>
        <v>0</v>
      </c>
      <c r="Z230" s="681">
        <f>A!U1321</f>
        <v>0</v>
      </c>
      <c r="AA230" s="673">
        <f>A!V1321</f>
        <v>0</v>
      </c>
    </row>
    <row r="231" spans="2:27" ht="12" customHeight="1">
      <c r="B231" s="173" t="s">
        <v>115</v>
      </c>
      <c r="C231" s="159">
        <f>A!B1322</f>
        <v>1.17197E-2</v>
      </c>
      <c r="D231" s="180" t="str">
        <f>A!C1322</f>
        <v>11-Jul</v>
      </c>
      <c r="E231" s="164">
        <f>A!D1322</f>
        <v>15</v>
      </c>
      <c r="F231" s="387">
        <f>A!E1322</f>
        <v>1.1900000000000001E-2</v>
      </c>
      <c r="G231" s="176">
        <f>A!F1322</f>
        <v>38188</v>
      </c>
      <c r="H231" s="164">
        <f>A!G1322</f>
        <v>15</v>
      </c>
      <c r="I231" s="387">
        <f>A!H1322</f>
        <v>1.18E-2</v>
      </c>
      <c r="J231" s="176">
        <f>A!I1322</f>
        <v>38083</v>
      </c>
      <c r="K231" s="164">
        <f>A!J1322</f>
        <v>10</v>
      </c>
      <c r="L231" s="387">
        <f>A!K1322</f>
        <v>1.1379725785156501E-2</v>
      </c>
      <c r="M231" s="176" t="str">
        <f>A!L1322</f>
        <v>07/20</v>
      </c>
      <c r="N231" s="164" t="str">
        <f>A!M1322</f>
        <v>15:00</v>
      </c>
      <c r="O231" s="387">
        <f>A!N1322</f>
        <v>1.1712999999999999E-2</v>
      </c>
      <c r="P231" s="176">
        <f>A!O1322</f>
        <v>202</v>
      </c>
      <c r="Q231" s="164">
        <f>A!P1322</f>
        <v>15</v>
      </c>
      <c r="R231" s="387">
        <f>A!Q1322</f>
        <v>1.15E-2</v>
      </c>
      <c r="S231" s="176">
        <f>A!R1322</f>
        <v>37691</v>
      </c>
      <c r="T231" s="164">
        <f>A!S1322</f>
        <v>10</v>
      </c>
      <c r="U231" s="426">
        <f t="shared" si="25"/>
        <v>1.1379725785156501E-2</v>
      </c>
      <c r="V231" s="159">
        <f t="shared" si="26"/>
        <v>1.1900000000000001E-2</v>
      </c>
      <c r="W231" s="27">
        <f t="shared" si="24"/>
        <v>4.4587018005064288E-2</v>
      </c>
      <c r="Y231" s="674">
        <f>A!T1322</f>
        <v>0</v>
      </c>
      <c r="Z231" s="681">
        <f>A!U1322</f>
        <v>0</v>
      </c>
      <c r="AA231" s="673">
        <f>A!V1322</f>
        <v>0</v>
      </c>
    </row>
    <row r="232" spans="2:27" ht="12" customHeight="1">
      <c r="B232" s="173" t="s">
        <v>121</v>
      </c>
      <c r="C232" s="159">
        <f>A!B1323</f>
        <v>1.1871400000000001E-2</v>
      </c>
      <c r="D232" s="180" t="str">
        <f>A!C1323</f>
        <v>07-Sep</v>
      </c>
      <c r="E232" s="164">
        <f>A!D1323</f>
        <v>15</v>
      </c>
      <c r="F232" s="387">
        <f>A!E1323</f>
        <v>1.1900000000000001E-2</v>
      </c>
      <c r="G232" s="176">
        <f>A!F1323</f>
        <v>37092</v>
      </c>
      <c r="H232" s="164">
        <f>A!G1323</f>
        <v>15</v>
      </c>
      <c r="I232" s="387">
        <f>A!H1323</f>
        <v>1.1900000000000001E-2</v>
      </c>
      <c r="J232" s="176">
        <f>A!I1323</f>
        <v>37092</v>
      </c>
      <c r="K232" s="164">
        <f>A!J1323</f>
        <v>15</v>
      </c>
      <c r="L232" s="387">
        <f>A!K1323</f>
        <v>1.1389731906607199E-2</v>
      </c>
      <c r="M232" s="176" t="str">
        <f>A!L1323</f>
        <v>07/20</v>
      </c>
      <c r="N232" s="164" t="str">
        <f>A!M1323</f>
        <v>15:00</v>
      </c>
      <c r="O232" s="387">
        <f>A!N1323</f>
        <v>1.1716000000000001E-2</v>
      </c>
      <c r="P232" s="176">
        <f>A!O1323</f>
        <v>202</v>
      </c>
      <c r="Q232" s="164">
        <f>A!P1323</f>
        <v>15</v>
      </c>
      <c r="R232" s="387">
        <f>A!Q1323</f>
        <v>1.15E-2</v>
      </c>
      <c r="S232" s="176">
        <f>A!R1323</f>
        <v>37691</v>
      </c>
      <c r="T232" s="164">
        <f>A!S1323</f>
        <v>10</v>
      </c>
      <c r="U232" s="426">
        <f t="shared" si="25"/>
        <v>1.1389731906607199E-2</v>
      </c>
      <c r="V232" s="159">
        <f t="shared" si="26"/>
        <v>1.1900000000000001E-2</v>
      </c>
      <c r="W232" s="27">
        <f t="shared" si="24"/>
        <v>4.3564790953982691E-2</v>
      </c>
      <c r="Y232" s="674">
        <f>A!T1323</f>
        <v>0</v>
      </c>
      <c r="Z232" s="681">
        <f>A!U1323</f>
        <v>0</v>
      </c>
      <c r="AA232" s="673">
        <f>A!V1323</f>
        <v>0</v>
      </c>
    </row>
    <row r="233" spans="2:27" ht="12" customHeight="1">
      <c r="B233" s="173" t="s">
        <v>125</v>
      </c>
      <c r="C233" s="159">
        <f>A!B1324</f>
        <v>7.5403099999999997E-3</v>
      </c>
      <c r="D233" s="180" t="str">
        <f>A!C1324</f>
        <v>07-Sep</v>
      </c>
      <c r="E233" s="164">
        <f>A!D1324</f>
        <v>15</v>
      </c>
      <c r="F233" s="387">
        <f>A!E1324</f>
        <v>7.7000000000000002E-3</v>
      </c>
      <c r="G233" s="176">
        <f>A!F1324</f>
        <v>38178</v>
      </c>
      <c r="H233" s="164">
        <f>A!G1324</f>
        <v>16</v>
      </c>
      <c r="I233" s="387">
        <f>A!H1324</f>
        <v>7.7999999999999996E-3</v>
      </c>
      <c r="J233" s="176">
        <f>A!I1324</f>
        <v>38075</v>
      </c>
      <c r="K233" s="164">
        <f>A!J1324</f>
        <v>10</v>
      </c>
      <c r="L233" s="387">
        <f>A!K1324</f>
        <v>7.1039765582544398E-3</v>
      </c>
      <c r="M233" s="176" t="str">
        <f>A!L1324</f>
        <v>07/20</v>
      </c>
      <c r="N233" s="164" t="str">
        <f>A!M1324</f>
        <v>16:00</v>
      </c>
      <c r="O233" s="387">
        <f>A!N1324</f>
        <v>7.5659999999999998E-3</v>
      </c>
      <c r="P233" s="176">
        <f>A!O1324</f>
        <v>202</v>
      </c>
      <c r="Q233" s="164">
        <f>A!P1324</f>
        <v>15</v>
      </c>
      <c r="R233" s="387">
        <f>A!Q1324</f>
        <v>1.06E-2</v>
      </c>
      <c r="S233" s="176">
        <f>A!R1324</f>
        <v>37626</v>
      </c>
      <c r="T233" s="164">
        <f>A!S1324</f>
        <v>16</v>
      </c>
      <c r="U233" s="426">
        <f t="shared" si="25"/>
        <v>7.1039765582544398E-3</v>
      </c>
      <c r="V233" s="159">
        <f t="shared" si="26"/>
        <v>1.06E-2</v>
      </c>
      <c r="W233" s="27">
        <f t="shared" si="24"/>
        <v>0.43419615458458333</v>
      </c>
      <c r="Y233" s="674">
        <f>A!T1324</f>
        <v>0</v>
      </c>
      <c r="Z233" s="681">
        <f>A!U1324</f>
        <v>0</v>
      </c>
      <c r="AA233" s="673">
        <f>A!V1324</f>
        <v>0</v>
      </c>
    </row>
    <row r="234" spans="2:27" ht="12" customHeight="1">
      <c r="B234" s="173" t="s">
        <v>127</v>
      </c>
      <c r="C234" s="159">
        <f>A!B1325</f>
        <v>9.42635E-3</v>
      </c>
      <c r="D234" s="180" t="str">
        <f>A!C1325</f>
        <v>20-Jul</v>
      </c>
      <c r="E234" s="164">
        <f>A!D1325</f>
        <v>16</v>
      </c>
      <c r="F234" s="387">
        <f>A!E1325</f>
        <v>9.4999999999999998E-3</v>
      </c>
      <c r="G234" s="176">
        <f>A!F1325</f>
        <v>37776</v>
      </c>
      <c r="H234" s="164">
        <f>A!G1325</f>
        <v>15</v>
      </c>
      <c r="I234" s="387">
        <f>A!H1325</f>
        <v>1.38E-2</v>
      </c>
      <c r="J234" s="176">
        <f>A!I1325</f>
        <v>38083</v>
      </c>
      <c r="K234" s="164">
        <f>A!J1325</f>
        <v>10</v>
      </c>
      <c r="L234" s="387">
        <f>A!K1325</f>
        <v>8.9745117656923005E-3</v>
      </c>
      <c r="M234" s="176" t="str">
        <f>A!L1325</f>
        <v>07/20</v>
      </c>
      <c r="N234" s="164" t="str">
        <f>A!M1325</f>
        <v>15:00</v>
      </c>
      <c r="O234" s="387">
        <f>A!N1325</f>
        <v>9.3980000000000001E-3</v>
      </c>
      <c r="P234" s="176">
        <f>A!O1325</f>
        <v>202</v>
      </c>
      <c r="Q234" s="164">
        <f>A!P1325</f>
        <v>15</v>
      </c>
      <c r="R234" s="387">
        <f>A!Q1325</f>
        <v>1.0699999999999999E-2</v>
      </c>
      <c r="S234" s="176">
        <f>A!R1325</f>
        <v>37622</v>
      </c>
      <c r="T234" s="164">
        <f>A!S1325</f>
        <v>2</v>
      </c>
      <c r="U234" s="426">
        <f t="shared" si="25"/>
        <v>8.9745117656923005E-3</v>
      </c>
      <c r="V234" s="159">
        <f t="shared" si="26"/>
        <v>1.38E-2</v>
      </c>
      <c r="W234" s="27">
        <f t="shared" si="24"/>
        <v>0.46850263222678712</v>
      </c>
      <c r="Y234" s="674">
        <f>A!T1325</f>
        <v>0</v>
      </c>
      <c r="Z234" s="681">
        <f>A!U1325</f>
        <v>0</v>
      </c>
      <c r="AA234" s="673">
        <f>A!V1325</f>
        <v>0</v>
      </c>
    </row>
    <row r="235" spans="2:27" ht="12" customHeight="1">
      <c r="B235" s="173" t="s">
        <v>130</v>
      </c>
      <c r="C235" s="159">
        <f>A!B1326</f>
        <v>1.7932400000000001E-2</v>
      </c>
      <c r="D235" s="180" t="str">
        <f>A!C1326</f>
        <v>10-Mai</v>
      </c>
      <c r="E235" s="164">
        <f>A!D1326</f>
        <v>16</v>
      </c>
      <c r="F235" s="387">
        <f>A!E1326</f>
        <v>1.7999999999999999E-2</v>
      </c>
      <c r="G235" s="176">
        <f>A!F1326</f>
        <v>38188</v>
      </c>
      <c r="H235" s="164">
        <f>A!G1326</f>
        <v>15</v>
      </c>
      <c r="I235" s="387">
        <f>A!H1326</f>
        <v>1.7999999999999999E-2</v>
      </c>
      <c r="J235" s="176">
        <f>A!I1326</f>
        <v>37457</v>
      </c>
      <c r="K235" s="164">
        <f>A!J1326</f>
        <v>15</v>
      </c>
      <c r="L235" s="387">
        <f>A!K1326</f>
        <v>1.78484256691855E-2</v>
      </c>
      <c r="M235" s="176" t="str">
        <f>A!L1326</f>
        <v>07/20</v>
      </c>
      <c r="N235" s="164" t="str">
        <f>A!M1326</f>
        <v>15:00</v>
      </c>
      <c r="O235" s="387">
        <f>A!N1326</f>
        <v>1.7625999999999999E-2</v>
      </c>
      <c r="P235" s="176">
        <f>A!O1326</f>
        <v>202</v>
      </c>
      <c r="Q235" s="164">
        <f>A!P1326</f>
        <v>15</v>
      </c>
      <c r="R235" s="387">
        <f>A!Q1326</f>
        <v>1.7299999999999999E-2</v>
      </c>
      <c r="S235" s="176">
        <f>A!R1326</f>
        <v>37822</v>
      </c>
      <c r="T235" s="164">
        <f>A!S1326</f>
        <v>15</v>
      </c>
      <c r="U235" s="426">
        <f t="shared" si="25"/>
        <v>1.7299999999999999E-2</v>
      </c>
      <c r="V235" s="159">
        <f t="shared" si="26"/>
        <v>1.7999999999999999E-2</v>
      </c>
      <c r="W235" s="27">
        <f t="shared" si="24"/>
        <v>3.9360181259827876E-2</v>
      </c>
      <c r="Y235" s="674">
        <f>A!T1326</f>
        <v>0</v>
      </c>
      <c r="Z235" s="681">
        <f>A!U1326</f>
        <v>0</v>
      </c>
      <c r="AA235" s="673">
        <f>A!V1326</f>
        <v>0</v>
      </c>
    </row>
    <row r="236" spans="2:27" ht="12" customHeight="1">
      <c r="B236" s="173" t="s">
        <v>132</v>
      </c>
      <c r="C236" s="159">
        <f>A!B1327</f>
        <v>6.9891500000000004E-3</v>
      </c>
      <c r="D236" s="180" t="str">
        <f>A!C1327</f>
        <v>01-Jan</v>
      </c>
      <c r="E236" s="164">
        <f>A!D1327</f>
        <v>1</v>
      </c>
      <c r="F236" s="387">
        <f>A!E1327</f>
        <v>8.0999999999999996E-3</v>
      </c>
      <c r="G236" s="176">
        <f>A!F1327</f>
        <v>37092</v>
      </c>
      <c r="H236" s="164">
        <f>A!G1327</f>
        <v>15</v>
      </c>
      <c r="I236" s="387">
        <f>A!H1327</f>
        <v>8.0999999999999996E-3</v>
      </c>
      <c r="J236" s="176">
        <f>A!I1327</f>
        <v>38188</v>
      </c>
      <c r="K236" s="164">
        <f>A!J1327</f>
        <v>15</v>
      </c>
      <c r="L236" s="387">
        <f>A!K1327</f>
        <v>6.7903925251216E-3</v>
      </c>
      <c r="M236" s="176" t="str">
        <f>A!L1327</f>
        <v>03/11</v>
      </c>
      <c r="N236" s="164" t="str">
        <f>A!M1327</f>
        <v>01:00</v>
      </c>
      <c r="O236" s="387">
        <f>A!N1327</f>
        <v>5.4910000000000002E-3</v>
      </c>
      <c r="P236" s="176">
        <f>A!O1327</f>
        <v>92</v>
      </c>
      <c r="Q236" s="164">
        <f>A!P1327</f>
        <v>1</v>
      </c>
      <c r="R236" s="387">
        <f>A!Q1327</f>
        <v>6.77E-3</v>
      </c>
      <c r="S236" s="176">
        <f>A!R1327</f>
        <v>37920</v>
      </c>
      <c r="T236" s="164">
        <f>A!S1327</f>
        <v>9</v>
      </c>
      <c r="U236" s="426">
        <f t="shared" si="25"/>
        <v>5.4910000000000002E-3</v>
      </c>
      <c r="V236" s="159">
        <f t="shared" si="26"/>
        <v>8.0999999999999996E-3</v>
      </c>
      <c r="W236" s="27">
        <f t="shared" si="24"/>
        <v>0.37059183107532617</v>
      </c>
      <c r="Y236" s="674">
        <f>A!T1327</f>
        <v>0</v>
      </c>
      <c r="Z236" s="681">
        <f>A!U1327</f>
        <v>0</v>
      </c>
      <c r="AA236" s="673">
        <f>A!V1327</f>
        <v>0</v>
      </c>
    </row>
    <row r="237" spans="2:27" ht="12" customHeight="1">
      <c r="B237" s="173" t="s">
        <v>135</v>
      </c>
      <c r="C237" s="159">
        <f>A!B1328</f>
        <v>6.0840499999999997E-3</v>
      </c>
      <c r="D237" s="180" t="str">
        <f>A!C1328</f>
        <v>01-Jan</v>
      </c>
      <c r="E237" s="164">
        <f>A!D1328</f>
        <v>1</v>
      </c>
      <c r="F237" s="387">
        <f>A!E1328</f>
        <v>5.0000000000000001E-3</v>
      </c>
      <c r="G237" s="176">
        <f>A!F1328</f>
        <v>37776</v>
      </c>
      <c r="H237" s="164">
        <f>A!G1328</f>
        <v>13</v>
      </c>
      <c r="I237" s="387">
        <f>A!H1328</f>
        <v>6.3E-3</v>
      </c>
      <c r="J237" s="176">
        <f>A!I1328</f>
        <v>38085</v>
      </c>
      <c r="K237" s="164">
        <f>A!J1328</f>
        <v>8</v>
      </c>
      <c r="L237" s="387">
        <f>A!K1328</f>
        <v>6.7903925251215401E-3</v>
      </c>
      <c r="M237" s="176" t="str">
        <f>A!L1328</f>
        <v>03/11</v>
      </c>
      <c r="N237" s="164" t="str">
        <f>A!M1328</f>
        <v>01:00</v>
      </c>
      <c r="O237" s="387">
        <f>A!N1328</f>
        <v>3.2560000000000002E-3</v>
      </c>
      <c r="P237" s="176">
        <f>A!O1328</f>
        <v>92</v>
      </c>
      <c r="Q237" s="164">
        <f>A!P1328</f>
        <v>1</v>
      </c>
      <c r="R237" s="387">
        <f>A!Q1328</f>
        <v>6.3400000000000001E-3</v>
      </c>
      <c r="S237" s="176">
        <f>A!R1328</f>
        <v>37691</v>
      </c>
      <c r="T237" s="164">
        <f>A!S1328</f>
        <v>9</v>
      </c>
      <c r="U237" s="426">
        <f t="shared" si="25"/>
        <v>3.2560000000000002E-3</v>
      </c>
      <c r="V237" s="159">
        <f t="shared" si="26"/>
        <v>6.7903925251215401E-3</v>
      </c>
      <c r="W237" s="27">
        <f t="shared" si="24"/>
        <v>0.62795609311172096</v>
      </c>
      <c r="Y237" s="674">
        <f>A!T1328</f>
        <v>0</v>
      </c>
      <c r="Z237" s="681">
        <f>A!U1328</f>
        <v>0</v>
      </c>
      <c r="AA237" s="673">
        <f>A!V1328</f>
        <v>0</v>
      </c>
    </row>
    <row r="238" spans="2:27" ht="12" customHeight="1" thickBot="1">
      <c r="B238" s="174" t="s">
        <v>138</v>
      </c>
      <c r="C238" s="159">
        <f>A!B1329</f>
        <v>6.9891500000000004E-3</v>
      </c>
      <c r="D238" s="180" t="str">
        <f>A!C1329</f>
        <v>01-Jan</v>
      </c>
      <c r="E238" s="164">
        <f>A!D1329</f>
        <v>1</v>
      </c>
      <c r="F238" s="387">
        <f>A!E1329</f>
        <v>1.2200000000000001E-2</v>
      </c>
      <c r="G238" s="176">
        <f>A!F1329</f>
        <v>38188</v>
      </c>
      <c r="H238" s="164">
        <f>A!G1329</f>
        <v>15</v>
      </c>
      <c r="I238" s="387">
        <f>A!H1329</f>
        <v>1.2200000000000001E-2</v>
      </c>
      <c r="J238" s="176">
        <f>A!I1329</f>
        <v>38188</v>
      </c>
      <c r="K238" s="164">
        <f>A!J1329</f>
        <v>15</v>
      </c>
      <c r="L238" s="387">
        <f>A!K1329</f>
        <v>6.7903925251259298E-3</v>
      </c>
      <c r="M238" s="176" t="str">
        <f>A!L1329</f>
        <v>12/31</v>
      </c>
      <c r="N238" s="164" t="str">
        <f>A!M1329</f>
        <v>17:00</v>
      </c>
      <c r="O238" s="387">
        <f>A!N1329</f>
        <v>6.6889999999999996E-3</v>
      </c>
      <c r="P238" s="176">
        <f>A!O1329</f>
        <v>92</v>
      </c>
      <c r="Q238" s="164">
        <f>A!P1329</f>
        <v>1</v>
      </c>
      <c r="R238" s="387">
        <f>A!Q1329</f>
        <v>7.6299999999999996E-3</v>
      </c>
      <c r="S238" s="176">
        <f>A!R1329</f>
        <v>37930</v>
      </c>
      <c r="T238" s="164">
        <f>A!S1329</f>
        <v>9</v>
      </c>
      <c r="U238" s="426">
        <f t="shared" si="25"/>
        <v>6.6889999999999996E-3</v>
      </c>
      <c r="V238" s="159">
        <f t="shared" si="26"/>
        <v>1.2200000000000001E-2</v>
      </c>
      <c r="W238" s="27">
        <f t="shared" si="24"/>
        <v>0.62984605685337902</v>
      </c>
      <c r="Y238" s="674">
        <f>A!T1329</f>
        <v>0</v>
      </c>
      <c r="Z238" s="681">
        <f>A!U1329</f>
        <v>0</v>
      </c>
      <c r="AA238" s="673">
        <f>A!V1329</f>
        <v>0</v>
      </c>
    </row>
    <row r="239" spans="2:27" ht="12" customHeight="1" thickTop="1">
      <c r="B239" s="19" t="s">
        <v>269</v>
      </c>
      <c r="C239" s="193"/>
      <c r="D239" s="374"/>
      <c r="E239" s="196"/>
      <c r="F239" s="193"/>
      <c r="G239" s="179"/>
      <c r="H239" s="196"/>
      <c r="I239" s="193"/>
      <c r="J239" s="179"/>
      <c r="K239" s="196"/>
      <c r="L239" s="20"/>
      <c r="M239" s="179"/>
      <c r="N239" s="196"/>
      <c r="O239" s="20"/>
      <c r="P239" s="179"/>
      <c r="Q239" s="196"/>
      <c r="R239" s="196"/>
      <c r="S239" s="196"/>
      <c r="T239" s="196"/>
      <c r="U239" s="452" t="s">
        <v>24</v>
      </c>
      <c r="V239" s="193"/>
      <c r="W239" s="21"/>
      <c r="Y239" s="674"/>
      <c r="Z239" s="681"/>
      <c r="AA239" s="673"/>
    </row>
    <row r="240" spans="2:27" ht="12" customHeight="1">
      <c r="B240" s="170"/>
      <c r="C240" s="194" t="s">
        <v>245</v>
      </c>
      <c r="D240" s="180"/>
      <c r="E240" s="197"/>
      <c r="F240" s="377" t="s">
        <v>536</v>
      </c>
      <c r="G240" s="180"/>
      <c r="H240" s="197"/>
      <c r="I240" s="388" t="s">
        <v>258</v>
      </c>
      <c r="J240" s="106"/>
      <c r="K240" s="116"/>
      <c r="L240" s="384" t="s">
        <v>433</v>
      </c>
      <c r="M240" s="106"/>
      <c r="N240" s="116"/>
      <c r="O240" s="722" t="s">
        <v>469</v>
      </c>
      <c r="P240" s="120"/>
      <c r="Q240" s="48"/>
      <c r="R240" s="437" t="s">
        <v>482</v>
      </c>
      <c r="U240" s="426"/>
      <c r="V240" s="159"/>
      <c r="W240" s="23" t="s">
        <v>25</v>
      </c>
      <c r="Y240" s="674"/>
      <c r="Z240" s="681"/>
      <c r="AA240" s="673"/>
    </row>
    <row r="241" spans="2:27" ht="12" customHeight="1">
      <c r="B241" s="171"/>
      <c r="C241" s="195" t="s">
        <v>26</v>
      </c>
      <c r="D241" s="181" t="s">
        <v>77</v>
      </c>
      <c r="E241" s="198" t="s">
        <v>78</v>
      </c>
      <c r="F241" s="389" t="s">
        <v>13</v>
      </c>
      <c r="G241" s="181" t="s">
        <v>77</v>
      </c>
      <c r="H241" s="198" t="s">
        <v>78</v>
      </c>
      <c r="I241" s="389" t="s">
        <v>13</v>
      </c>
      <c r="J241" s="181" t="s">
        <v>77</v>
      </c>
      <c r="K241" s="199" t="s">
        <v>78</v>
      </c>
      <c r="L241" s="383" t="s">
        <v>434</v>
      </c>
      <c r="M241" s="181" t="s">
        <v>77</v>
      </c>
      <c r="N241" s="199" t="s">
        <v>78</v>
      </c>
      <c r="O241" s="373" t="s">
        <v>452</v>
      </c>
      <c r="P241" s="24" t="s">
        <v>77</v>
      </c>
      <c r="Q241" s="723" t="s">
        <v>78</v>
      </c>
      <c r="R241" s="353" t="s">
        <v>483</v>
      </c>
      <c r="S241" s="24" t="s">
        <v>77</v>
      </c>
      <c r="T241" s="177" t="s">
        <v>78</v>
      </c>
      <c r="U241" s="453" t="s">
        <v>27</v>
      </c>
      <c r="V241" s="195" t="s">
        <v>28</v>
      </c>
      <c r="W241" s="25" t="s">
        <v>259</v>
      </c>
      <c r="Y241" s="684" t="s">
        <v>522</v>
      </c>
      <c r="Z241" s="181" t="s">
        <v>77</v>
      </c>
      <c r="AA241" s="177" t="s">
        <v>78</v>
      </c>
    </row>
    <row r="242" spans="2:27" ht="12" customHeight="1">
      <c r="B242" s="172" t="s">
        <v>91</v>
      </c>
      <c r="C242" s="159">
        <f>A!B1340</f>
        <v>1.87685E-3</v>
      </c>
      <c r="D242" s="180" t="str">
        <f>A!C1340</f>
        <v>11-Jan</v>
      </c>
      <c r="E242" s="164">
        <f>A!D1340</f>
        <v>3</v>
      </c>
      <c r="F242" s="387">
        <f>A!E1340</f>
        <v>1.6999999999999999E-3</v>
      </c>
      <c r="G242" s="176">
        <f>A!F1340</f>
        <v>36895</v>
      </c>
      <c r="H242" s="164">
        <f>A!G1340</f>
        <v>24</v>
      </c>
      <c r="I242" s="387">
        <f>A!H1340</f>
        <v>1.6999999999999999E-3</v>
      </c>
      <c r="J242" s="176">
        <f>A!I1340</f>
        <v>36895</v>
      </c>
      <c r="K242" s="164">
        <f>A!J1340</f>
        <v>24</v>
      </c>
      <c r="L242" s="387">
        <f>A!K1340</f>
        <v>1.9292157767827299E-3</v>
      </c>
      <c r="M242" s="176" t="str">
        <f>A!L1340</f>
        <v>01/11</v>
      </c>
      <c r="N242" s="164" t="str">
        <f>A!M1340</f>
        <v>03:00</v>
      </c>
      <c r="O242" s="387">
        <f>A!N1340</f>
        <v>1.9680000000000001E-3</v>
      </c>
      <c r="P242" s="176">
        <f>A!O1340</f>
        <v>11</v>
      </c>
      <c r="Q242" s="164">
        <f>A!P1340</f>
        <v>3</v>
      </c>
      <c r="R242" s="387">
        <f>A!Q1340</f>
        <v>1.97E-3</v>
      </c>
      <c r="S242" s="176">
        <f>A!R1340</f>
        <v>37626</v>
      </c>
      <c r="T242" s="164">
        <f>A!S1340</f>
        <v>6</v>
      </c>
      <c r="U242" s="426">
        <f t="shared" ref="U242:U261" si="27">MINA(C242,F242,I242,L242,O242,R242)</f>
        <v>1.6999999999999999E-3</v>
      </c>
      <c r="V242" s="159">
        <f t="shared" ref="V242:V261" si="28">MAXA(C242,F242,I242,L242,O242,R242)</f>
        <v>1.97E-3</v>
      </c>
      <c r="W242" s="27">
        <f t="shared" ref="W242:W261" si="29">(V242-U242)/AVERAGE(C242,F242,I242,L242,O242,R242)</f>
        <v>0.14536884764042476</v>
      </c>
      <c r="Y242" s="674">
        <f>A!T1340</f>
        <v>0</v>
      </c>
      <c r="Z242" s="681">
        <f>A!U1340</f>
        <v>0</v>
      </c>
      <c r="AA242" s="673">
        <f>A!V1340</f>
        <v>0</v>
      </c>
    </row>
    <row r="243" spans="2:27" ht="12" customHeight="1">
      <c r="B243" s="173" t="s">
        <v>96</v>
      </c>
      <c r="C243" s="159">
        <f>A!B1341</f>
        <v>1.8768599999999999E-3</v>
      </c>
      <c r="D243" s="180" t="str">
        <f>A!C1341</f>
        <v>11-Jan</v>
      </c>
      <c r="E243" s="164">
        <f>A!D1341</f>
        <v>3</v>
      </c>
      <c r="F243" s="387">
        <f>A!E1341</f>
        <v>1.6999999999999999E-3</v>
      </c>
      <c r="G243" s="176">
        <f>A!F1341</f>
        <v>36895</v>
      </c>
      <c r="H243" s="164">
        <f>A!G1341</f>
        <v>24</v>
      </c>
      <c r="I243" s="387">
        <f>A!H1341</f>
        <v>1.6999999999999999E-3</v>
      </c>
      <c r="J243" s="176">
        <f>A!I1341</f>
        <v>36895</v>
      </c>
      <c r="K243" s="164">
        <f>A!J1341</f>
        <v>24</v>
      </c>
      <c r="L243" s="387">
        <f>A!K1341</f>
        <v>1.94348508990299E-3</v>
      </c>
      <c r="M243" s="176" t="str">
        <f>A!L1341</f>
        <v>01/05</v>
      </c>
      <c r="N243" s="164" t="str">
        <f>A!M1341</f>
        <v>07:00</v>
      </c>
      <c r="O243" s="387">
        <f>A!N1341</f>
        <v>2.019E-3</v>
      </c>
      <c r="P243" s="176">
        <f>A!O1341</f>
        <v>5</v>
      </c>
      <c r="Q243" s="164">
        <f>A!P1341</f>
        <v>7</v>
      </c>
      <c r="R243" s="387">
        <f>A!Q1341</f>
        <v>1.9599999999999999E-3</v>
      </c>
      <c r="S243" s="176">
        <f>A!R1341</f>
        <v>37626</v>
      </c>
      <c r="T243" s="164">
        <f>A!S1341</f>
        <v>7</v>
      </c>
      <c r="U243" s="426">
        <f t="shared" si="27"/>
        <v>1.6999999999999999E-3</v>
      </c>
      <c r="V243" s="159">
        <f t="shared" si="28"/>
        <v>2.019E-3</v>
      </c>
      <c r="W243" s="27">
        <f t="shared" si="29"/>
        <v>0.17090285053593074</v>
      </c>
      <c r="Y243" s="674">
        <f>A!T1341</f>
        <v>0</v>
      </c>
      <c r="Z243" s="681">
        <f>A!U1341</f>
        <v>0</v>
      </c>
      <c r="AA243" s="673">
        <f>A!V1341</f>
        <v>0</v>
      </c>
    </row>
    <row r="244" spans="2:27" ht="12" customHeight="1">
      <c r="B244" s="173" t="s">
        <v>98</v>
      </c>
      <c r="C244" s="159">
        <f>A!B1342</f>
        <v>1.87685E-3</v>
      </c>
      <c r="D244" s="180" t="str">
        <f>A!C1342</f>
        <v>11-Jan</v>
      </c>
      <c r="E244" s="164">
        <f>A!D1342</f>
        <v>3</v>
      </c>
      <c r="F244" s="387">
        <f>A!E1342</f>
        <v>1.6999999999999999E-3</v>
      </c>
      <c r="G244" s="176">
        <f>A!F1342</f>
        <v>36895</v>
      </c>
      <c r="H244" s="164">
        <f>A!G1342</f>
        <v>24</v>
      </c>
      <c r="I244" s="387">
        <f>A!H1342</f>
        <v>1.6999999999999999E-3</v>
      </c>
      <c r="J244" s="176">
        <f>A!I1342</f>
        <v>36895</v>
      </c>
      <c r="K244" s="164">
        <f>A!J1342</f>
        <v>24</v>
      </c>
      <c r="L244" s="387">
        <f>A!K1342</f>
        <v>1.9350936123160301E-3</v>
      </c>
      <c r="M244" s="176" t="str">
        <f>A!L1342</f>
        <v>01/11</v>
      </c>
      <c r="N244" s="164" t="str">
        <f>A!M1342</f>
        <v>03:00</v>
      </c>
      <c r="O244" s="387">
        <f>A!N1342</f>
        <v>1.9680000000000001E-3</v>
      </c>
      <c r="P244" s="176">
        <f>A!O1342</f>
        <v>11</v>
      </c>
      <c r="Q244" s="164">
        <f>A!P1342</f>
        <v>3</v>
      </c>
      <c r="R244" s="387">
        <f>A!Q1342</f>
        <v>1.97E-3</v>
      </c>
      <c r="S244" s="176">
        <f>A!R1342</f>
        <v>37626</v>
      </c>
      <c r="T244" s="164">
        <f>A!S1342</f>
        <v>6</v>
      </c>
      <c r="U244" s="426">
        <f t="shared" si="27"/>
        <v>1.6999999999999999E-3</v>
      </c>
      <c r="V244" s="159">
        <f t="shared" si="28"/>
        <v>1.97E-3</v>
      </c>
      <c r="W244" s="27">
        <f t="shared" si="29"/>
        <v>0.14529221459116412</v>
      </c>
      <c r="Y244" s="674">
        <f>A!T1342</f>
        <v>0</v>
      </c>
      <c r="Z244" s="681">
        <f>A!U1342</f>
        <v>0</v>
      </c>
      <c r="AA244" s="673">
        <f>A!V1342</f>
        <v>0</v>
      </c>
    </row>
    <row r="245" spans="2:27" ht="12" customHeight="1">
      <c r="B245" s="173" t="s">
        <v>102</v>
      </c>
      <c r="C245" s="159">
        <f>A!B1343</f>
        <v>1.87685E-3</v>
      </c>
      <c r="D245" s="180" t="str">
        <f>A!C1343</f>
        <v>11-Jan</v>
      </c>
      <c r="E245" s="164">
        <f>A!D1343</f>
        <v>3</v>
      </c>
      <c r="F245" s="387">
        <f>A!E1343</f>
        <v>1.6999999999999999E-3</v>
      </c>
      <c r="G245" s="176">
        <f>A!F1343</f>
        <v>36895</v>
      </c>
      <c r="H245" s="164">
        <f>A!G1343</f>
        <v>24</v>
      </c>
      <c r="I245" s="387">
        <f>A!H1343</f>
        <v>1.6999999999999999E-3</v>
      </c>
      <c r="J245" s="176">
        <f>A!I1343</f>
        <v>36895</v>
      </c>
      <c r="K245" s="164">
        <f>A!J1343</f>
        <v>24</v>
      </c>
      <c r="L245" s="387">
        <f>A!K1343</f>
        <v>1.92919867778698E-3</v>
      </c>
      <c r="M245" s="176" t="str">
        <f>A!L1343</f>
        <v>01/11</v>
      </c>
      <c r="N245" s="164" t="str">
        <f>A!M1343</f>
        <v>03:00</v>
      </c>
      <c r="O245" s="387">
        <f>A!N1343</f>
        <v>1.9680000000000001E-3</v>
      </c>
      <c r="P245" s="176">
        <f>A!O1343</f>
        <v>11</v>
      </c>
      <c r="Q245" s="164">
        <f>A!P1343</f>
        <v>3</v>
      </c>
      <c r="R245" s="387">
        <f>A!Q1343</f>
        <v>1.97E-3</v>
      </c>
      <c r="S245" s="176">
        <f>A!R1343</f>
        <v>37626</v>
      </c>
      <c r="T245" s="164">
        <f>A!S1343</f>
        <v>6</v>
      </c>
      <c r="U245" s="426">
        <f t="shared" si="27"/>
        <v>1.6999999999999999E-3</v>
      </c>
      <c r="V245" s="159">
        <f t="shared" si="28"/>
        <v>1.97E-3</v>
      </c>
      <c r="W245" s="27">
        <f t="shared" si="29"/>
        <v>0.14536907068874227</v>
      </c>
      <c r="Y245" s="674">
        <f>A!T1343</f>
        <v>0</v>
      </c>
      <c r="Z245" s="681">
        <f>A!U1343</f>
        <v>0</v>
      </c>
      <c r="AA245" s="673">
        <f>A!V1343</f>
        <v>0</v>
      </c>
    </row>
    <row r="246" spans="2:27" ht="12" customHeight="1">
      <c r="B246" s="173" t="s">
        <v>356</v>
      </c>
      <c r="C246" s="159">
        <f>A!B1344</f>
        <v>1.87685E-3</v>
      </c>
      <c r="D246" s="180" t="str">
        <f>A!C1344</f>
        <v>11-Jan</v>
      </c>
      <c r="E246" s="164">
        <f>A!D1344</f>
        <v>3</v>
      </c>
      <c r="F246" s="387">
        <f>A!E1344</f>
        <v>1.6999999999999999E-3</v>
      </c>
      <c r="G246" s="176">
        <f>A!F1344</f>
        <v>36895</v>
      </c>
      <c r="H246" s="164">
        <f>A!G1344</f>
        <v>24</v>
      </c>
      <c r="I246" s="387">
        <f>A!H1344</f>
        <v>1.6999999999999999E-3</v>
      </c>
      <c r="J246" s="176">
        <f>A!I1344</f>
        <v>36895</v>
      </c>
      <c r="K246" s="164">
        <f>A!J1344</f>
        <v>24</v>
      </c>
      <c r="L246" s="387">
        <f>A!K1344</f>
        <v>1.92919867778698E-3</v>
      </c>
      <c r="M246" s="176" t="str">
        <f>A!L1344</f>
        <v>01/11</v>
      </c>
      <c r="N246" s="164" t="str">
        <f>A!M1344</f>
        <v>03:00</v>
      </c>
      <c r="O246" s="387">
        <f>A!N1344</f>
        <v>1.9680000000000001E-3</v>
      </c>
      <c r="P246" s="176">
        <f>A!O1344</f>
        <v>11</v>
      </c>
      <c r="Q246" s="164">
        <f>A!P1344</f>
        <v>3</v>
      </c>
      <c r="R246" s="387">
        <f>A!Q1344</f>
        <v>1.97E-3</v>
      </c>
      <c r="S246" s="176">
        <f>A!R1344</f>
        <v>37626</v>
      </c>
      <c r="T246" s="164">
        <f>A!S1344</f>
        <v>6</v>
      </c>
      <c r="U246" s="426">
        <f t="shared" si="27"/>
        <v>1.6999999999999999E-3</v>
      </c>
      <c r="V246" s="159">
        <f t="shared" si="28"/>
        <v>1.97E-3</v>
      </c>
      <c r="W246" s="27">
        <f t="shared" si="29"/>
        <v>0.14536907068874227</v>
      </c>
      <c r="Y246" s="674">
        <f>A!T1344</f>
        <v>0</v>
      </c>
      <c r="Z246" s="681">
        <f>A!U1344</f>
        <v>0</v>
      </c>
      <c r="AA246" s="673">
        <f>A!V1344</f>
        <v>0</v>
      </c>
    </row>
    <row r="247" spans="2:27" ht="12" customHeight="1">
      <c r="B247" s="173" t="s">
        <v>105</v>
      </c>
      <c r="C247" s="159">
        <f>A!B1345</f>
        <v>1.87685E-3</v>
      </c>
      <c r="D247" s="180" t="str">
        <f>A!C1345</f>
        <v>11-Jan</v>
      </c>
      <c r="E247" s="164">
        <f>A!D1345</f>
        <v>3</v>
      </c>
      <c r="F247" s="387">
        <f>A!E1345</f>
        <v>1.6999999999999999E-3</v>
      </c>
      <c r="G247" s="176">
        <f>A!F1345</f>
        <v>36895</v>
      </c>
      <c r="H247" s="164">
        <f>A!G1345</f>
        <v>24</v>
      </c>
      <c r="I247" s="387">
        <f>A!H1345</f>
        <v>1.6999999999999999E-3</v>
      </c>
      <c r="J247" s="176">
        <f>A!I1345</f>
        <v>36895</v>
      </c>
      <c r="K247" s="164">
        <f>A!J1345</f>
        <v>24</v>
      </c>
      <c r="L247" s="387">
        <f>A!K1345</f>
        <v>1.9292157767827299E-3</v>
      </c>
      <c r="M247" s="176" t="str">
        <f>A!L1345</f>
        <v>01/11</v>
      </c>
      <c r="N247" s="164" t="str">
        <f>A!M1345</f>
        <v>03:00</v>
      </c>
      <c r="O247" s="387">
        <f>A!N1345</f>
        <v>1.9680000000000001E-3</v>
      </c>
      <c r="P247" s="176">
        <f>A!O1345</f>
        <v>11</v>
      </c>
      <c r="Q247" s="164">
        <f>A!P1345</f>
        <v>3</v>
      </c>
      <c r="R247" s="387">
        <f>A!Q1345</f>
        <v>1.97E-3</v>
      </c>
      <c r="S247" s="176">
        <f>A!R1345</f>
        <v>37626</v>
      </c>
      <c r="T247" s="164">
        <f>A!S1345</f>
        <v>6</v>
      </c>
      <c r="U247" s="426">
        <f t="shared" si="27"/>
        <v>1.6999999999999999E-3</v>
      </c>
      <c r="V247" s="159">
        <f t="shared" si="28"/>
        <v>1.97E-3</v>
      </c>
      <c r="W247" s="27">
        <f t="shared" si="29"/>
        <v>0.14536884764042476</v>
      </c>
      <c r="Y247" s="674">
        <f>A!T1345</f>
        <v>0</v>
      </c>
      <c r="Z247" s="681">
        <f>A!U1345</f>
        <v>0</v>
      </c>
      <c r="AA247" s="673">
        <f>A!V1345</f>
        <v>0</v>
      </c>
    </row>
    <row r="248" spans="2:27" ht="12" customHeight="1">
      <c r="B248" s="173" t="s">
        <v>108</v>
      </c>
      <c r="C248" s="159">
        <f>A!B1346</f>
        <v>1.87685E-3</v>
      </c>
      <c r="D248" s="180" t="str">
        <f>A!C1346</f>
        <v>11-Jan</v>
      </c>
      <c r="E248" s="164">
        <f>A!D1346</f>
        <v>3</v>
      </c>
      <c r="F248" s="387">
        <f>A!E1346</f>
        <v>1.6999999999999999E-3</v>
      </c>
      <c r="G248" s="176">
        <f>A!F1346</f>
        <v>36895</v>
      </c>
      <c r="H248" s="164">
        <f>A!G1346</f>
        <v>24</v>
      </c>
      <c r="I248" s="387">
        <f>A!H1346</f>
        <v>1.6999999999999999E-3</v>
      </c>
      <c r="J248" s="176">
        <f>A!I1346</f>
        <v>36895</v>
      </c>
      <c r="K248" s="164">
        <f>A!J1346</f>
        <v>24</v>
      </c>
      <c r="L248" s="387">
        <f>A!K1346</f>
        <v>1.9292157545680701E-3</v>
      </c>
      <c r="M248" s="176" t="str">
        <f>A!L1346</f>
        <v>01/11</v>
      </c>
      <c r="N248" s="164" t="str">
        <f>A!M1346</f>
        <v>03:00</v>
      </c>
      <c r="O248" s="387">
        <f>A!N1346</f>
        <v>1.9680000000000001E-3</v>
      </c>
      <c r="P248" s="176">
        <f>A!O1346</f>
        <v>11</v>
      </c>
      <c r="Q248" s="164">
        <f>A!P1346</f>
        <v>3</v>
      </c>
      <c r="R248" s="387">
        <f>A!Q1346</f>
        <v>1.97E-3</v>
      </c>
      <c r="S248" s="176">
        <f>A!R1346</f>
        <v>37626</v>
      </c>
      <c r="T248" s="164">
        <f>A!S1346</f>
        <v>6</v>
      </c>
      <c r="U248" s="426">
        <f t="shared" si="27"/>
        <v>1.6999999999999999E-3</v>
      </c>
      <c r="V248" s="159">
        <f t="shared" si="28"/>
        <v>1.97E-3</v>
      </c>
      <c r="W248" s="27">
        <f t="shared" si="29"/>
        <v>0.14536884793020405</v>
      </c>
      <c r="Y248" s="674">
        <f>A!T1346</f>
        <v>0</v>
      </c>
      <c r="Z248" s="681">
        <f>A!U1346</f>
        <v>0</v>
      </c>
      <c r="AA248" s="673">
        <f>A!V1346</f>
        <v>0</v>
      </c>
    </row>
    <row r="249" spans="2:27" ht="12" customHeight="1">
      <c r="B249" s="173" t="s">
        <v>109</v>
      </c>
      <c r="C249" s="159">
        <f>A!B1347</f>
        <v>1.87685E-3</v>
      </c>
      <c r="D249" s="180" t="str">
        <f>A!C1347</f>
        <v>11-Jan</v>
      </c>
      <c r="E249" s="164">
        <f>A!D1347</f>
        <v>3</v>
      </c>
      <c r="F249" s="387">
        <f>A!E1347</f>
        <v>1.6999999999999999E-3</v>
      </c>
      <c r="G249" s="176">
        <f>A!F1347</f>
        <v>36895</v>
      </c>
      <c r="H249" s="164">
        <f>A!G1347</f>
        <v>24</v>
      </c>
      <c r="I249" s="387">
        <f>A!H1347</f>
        <v>1.6999999999999999E-3</v>
      </c>
      <c r="J249" s="176">
        <f>A!I1347</f>
        <v>36895</v>
      </c>
      <c r="K249" s="164">
        <f>A!J1347</f>
        <v>24</v>
      </c>
      <c r="L249" s="387">
        <f>A!K1347</f>
        <v>1.9292157798758199E-3</v>
      </c>
      <c r="M249" s="176" t="str">
        <f>A!L1347</f>
        <v>01/11</v>
      </c>
      <c r="N249" s="164" t="str">
        <f>A!M1347</f>
        <v>03:00</v>
      </c>
      <c r="O249" s="387"/>
      <c r="P249" s="176"/>
      <c r="Q249" s="164"/>
      <c r="R249" s="387">
        <f>A!Q1347</f>
        <v>1.97E-3</v>
      </c>
      <c r="S249" s="176">
        <f>A!R1347</f>
        <v>37626</v>
      </c>
      <c r="T249" s="164">
        <f>A!S1347</f>
        <v>6</v>
      </c>
      <c r="U249" s="426">
        <f t="shared" si="27"/>
        <v>1.6999999999999999E-3</v>
      </c>
      <c r="V249" s="159">
        <f t="shared" si="28"/>
        <v>1.97E-3</v>
      </c>
      <c r="W249" s="27">
        <f t="shared" si="29"/>
        <v>0.14712187471026064</v>
      </c>
      <c r="Y249" s="674">
        <f>A!T1347</f>
        <v>0</v>
      </c>
      <c r="Z249" s="681">
        <f>A!U1347</f>
        <v>0</v>
      </c>
      <c r="AA249" s="673">
        <f>A!V1347</f>
        <v>0</v>
      </c>
    </row>
    <row r="250" spans="2:27" ht="12" customHeight="1">
      <c r="B250" s="173" t="s">
        <v>111</v>
      </c>
      <c r="C250" s="159">
        <f>A!B1348</f>
        <v>1.87685E-3</v>
      </c>
      <c r="D250" s="180" t="str">
        <f>A!C1348</f>
        <v>11-Jan</v>
      </c>
      <c r="E250" s="164">
        <f>A!D1348</f>
        <v>3</v>
      </c>
      <c r="F250" s="387">
        <f>A!E1348</f>
        <v>1.6999999999999999E-3</v>
      </c>
      <c r="G250" s="176">
        <f>A!F1348</f>
        <v>36895</v>
      </c>
      <c r="H250" s="164">
        <f>A!G1348</f>
        <v>24</v>
      </c>
      <c r="I250" s="387">
        <f>A!H1348</f>
        <v>1.6999999999999999E-3</v>
      </c>
      <c r="J250" s="176">
        <f>A!I1348</f>
        <v>36895</v>
      </c>
      <c r="K250" s="164">
        <f>A!J1348</f>
        <v>24</v>
      </c>
      <c r="L250" s="387"/>
      <c r="M250" s="176"/>
      <c r="N250" s="164"/>
      <c r="O250" s="387"/>
      <c r="P250" s="176"/>
      <c r="Q250" s="164"/>
      <c r="R250" s="387">
        <f>A!Q1348</f>
        <v>1.97E-3</v>
      </c>
      <c r="S250" s="176">
        <f>A!R1348</f>
        <v>37626</v>
      </c>
      <c r="T250" s="164">
        <f>A!S1348</f>
        <v>6</v>
      </c>
      <c r="U250" s="426">
        <f t="shared" si="27"/>
        <v>1.6999999999999999E-3</v>
      </c>
      <c r="V250" s="159">
        <f t="shared" si="28"/>
        <v>1.97E-3</v>
      </c>
      <c r="W250" s="27">
        <f t="shared" si="29"/>
        <v>0.14903026832347852</v>
      </c>
      <c r="Y250" s="674">
        <f>A!T1348</f>
        <v>0</v>
      </c>
      <c r="Z250" s="681">
        <f>A!U1348</f>
        <v>0</v>
      </c>
      <c r="AA250" s="673">
        <f>A!V1348</f>
        <v>0</v>
      </c>
    </row>
    <row r="251" spans="2:27" ht="12" customHeight="1">
      <c r="B251" s="173" t="s">
        <v>112</v>
      </c>
      <c r="C251" s="159">
        <f>A!B1349</f>
        <v>1.87685E-3</v>
      </c>
      <c r="D251" s="180" t="str">
        <f>A!C1349</f>
        <v>11-Jan</v>
      </c>
      <c r="E251" s="164">
        <f>A!D1349</f>
        <v>3</v>
      </c>
      <c r="F251" s="387">
        <f>A!E1349</f>
        <v>1.6999999999999999E-3</v>
      </c>
      <c r="G251" s="176">
        <f>A!F1349</f>
        <v>36895</v>
      </c>
      <c r="H251" s="164">
        <f>A!G1349</f>
        <v>24</v>
      </c>
      <c r="I251" s="387">
        <f>A!H1349</f>
        <v>1.6999999999999999E-3</v>
      </c>
      <c r="J251" s="176">
        <f>A!I1349</f>
        <v>36895</v>
      </c>
      <c r="K251" s="164">
        <f>A!J1349</f>
        <v>24</v>
      </c>
      <c r="L251" s="387">
        <f>A!K1349</f>
        <v>1.9292157760132599E-3</v>
      </c>
      <c r="M251" s="176" t="str">
        <f>A!L1349</f>
        <v>01/11</v>
      </c>
      <c r="N251" s="164" t="str">
        <f>A!M1349</f>
        <v>03:00</v>
      </c>
      <c r="O251" s="387"/>
      <c r="P251" s="176"/>
      <c r="Q251" s="164"/>
      <c r="R251" s="387">
        <f>A!Q1349</f>
        <v>1.97E-3</v>
      </c>
      <c r="S251" s="176">
        <f>A!R1349</f>
        <v>37626</v>
      </c>
      <c r="T251" s="164">
        <f>A!S1349</f>
        <v>6</v>
      </c>
      <c r="U251" s="426">
        <f t="shared" si="27"/>
        <v>1.6999999999999999E-3</v>
      </c>
      <c r="V251" s="159">
        <f t="shared" si="28"/>
        <v>1.97E-3</v>
      </c>
      <c r="W251" s="27">
        <f t="shared" si="29"/>
        <v>0.14712187477218988</v>
      </c>
      <c r="Y251" s="674">
        <f>A!T1349</f>
        <v>0</v>
      </c>
      <c r="Z251" s="681">
        <f>A!U1349</f>
        <v>0</v>
      </c>
      <c r="AA251" s="673">
        <f>A!V1349</f>
        <v>0</v>
      </c>
    </row>
    <row r="252" spans="2:27" ht="12" customHeight="1">
      <c r="B252" s="173" t="s">
        <v>113</v>
      </c>
      <c r="C252" s="159">
        <f>A!B1350</f>
        <v>1.87685E-3</v>
      </c>
      <c r="D252" s="180" t="str">
        <f>A!C1350</f>
        <v>11-Jan</v>
      </c>
      <c r="E252" s="164">
        <f>A!D1350</f>
        <v>3</v>
      </c>
      <c r="F252" s="387">
        <f>A!E1350</f>
        <v>1.6999999999999999E-3</v>
      </c>
      <c r="G252" s="176">
        <f>A!F1350</f>
        <v>36895</v>
      </c>
      <c r="H252" s="164">
        <f>A!G1350</f>
        <v>24</v>
      </c>
      <c r="I252" s="387">
        <f>A!H1350</f>
        <v>1.6999999999999999E-3</v>
      </c>
      <c r="J252" s="176">
        <f>A!I1350</f>
        <v>36895</v>
      </c>
      <c r="K252" s="164">
        <f>A!J1350</f>
        <v>24</v>
      </c>
      <c r="L252" s="387">
        <f>A!K1350</f>
        <v>1.9292157798758199E-3</v>
      </c>
      <c r="M252" s="176" t="str">
        <f>A!L1350</f>
        <v>01/11</v>
      </c>
      <c r="N252" s="164" t="str">
        <f>A!M1350</f>
        <v>03:00</v>
      </c>
      <c r="O252" s="387"/>
      <c r="P252" s="176"/>
      <c r="Q252" s="164"/>
      <c r="R252" s="387">
        <f>A!Q1350</f>
        <v>1.97E-3</v>
      </c>
      <c r="S252" s="176">
        <f>A!R1350</f>
        <v>37626</v>
      </c>
      <c r="T252" s="164">
        <f>A!S1350</f>
        <v>6</v>
      </c>
      <c r="U252" s="426">
        <f t="shared" si="27"/>
        <v>1.6999999999999999E-3</v>
      </c>
      <c r="V252" s="159">
        <f t="shared" si="28"/>
        <v>1.97E-3</v>
      </c>
      <c r="W252" s="27">
        <f t="shared" si="29"/>
        <v>0.14712187471026064</v>
      </c>
      <c r="Y252" s="674">
        <f>A!T1350</f>
        <v>0</v>
      </c>
      <c r="Z252" s="681">
        <f>A!U1350</f>
        <v>0</v>
      </c>
      <c r="AA252" s="673">
        <f>A!V1350</f>
        <v>0</v>
      </c>
    </row>
    <row r="253" spans="2:27" ht="12" customHeight="1">
      <c r="B253" s="173" t="s">
        <v>114</v>
      </c>
      <c r="C253" s="159">
        <f>A!B1351</f>
        <v>1.87685E-3</v>
      </c>
      <c r="D253" s="180" t="str">
        <f>A!C1351</f>
        <v>11-Jan</v>
      </c>
      <c r="E253" s="164">
        <f>A!D1351</f>
        <v>3</v>
      </c>
      <c r="F253" s="387">
        <f>A!E1351</f>
        <v>1.6999999999999999E-3</v>
      </c>
      <c r="G253" s="176">
        <f>A!F1351</f>
        <v>36895</v>
      </c>
      <c r="H253" s="164">
        <f>A!G1351</f>
        <v>24</v>
      </c>
      <c r="I253" s="387">
        <f>A!H1351</f>
        <v>1.6999999999999999E-3</v>
      </c>
      <c r="J253" s="176">
        <f>A!I1351</f>
        <v>36895</v>
      </c>
      <c r="K253" s="164">
        <f>A!J1351</f>
        <v>24</v>
      </c>
      <c r="L253" s="387">
        <f>A!K1351</f>
        <v>1.9292157758506901E-3</v>
      </c>
      <c r="M253" s="176" t="str">
        <f>A!L1351</f>
        <v>01/11</v>
      </c>
      <c r="N253" s="164" t="str">
        <f>A!M1351</f>
        <v>03:00</v>
      </c>
      <c r="O253" s="387"/>
      <c r="P253" s="176"/>
      <c r="Q253" s="164"/>
      <c r="R253" s="387">
        <f>A!Q1351</f>
        <v>1.97E-3</v>
      </c>
      <c r="S253" s="176">
        <f>A!R1351</f>
        <v>37626</v>
      </c>
      <c r="T253" s="164">
        <f>A!S1351</f>
        <v>7</v>
      </c>
      <c r="U253" s="426">
        <f t="shared" si="27"/>
        <v>1.6999999999999999E-3</v>
      </c>
      <c r="V253" s="159">
        <f t="shared" si="28"/>
        <v>1.97E-3</v>
      </c>
      <c r="W253" s="27">
        <f t="shared" si="29"/>
        <v>0.14712187477479641</v>
      </c>
      <c r="Y253" s="674">
        <f>A!T1351</f>
        <v>0</v>
      </c>
      <c r="Z253" s="681">
        <f>A!U1351</f>
        <v>0</v>
      </c>
      <c r="AA253" s="673">
        <f>A!V1351</f>
        <v>0</v>
      </c>
    </row>
    <row r="254" spans="2:27" ht="12" customHeight="1">
      <c r="B254" s="173" t="s">
        <v>115</v>
      </c>
      <c r="C254" s="159">
        <f>A!B1352</f>
        <v>6.8275599999999999E-3</v>
      </c>
      <c r="D254" s="180" t="str">
        <f>A!C1352</f>
        <v>20-Dec</v>
      </c>
      <c r="E254" s="164">
        <f>A!D1352</f>
        <v>22</v>
      </c>
      <c r="F254" s="387"/>
      <c r="G254" s="176"/>
      <c r="H254" s="164"/>
      <c r="I254" s="387"/>
      <c r="J254" s="176"/>
      <c r="K254" s="164"/>
      <c r="L254" s="387">
        <f>A!K1352</f>
        <v>6.9608057741923903E-3</v>
      </c>
      <c r="M254" s="176" t="str">
        <f>A!L1352</f>
        <v>12/20</v>
      </c>
      <c r="N254" s="164" t="str">
        <f>A!M1352</f>
        <v>12:00</v>
      </c>
      <c r="O254" s="387">
        <f>A!N1352</f>
        <v>6.9080000000000001E-3</v>
      </c>
      <c r="P254" s="176">
        <f>A!O1352</f>
        <v>355</v>
      </c>
      <c r="Q254" s="164">
        <f>A!P1352</f>
        <v>20</v>
      </c>
      <c r="R254" s="387">
        <f>A!Q1352</f>
        <v>1.03E-2</v>
      </c>
      <c r="S254" s="176">
        <f>A!R1352</f>
        <v>37927</v>
      </c>
      <c r="T254" s="164">
        <f>A!S1352</f>
        <v>2</v>
      </c>
      <c r="U254" s="426">
        <f t="shared" si="27"/>
        <v>6.8275599999999999E-3</v>
      </c>
      <c r="V254" s="159">
        <f t="shared" si="28"/>
        <v>1.03E-2</v>
      </c>
      <c r="W254" s="27">
        <f t="shared" si="29"/>
        <v>0.44810930743257105</v>
      </c>
      <c r="Y254" s="674">
        <f>A!T1352</f>
        <v>0</v>
      </c>
      <c r="Z254" s="681">
        <f>A!U1352</f>
        <v>0</v>
      </c>
      <c r="AA254" s="673">
        <f>A!V1352</f>
        <v>0</v>
      </c>
    </row>
    <row r="255" spans="2:27" ht="12" customHeight="1">
      <c r="B255" s="173" t="s">
        <v>121</v>
      </c>
      <c r="C255" s="159">
        <f>A!B1353</f>
        <v>6.8275599999999999E-3</v>
      </c>
      <c r="D255" s="180" t="str">
        <f>A!C1353</f>
        <v>20-Dec</v>
      </c>
      <c r="E255" s="164">
        <f>A!D1353</f>
        <v>22</v>
      </c>
      <c r="F255" s="387"/>
      <c r="G255" s="176"/>
      <c r="H255" s="164"/>
      <c r="I255" s="387"/>
      <c r="J255" s="176"/>
      <c r="K255" s="164"/>
      <c r="L255" s="387">
        <f>A!K1353</f>
        <v>6.9608057741923903E-3</v>
      </c>
      <c r="M255" s="176" t="str">
        <f>A!L1353</f>
        <v>12/20</v>
      </c>
      <c r="N255" s="164" t="str">
        <f>A!M1353</f>
        <v>12:00</v>
      </c>
      <c r="O255" s="387">
        <f>A!N1353</f>
        <v>6.9080000000000001E-3</v>
      </c>
      <c r="P255" s="176">
        <f>A!O1353</f>
        <v>355</v>
      </c>
      <c r="Q255" s="164">
        <f>A!P1353</f>
        <v>20</v>
      </c>
      <c r="R255" s="387">
        <f>A!Q1353</f>
        <v>1.0500000000000001E-2</v>
      </c>
      <c r="S255" s="176">
        <f>A!R1353</f>
        <v>37713</v>
      </c>
      <c r="T255" s="164">
        <f>A!S1353</f>
        <v>22</v>
      </c>
      <c r="U255" s="426">
        <f t="shared" si="27"/>
        <v>6.8275599999999999E-3</v>
      </c>
      <c r="V255" s="159">
        <f t="shared" si="28"/>
        <v>1.0500000000000001E-2</v>
      </c>
      <c r="W255" s="27">
        <f t="shared" si="29"/>
        <v>0.47088048993682147</v>
      </c>
      <c r="Y255" s="674">
        <f>A!T1353</f>
        <v>0</v>
      </c>
      <c r="Z255" s="681">
        <f>A!U1353</f>
        <v>0</v>
      </c>
      <c r="AA255" s="673">
        <f>A!V1353</f>
        <v>0</v>
      </c>
    </row>
    <row r="256" spans="2:27" ht="12" customHeight="1">
      <c r="B256" s="173" t="s">
        <v>125</v>
      </c>
      <c r="C256" s="159">
        <f>A!B1354</f>
        <v>6.1029600000000002E-3</v>
      </c>
      <c r="D256" s="180" t="str">
        <f>A!C1354</f>
        <v>26-Nov</v>
      </c>
      <c r="E256" s="164">
        <f>A!D1354</f>
        <v>2</v>
      </c>
      <c r="F256" s="387"/>
      <c r="G256" s="176"/>
      <c r="H256" s="164"/>
      <c r="I256" s="387"/>
      <c r="J256" s="176"/>
      <c r="K256" s="164"/>
      <c r="L256" s="387">
        <f>A!K1354</f>
        <v>6.4660207705716996E-3</v>
      </c>
      <c r="M256" s="176" t="str">
        <f>A!L1354</f>
        <v>11/10</v>
      </c>
      <c r="N256" s="164" t="str">
        <f>A!M1354</f>
        <v>07:00</v>
      </c>
      <c r="O256" s="387">
        <f>A!N1354</f>
        <v>6.5250000000000004E-3</v>
      </c>
      <c r="P256" s="176">
        <f>A!O1354</f>
        <v>332</v>
      </c>
      <c r="Q256" s="164">
        <f>A!P1354</f>
        <v>23</v>
      </c>
      <c r="R256" s="387">
        <f>A!Q1354</f>
        <v>6.5700000000000003E-3</v>
      </c>
      <c r="S256" s="176">
        <f>A!R1354</f>
        <v>37926</v>
      </c>
      <c r="T256" s="164">
        <f>A!S1354</f>
        <v>7</v>
      </c>
      <c r="U256" s="426">
        <f t="shared" si="27"/>
        <v>6.1029600000000002E-3</v>
      </c>
      <c r="V256" s="159">
        <f t="shared" si="28"/>
        <v>6.5700000000000003E-3</v>
      </c>
      <c r="W256" s="27">
        <f t="shared" si="29"/>
        <v>7.2793071998486572E-2</v>
      </c>
      <c r="Y256" s="674">
        <f>A!T1354</f>
        <v>0</v>
      </c>
      <c r="Z256" s="681">
        <f>A!U1354</f>
        <v>0</v>
      </c>
      <c r="AA256" s="673">
        <f>A!V1354</f>
        <v>0</v>
      </c>
    </row>
    <row r="257" spans="2:27" ht="12" customHeight="1">
      <c r="B257" s="173" t="s">
        <v>127</v>
      </c>
      <c r="C257" s="159">
        <f>A!B1355</f>
        <v>6.8214900000000004E-3</v>
      </c>
      <c r="D257" s="180" t="str">
        <f>A!C1355</f>
        <v>20-Dec</v>
      </c>
      <c r="E257" s="164">
        <f>A!D1355</f>
        <v>22</v>
      </c>
      <c r="F257" s="387"/>
      <c r="G257" s="176"/>
      <c r="H257" s="164"/>
      <c r="I257" s="387"/>
      <c r="J257" s="176"/>
      <c r="K257" s="164"/>
      <c r="L257" s="387">
        <f>A!K1355</f>
        <v>6.9387995884298099E-3</v>
      </c>
      <c r="M257" s="176" t="str">
        <f>A!L1355</f>
        <v>12/20</v>
      </c>
      <c r="N257" s="164" t="str">
        <f>A!M1355</f>
        <v>12:00</v>
      </c>
      <c r="O257" s="387">
        <f>A!N1355</f>
        <v>6.9080000000000001E-3</v>
      </c>
      <c r="P257" s="176">
        <f>A!O1355</f>
        <v>355</v>
      </c>
      <c r="Q257" s="164">
        <f>A!P1355</f>
        <v>20</v>
      </c>
      <c r="R257" s="387">
        <f>A!Q1355</f>
        <v>7.8300000000000002E-3</v>
      </c>
      <c r="S257" s="176">
        <f>A!R1355</f>
        <v>37713</v>
      </c>
      <c r="T257" s="164">
        <f>A!S1355</f>
        <v>21</v>
      </c>
      <c r="U257" s="426">
        <f t="shared" si="27"/>
        <v>6.8214900000000004E-3</v>
      </c>
      <c r="V257" s="159">
        <f t="shared" si="28"/>
        <v>7.8300000000000002E-3</v>
      </c>
      <c r="W257" s="27">
        <f t="shared" si="29"/>
        <v>0.14155375842758658</v>
      </c>
      <c r="Y257" s="674">
        <f>A!T1355</f>
        <v>0</v>
      </c>
      <c r="Z257" s="681">
        <f>A!U1355</f>
        <v>0</v>
      </c>
      <c r="AA257" s="673">
        <f>A!V1355</f>
        <v>0</v>
      </c>
    </row>
    <row r="258" spans="2:27" ht="12" customHeight="1">
      <c r="B258" s="173" t="s">
        <v>130</v>
      </c>
      <c r="C258" s="159">
        <f>A!B1356</f>
        <v>6.8356199999999997E-3</v>
      </c>
      <c r="D258" s="180" t="str">
        <f>A!C1356</f>
        <v>20-Dec</v>
      </c>
      <c r="E258" s="164">
        <f>A!D1356</f>
        <v>22</v>
      </c>
      <c r="F258" s="387"/>
      <c r="G258" s="176"/>
      <c r="H258" s="164"/>
      <c r="I258" s="387"/>
      <c r="J258" s="176"/>
      <c r="K258" s="164"/>
      <c r="L258" s="387">
        <f>A!K1356</f>
        <v>6.9980062607424599E-3</v>
      </c>
      <c r="M258" s="176" t="str">
        <f>A!L1356</f>
        <v>12/20</v>
      </c>
      <c r="N258" s="164" t="str">
        <f>A!M1356</f>
        <v>12:00</v>
      </c>
      <c r="O258" s="387">
        <f>A!N1356</f>
        <v>6.9090000000000002E-3</v>
      </c>
      <c r="P258" s="176">
        <f>A!O1356</f>
        <v>355</v>
      </c>
      <c r="Q258" s="164">
        <f>A!P1356</f>
        <v>20</v>
      </c>
      <c r="R258" s="387">
        <f>A!Q1356</f>
        <v>1.54E-2</v>
      </c>
      <c r="S258" s="176">
        <f>A!R1356</f>
        <v>37927</v>
      </c>
      <c r="T258" s="164">
        <f>A!S1356</f>
        <v>2</v>
      </c>
      <c r="U258" s="426">
        <f t="shared" si="27"/>
        <v>6.8356199999999997E-3</v>
      </c>
      <c r="V258" s="159">
        <f t="shared" si="28"/>
        <v>1.54E-2</v>
      </c>
      <c r="W258" s="27">
        <f t="shared" si="29"/>
        <v>0.94784257659798121</v>
      </c>
      <c r="Y258" s="674">
        <f>A!T1356</f>
        <v>0</v>
      </c>
      <c r="Z258" s="681">
        <f>A!U1356</f>
        <v>0</v>
      </c>
      <c r="AA258" s="673">
        <f>A!V1356</f>
        <v>0</v>
      </c>
    </row>
    <row r="259" spans="2:27" ht="12" customHeight="1">
      <c r="B259" s="173" t="s">
        <v>132</v>
      </c>
      <c r="C259" s="159">
        <f>A!B1357</f>
        <v>6.2079700000000002E-3</v>
      </c>
      <c r="D259" s="180" t="str">
        <f>A!C1357</f>
        <v>01-Apr</v>
      </c>
      <c r="E259" s="164">
        <f>A!D1357</f>
        <v>1</v>
      </c>
      <c r="F259" s="387"/>
      <c r="G259" s="176"/>
      <c r="H259" s="164"/>
      <c r="I259" s="387"/>
      <c r="J259" s="176"/>
      <c r="K259" s="164"/>
      <c r="L259" s="387">
        <f>A!K1357</f>
        <v>6.4432480936546903E-3</v>
      </c>
      <c r="M259" s="176" t="str">
        <f>A!L1357</f>
        <v>10/17</v>
      </c>
      <c r="N259" s="164" t="str">
        <f>A!M1357</f>
        <v>10:00</v>
      </c>
      <c r="O259" s="387">
        <f>A!N1357</f>
        <v>5.4539999999999996E-3</v>
      </c>
      <c r="P259" s="176">
        <f>A!O1357</f>
        <v>306</v>
      </c>
      <c r="Q259" s="164">
        <f>A!P1357</f>
        <v>21</v>
      </c>
      <c r="R259" s="387">
        <f>A!Q1357</f>
        <v>6.6299999999999996E-3</v>
      </c>
      <c r="S259" s="176">
        <f>A!R1357</f>
        <v>37712</v>
      </c>
      <c r="T259" s="164">
        <f>A!S1357</f>
        <v>5</v>
      </c>
      <c r="U259" s="426">
        <f t="shared" si="27"/>
        <v>5.4539999999999996E-3</v>
      </c>
      <c r="V259" s="159">
        <f t="shared" si="28"/>
        <v>6.6299999999999996E-3</v>
      </c>
      <c r="W259" s="27">
        <f t="shared" si="29"/>
        <v>0.190174187354617</v>
      </c>
      <c r="Y259" s="674">
        <f>A!T1357</f>
        <v>0</v>
      </c>
      <c r="Z259" s="681">
        <f>A!U1357</f>
        <v>0</v>
      </c>
      <c r="AA259" s="673">
        <f>A!V1357</f>
        <v>0</v>
      </c>
    </row>
    <row r="260" spans="2:27" ht="12" customHeight="1">
      <c r="B260" s="173" t="s">
        <v>135</v>
      </c>
      <c r="C260" s="210">
        <f>A!B1358</f>
        <v>4.1096300000000004E-3</v>
      </c>
      <c r="D260" s="731" t="str">
        <f>A!C1358</f>
        <v>05-Oct</v>
      </c>
      <c r="E260" s="360">
        <f>A!D1358</f>
        <v>3</v>
      </c>
      <c r="F260" s="387"/>
      <c r="G260" s="715"/>
      <c r="H260" s="360"/>
      <c r="I260" s="387"/>
      <c r="J260" s="715"/>
      <c r="K260" s="360"/>
      <c r="L260" s="387">
        <f>A!K1358</f>
        <v>3.8106394744408601E-3</v>
      </c>
      <c r="M260" s="715" t="str">
        <f>A!L1358</f>
        <v>10/17</v>
      </c>
      <c r="N260" s="360" t="str">
        <f>A!M1358</f>
        <v>10:00</v>
      </c>
      <c r="O260" s="387">
        <f>A!N1358</f>
        <v>3.2529999999999998E-3</v>
      </c>
      <c r="P260" s="715">
        <f>A!O1358</f>
        <v>120</v>
      </c>
      <c r="Q260" s="360">
        <f>A!P1358</f>
        <v>23</v>
      </c>
      <c r="R260" s="387">
        <f>A!Q1358</f>
        <v>4.1999999999999997E-3</v>
      </c>
      <c r="S260" s="715">
        <f>A!R1358</f>
        <v>37909</v>
      </c>
      <c r="T260" s="360">
        <f>A!S1358</f>
        <v>5</v>
      </c>
      <c r="U260" s="426">
        <f t="shared" si="27"/>
        <v>3.2529999999999998E-3</v>
      </c>
      <c r="V260" s="210">
        <f t="shared" si="28"/>
        <v>4.1999999999999997E-3</v>
      </c>
      <c r="W260" s="27">
        <f t="shared" si="29"/>
        <v>0.24640171736388383</v>
      </c>
      <c r="Y260" s="674">
        <f>A!T1358</f>
        <v>0</v>
      </c>
      <c r="Z260" s="681">
        <f>A!U1358</f>
        <v>0</v>
      </c>
      <c r="AA260" s="673">
        <f>A!V1358</f>
        <v>0</v>
      </c>
    </row>
    <row r="261" spans="2:27" ht="12" customHeight="1" thickBot="1">
      <c r="B261" s="174" t="s">
        <v>138</v>
      </c>
      <c r="C261" s="163">
        <f>A!B1359</f>
        <v>6.2079700000000002E-3</v>
      </c>
      <c r="D261" s="385" t="str">
        <f>A!C1359</f>
        <v>01-Apr</v>
      </c>
      <c r="E261" s="167">
        <f>A!D1359</f>
        <v>1</v>
      </c>
      <c r="F261" s="738"/>
      <c r="G261" s="182"/>
      <c r="H261" s="167"/>
      <c r="I261" s="738"/>
      <c r="J261" s="182"/>
      <c r="K261" s="167"/>
      <c r="L261" s="738">
        <f>A!K1359</f>
        <v>6.7903925251219504E-3</v>
      </c>
      <c r="M261" s="182" t="str">
        <f>A!L1359</f>
        <v>04/01</v>
      </c>
      <c r="N261" s="167" t="str">
        <f>A!M1359</f>
        <v>01:00</v>
      </c>
      <c r="O261" s="738">
        <f>A!N1359</f>
        <v>6.685E-3</v>
      </c>
      <c r="P261" s="182">
        <f>A!O1359</f>
        <v>202</v>
      </c>
      <c r="Q261" s="167">
        <f>A!P1359</f>
        <v>15</v>
      </c>
      <c r="R261" s="738">
        <f>A!Q1359</f>
        <v>7.0000000000000001E-3</v>
      </c>
      <c r="S261" s="182">
        <f>A!R1359</f>
        <v>37712</v>
      </c>
      <c r="T261" s="167">
        <f>A!S1359</f>
        <v>8</v>
      </c>
      <c r="U261" s="427">
        <f t="shared" si="27"/>
        <v>6.2079700000000002E-3</v>
      </c>
      <c r="V261" s="163">
        <f t="shared" si="28"/>
        <v>7.0000000000000001E-3</v>
      </c>
      <c r="W261" s="30">
        <f t="shared" si="29"/>
        <v>0.11873016367473428</v>
      </c>
      <c r="Y261" s="674">
        <f>A!T1359</f>
        <v>0</v>
      </c>
      <c r="Z261" s="681">
        <f>A!U1359</f>
        <v>0</v>
      </c>
      <c r="AA261" s="673">
        <f>A!V1359</f>
        <v>0</v>
      </c>
    </row>
    <row r="262" spans="2:27" ht="12" customHeight="1" thickTop="1">
      <c r="B262" s="238"/>
      <c r="C262" s="739"/>
      <c r="D262" s="736"/>
      <c r="E262" s="601"/>
      <c r="F262" s="739"/>
      <c r="G262" s="737"/>
      <c r="H262" s="601"/>
      <c r="I262" s="739"/>
      <c r="J262" s="737"/>
      <c r="K262" s="601"/>
      <c r="L262" s="739"/>
      <c r="M262" s="737"/>
      <c r="N262" s="601"/>
      <c r="O262" s="739"/>
      <c r="P262" s="737"/>
      <c r="Q262" s="601"/>
      <c r="R262" s="739"/>
      <c r="S262" s="737"/>
      <c r="T262" s="601"/>
      <c r="U262" s="739"/>
      <c r="V262" s="739"/>
      <c r="W262" s="602"/>
      <c r="Y262" s="674"/>
      <c r="Z262" s="681"/>
      <c r="AA262" s="673"/>
    </row>
    <row r="263" spans="2:27" ht="17.25" customHeight="1" thickBot="1">
      <c r="B263" s="192" t="s">
        <v>580</v>
      </c>
      <c r="C263" s="163"/>
      <c r="D263" s="385"/>
      <c r="E263" s="167"/>
      <c r="F263" s="163"/>
      <c r="G263" s="182"/>
      <c r="H263" s="167"/>
      <c r="I263" s="163"/>
      <c r="J263" s="182"/>
      <c r="K263" s="167"/>
      <c r="L263" s="163"/>
      <c r="M263" s="182"/>
      <c r="N263" s="167"/>
      <c r="O263" s="163"/>
      <c r="P263" s="182"/>
      <c r="Q263" s="167"/>
      <c r="R263" s="163"/>
      <c r="S263" s="182"/>
      <c r="T263" s="167"/>
      <c r="U263" s="163"/>
      <c r="V263" s="163"/>
      <c r="W263" s="603"/>
      <c r="Y263" s="674"/>
      <c r="Z263" s="681"/>
      <c r="AA263" s="673"/>
    </row>
    <row r="264" spans="2:27" ht="12" customHeight="1" thickTop="1">
      <c r="B264" s="19" t="s">
        <v>270</v>
      </c>
      <c r="C264" s="20"/>
      <c r="D264" s="374"/>
      <c r="E264" s="196"/>
      <c r="F264" s="20"/>
      <c r="G264" s="179"/>
      <c r="H264" s="196"/>
      <c r="I264" s="20"/>
      <c r="J264" s="179"/>
      <c r="K264" s="196"/>
      <c r="L264" s="20"/>
      <c r="M264" s="179"/>
      <c r="N264" s="196"/>
      <c r="O264" s="20"/>
      <c r="P264" s="179"/>
      <c r="Q264" s="196"/>
      <c r="R264" s="196"/>
      <c r="S264" s="196"/>
      <c r="T264" s="196"/>
      <c r="U264" s="147" t="s">
        <v>24</v>
      </c>
      <c r="V264" s="20"/>
      <c r="W264" s="21"/>
      <c r="Y264" s="676"/>
      <c r="Z264" s="681"/>
      <c r="AA264" s="673"/>
    </row>
    <row r="265" spans="2:27" ht="12" customHeight="1">
      <c r="B265" s="170"/>
      <c r="C265" s="22" t="s">
        <v>245</v>
      </c>
      <c r="D265" s="180"/>
      <c r="E265" s="197"/>
      <c r="F265" s="377" t="s">
        <v>536</v>
      </c>
      <c r="G265" s="180"/>
      <c r="H265" s="197"/>
      <c r="I265" s="377" t="s">
        <v>258</v>
      </c>
      <c r="J265" s="106"/>
      <c r="K265" s="116"/>
      <c r="L265" s="384" t="s">
        <v>433</v>
      </c>
      <c r="M265" s="106"/>
      <c r="N265" s="116"/>
      <c r="O265" s="722" t="s">
        <v>469</v>
      </c>
      <c r="P265" s="120"/>
      <c r="Q265" s="48"/>
      <c r="R265" s="437" t="s">
        <v>482</v>
      </c>
      <c r="U265" s="148"/>
      <c r="V265" s="18"/>
      <c r="W265" s="23" t="s">
        <v>25</v>
      </c>
      <c r="Y265" s="676"/>
      <c r="Z265" s="681"/>
      <c r="AA265" s="673"/>
    </row>
    <row r="266" spans="2:27" ht="12" customHeight="1">
      <c r="B266" s="171"/>
      <c r="C266" s="24" t="s">
        <v>26</v>
      </c>
      <c r="D266" s="181" t="s">
        <v>77</v>
      </c>
      <c r="E266" s="198" t="s">
        <v>78</v>
      </c>
      <c r="F266" s="378" t="s">
        <v>13</v>
      </c>
      <c r="G266" s="181" t="s">
        <v>77</v>
      </c>
      <c r="H266" s="198" t="s">
        <v>78</v>
      </c>
      <c r="I266" s="378" t="s">
        <v>13</v>
      </c>
      <c r="J266" s="181" t="s">
        <v>77</v>
      </c>
      <c r="K266" s="199" t="s">
        <v>78</v>
      </c>
      <c r="L266" s="383" t="s">
        <v>434</v>
      </c>
      <c r="M266" s="181" t="s">
        <v>77</v>
      </c>
      <c r="N266" s="199" t="s">
        <v>78</v>
      </c>
      <c r="O266" s="373" t="s">
        <v>452</v>
      </c>
      <c r="P266" s="24" t="s">
        <v>77</v>
      </c>
      <c r="Q266" s="723" t="s">
        <v>78</v>
      </c>
      <c r="R266" s="353" t="s">
        <v>483</v>
      </c>
      <c r="S266" s="24" t="s">
        <v>77</v>
      </c>
      <c r="T266" s="177" t="s">
        <v>78</v>
      </c>
      <c r="U266" s="149" t="s">
        <v>27</v>
      </c>
      <c r="V266" s="24" t="s">
        <v>28</v>
      </c>
      <c r="W266" s="25" t="s">
        <v>259</v>
      </c>
      <c r="Y266" s="680" t="s">
        <v>522</v>
      </c>
      <c r="Z266" s="181" t="s">
        <v>77</v>
      </c>
      <c r="AA266" s="177" t="s">
        <v>78</v>
      </c>
    </row>
    <row r="267" spans="2:27" ht="12" customHeight="1">
      <c r="B267" s="172" t="s">
        <v>91</v>
      </c>
      <c r="C267" s="154">
        <f>A!B1370</f>
        <v>68.789199999999994</v>
      </c>
      <c r="D267" s="180" t="str">
        <f>A!C1370</f>
        <v>16-Nov</v>
      </c>
      <c r="E267" s="164">
        <f>A!D1370</f>
        <v>17</v>
      </c>
      <c r="F267" s="380">
        <f>A!E1370</f>
        <v>69.349999999999994</v>
      </c>
      <c r="G267" s="176">
        <f>A!F1370</f>
        <v>37576</v>
      </c>
      <c r="H267" s="164">
        <f>A!G1370</f>
        <v>16</v>
      </c>
      <c r="I267" s="380">
        <f>A!H1370</f>
        <v>68.849999999999994</v>
      </c>
      <c r="J267" s="176">
        <f>A!I1370</f>
        <v>37941</v>
      </c>
      <c r="K267" s="164">
        <f>A!J1370</f>
        <v>16</v>
      </c>
      <c r="L267" s="380">
        <f>A!K1370</f>
        <v>67.776165484930999</v>
      </c>
      <c r="M267" s="176" t="str">
        <f>A!L1370</f>
        <v>11/16</v>
      </c>
      <c r="N267" s="164" t="str">
        <f>A!M1370</f>
        <v>17:00</v>
      </c>
      <c r="O267" s="380">
        <f>A!N1370</f>
        <v>68</v>
      </c>
      <c r="P267" s="176">
        <f>A!O1370</f>
        <v>321</v>
      </c>
      <c r="Q267" s="164">
        <f>A!P1370</f>
        <v>16</v>
      </c>
      <c r="R267" s="380">
        <f>A!Q1370</f>
        <v>67.44</v>
      </c>
      <c r="S267" s="176">
        <f>A!R1370</f>
        <v>37941</v>
      </c>
      <c r="T267" s="164">
        <f>A!S1370</f>
        <v>16</v>
      </c>
      <c r="U267" s="190">
        <f>MINA(C267,F267,I267,L267,O267,R267)</f>
        <v>67.44</v>
      </c>
      <c r="V267" s="159">
        <f>MAXA(C267,F267,I267,L267,O267,R267)</f>
        <v>69.349999999999994</v>
      </c>
      <c r="W267" s="27">
        <f t="shared" ref="W267:W286" si="30">(V267-U267)/AVERAGE(C267,F267,I267,L267,O267,R267)</f>
        <v>2.7937225995209383E-2</v>
      </c>
      <c r="Y267" s="598">
        <f>A!T1370</f>
        <v>0</v>
      </c>
      <c r="Z267" s="681">
        <f>A!U1370</f>
        <v>0</v>
      </c>
      <c r="AA267" s="673">
        <f>A!V1370</f>
        <v>0</v>
      </c>
    </row>
    <row r="268" spans="2:27" ht="12" customHeight="1">
      <c r="B268" s="173" t="s">
        <v>96</v>
      </c>
      <c r="C268" s="154">
        <f>A!B1371</f>
        <v>77.7029</v>
      </c>
      <c r="D268" s="180" t="str">
        <f>A!C1371</f>
        <v>02-Oct</v>
      </c>
      <c r="E268" s="164">
        <f>A!D1371</f>
        <v>4</v>
      </c>
      <c r="F268" s="380">
        <f>A!E1371</f>
        <v>100.18</v>
      </c>
      <c r="G268" s="176">
        <f>A!F1371</f>
        <v>37544</v>
      </c>
      <c r="H268" s="164">
        <f>A!G1371</f>
        <v>9</v>
      </c>
      <c r="I268" s="380">
        <f>A!H1371</f>
        <v>100.7</v>
      </c>
      <c r="J268" s="176">
        <f>A!I1371</f>
        <v>37544</v>
      </c>
      <c r="K268" s="164">
        <f>A!J1371</f>
        <v>9</v>
      </c>
      <c r="L268" s="380">
        <f>A!K1371</f>
        <v>77.925478398181497</v>
      </c>
      <c r="M268" s="176" t="str">
        <f>A!L1371</f>
        <v>10/02</v>
      </c>
      <c r="N268" s="164" t="str">
        <f>A!M1371</f>
        <v>08:00</v>
      </c>
      <c r="O268" s="380">
        <f>A!N1371</f>
        <v>77</v>
      </c>
      <c r="P268" s="176">
        <f>A!O1371</f>
        <v>164</v>
      </c>
      <c r="Q268" s="164">
        <f>A!P1371</f>
        <v>8</v>
      </c>
      <c r="R268" s="380">
        <f>A!Q1371</f>
        <v>78.19</v>
      </c>
      <c r="S268" s="176">
        <f>A!R1371</f>
        <v>37896</v>
      </c>
      <c r="T268" s="164">
        <f>A!S1371</f>
        <v>8</v>
      </c>
      <c r="U268" s="190">
        <f t="shared" ref="U268:U286" si="31">MINA(C268,F268,I268,L268,O268,R268)</f>
        <v>77</v>
      </c>
      <c r="V268" s="159">
        <f t="shared" ref="V268:V286" si="32">MAXA(C268,F268,I268,L268,O268,R268)</f>
        <v>100.7</v>
      </c>
      <c r="W268" s="27">
        <f t="shared" si="30"/>
        <v>0.27789808606613592</v>
      </c>
      <c r="Y268" s="598">
        <f>A!T1371</f>
        <v>0</v>
      </c>
      <c r="Z268" s="681">
        <f>A!U1371</f>
        <v>0</v>
      </c>
      <c r="AA268" s="673">
        <f>A!V1371</f>
        <v>0</v>
      </c>
    </row>
    <row r="269" spans="2:27" ht="12" customHeight="1">
      <c r="B269" s="173" t="s">
        <v>98</v>
      </c>
      <c r="C269" s="154">
        <f>A!B1372</f>
        <v>81.835800000000006</v>
      </c>
      <c r="D269" s="180" t="str">
        <f>A!C1372</f>
        <v>18-Sep</v>
      </c>
      <c r="E269" s="164">
        <f>A!D1372</f>
        <v>10</v>
      </c>
      <c r="F269" s="380">
        <f>A!E1372</f>
        <v>83.41</v>
      </c>
      <c r="G269" s="176">
        <f>A!F1372</f>
        <v>38262</v>
      </c>
      <c r="H269" s="164">
        <f>A!G1372</f>
        <v>9</v>
      </c>
      <c r="I269" s="380">
        <f>A!H1372</f>
        <v>83.67</v>
      </c>
      <c r="J269" s="176">
        <f>A!I1372</f>
        <v>37733</v>
      </c>
      <c r="K269" s="164">
        <f>A!J1372</f>
        <v>18</v>
      </c>
      <c r="L269" s="380">
        <f>A!K1372</f>
        <v>82.714930820301504</v>
      </c>
      <c r="M269" s="176" t="str">
        <f>A!L1372</f>
        <v>09/18</v>
      </c>
      <c r="N269" s="164" t="str">
        <f>A!M1372</f>
        <v>10:00</v>
      </c>
      <c r="O269" s="380">
        <f>A!N1372</f>
        <v>83</v>
      </c>
      <c r="P269" s="176">
        <f>A!O1372</f>
        <v>247</v>
      </c>
      <c r="Q269" s="164">
        <f>A!P1372</f>
        <v>17</v>
      </c>
      <c r="R269" s="380">
        <f>A!Q1372</f>
        <v>81.88</v>
      </c>
      <c r="S269" s="176">
        <f>A!R1372</f>
        <v>37880</v>
      </c>
      <c r="T269" s="164">
        <f>A!S1372</f>
        <v>20</v>
      </c>
      <c r="U269" s="190">
        <f t="shared" si="31"/>
        <v>81.835800000000006</v>
      </c>
      <c r="V269" s="159">
        <f t="shared" si="32"/>
        <v>83.67</v>
      </c>
      <c r="W269" s="27">
        <f t="shared" si="30"/>
        <v>2.2165079860042354E-2</v>
      </c>
      <c r="Y269" s="598">
        <f>A!T1372</f>
        <v>0</v>
      </c>
      <c r="Z269" s="681">
        <f>A!U1372</f>
        <v>0</v>
      </c>
      <c r="AA269" s="673">
        <f>A!V1372</f>
        <v>0</v>
      </c>
    </row>
    <row r="270" spans="2:27" ht="12" customHeight="1">
      <c r="B270" s="173" t="s">
        <v>102</v>
      </c>
      <c r="C270" s="154">
        <f>A!B1373</f>
        <v>76.659099999999995</v>
      </c>
      <c r="D270" s="180" t="str">
        <f>A!C1373</f>
        <v>22-Sep</v>
      </c>
      <c r="E270" s="164">
        <f>A!D1373</f>
        <v>20</v>
      </c>
      <c r="F270" s="380">
        <f>A!E1373</f>
        <v>78.459999999999994</v>
      </c>
      <c r="G270" s="176">
        <f>A!F1373</f>
        <v>38262</v>
      </c>
      <c r="H270" s="164">
        <f>A!G1373</f>
        <v>9</v>
      </c>
      <c r="I270" s="380">
        <f>A!H1373</f>
        <v>77.94</v>
      </c>
      <c r="J270" s="176">
        <f>A!I1373</f>
        <v>37882</v>
      </c>
      <c r="K270" s="164">
        <f>A!J1373</f>
        <v>9</v>
      </c>
      <c r="L270" s="380">
        <f>A!K1373</f>
        <v>76.638631048181793</v>
      </c>
      <c r="M270" s="176" t="str">
        <f>A!L1373</f>
        <v>09/22</v>
      </c>
      <c r="N270" s="164" t="str">
        <f>A!M1373</f>
        <v>20:00</v>
      </c>
      <c r="O270" s="380">
        <f>A!N1373</f>
        <v>76</v>
      </c>
      <c r="P270" s="176">
        <f>A!O1373</f>
        <v>162</v>
      </c>
      <c r="Q270" s="164">
        <f>A!P1373</f>
        <v>18</v>
      </c>
      <c r="R270" s="380">
        <f>A!Q1373</f>
        <v>78.7</v>
      </c>
      <c r="S270" s="176">
        <f>A!R1373</f>
        <v>37866</v>
      </c>
      <c r="T270" s="164">
        <f>A!S1373</f>
        <v>12</v>
      </c>
      <c r="U270" s="190">
        <f t="shared" si="31"/>
        <v>76</v>
      </c>
      <c r="V270" s="159">
        <f t="shared" si="32"/>
        <v>78.7</v>
      </c>
      <c r="W270" s="27">
        <f t="shared" si="30"/>
        <v>3.4883891364919796E-2</v>
      </c>
      <c r="Y270" s="598">
        <f>A!T1373</f>
        <v>0</v>
      </c>
      <c r="Z270" s="681">
        <f>A!U1373</f>
        <v>0</v>
      </c>
      <c r="AA270" s="673">
        <f>A!V1373</f>
        <v>0</v>
      </c>
    </row>
    <row r="271" spans="2:27" ht="12" customHeight="1">
      <c r="B271" s="173" t="s">
        <v>356</v>
      </c>
      <c r="C271" s="154">
        <f>A!B1374</f>
        <v>79.929299999999998</v>
      </c>
      <c r="D271" s="180" t="str">
        <f>A!C1374</f>
        <v>18-Sep</v>
      </c>
      <c r="E271" s="164">
        <f>A!D1374</f>
        <v>10</v>
      </c>
      <c r="F271" s="380">
        <f>A!E1374</f>
        <v>81.37</v>
      </c>
      <c r="G271" s="176">
        <f>A!F1374</f>
        <v>38248</v>
      </c>
      <c r="H271" s="164">
        <f>A!G1374</f>
        <v>9</v>
      </c>
      <c r="I271" s="380">
        <f>A!H1374</f>
        <v>81.260000000000005</v>
      </c>
      <c r="J271" s="176">
        <f>A!I1374</f>
        <v>37733</v>
      </c>
      <c r="K271" s="164">
        <f>A!J1374</f>
        <v>18</v>
      </c>
      <c r="L271" s="380">
        <f>A!K1374</f>
        <v>80.545245540903295</v>
      </c>
      <c r="M271" s="176" t="str">
        <f>A!L1374</f>
        <v>09/18</v>
      </c>
      <c r="N271" s="164" t="str">
        <f>A!M1374</f>
        <v>10:00</v>
      </c>
      <c r="O271" s="380">
        <f>A!N1374</f>
        <v>80</v>
      </c>
      <c r="P271" s="176">
        <f>A!O1374</f>
        <v>247</v>
      </c>
      <c r="Q271" s="164">
        <f>A!P1374</f>
        <v>17</v>
      </c>
      <c r="R271" s="380">
        <f>A!Q1374</f>
        <v>80.25</v>
      </c>
      <c r="S271" s="176">
        <f>A!R1374</f>
        <v>37880</v>
      </c>
      <c r="T271" s="164">
        <f>A!S1374</f>
        <v>20</v>
      </c>
      <c r="U271" s="190">
        <f t="shared" si="31"/>
        <v>79.929299999999998</v>
      </c>
      <c r="V271" s="159">
        <f t="shared" si="32"/>
        <v>81.37</v>
      </c>
      <c r="W271" s="27">
        <f t="shared" si="30"/>
        <v>1.788376685343189E-2</v>
      </c>
      <c r="Y271" s="598">
        <f>A!T1374</f>
        <v>0</v>
      </c>
      <c r="Z271" s="681">
        <f>A!U1374</f>
        <v>0</v>
      </c>
      <c r="AA271" s="673">
        <f>A!V1374</f>
        <v>0</v>
      </c>
    </row>
    <row r="272" spans="2:27" ht="12" customHeight="1">
      <c r="B272" s="173" t="s">
        <v>105</v>
      </c>
      <c r="C272" s="154">
        <f>A!B1375</f>
        <v>68.789199999999994</v>
      </c>
      <c r="D272" s="180" t="str">
        <f>A!C1375</f>
        <v>16-Nov</v>
      </c>
      <c r="E272" s="164">
        <f>A!D1375</f>
        <v>17</v>
      </c>
      <c r="F272" s="380">
        <f>A!E1375</f>
        <v>81.12</v>
      </c>
      <c r="G272" s="176">
        <f>A!F1375</f>
        <v>37840</v>
      </c>
      <c r="H272" s="164">
        <f>A!G1375</f>
        <v>21</v>
      </c>
      <c r="I272" s="380">
        <f>A!H1375</f>
        <v>81.12</v>
      </c>
      <c r="J272" s="176">
        <f>A!I1375</f>
        <v>37840</v>
      </c>
      <c r="K272" s="164">
        <f>A!J1375</f>
        <v>21</v>
      </c>
      <c r="L272" s="380">
        <f>A!K1375</f>
        <v>67.7761654849309</v>
      </c>
      <c r="M272" s="176" t="str">
        <f>A!L1375</f>
        <v>11/16</v>
      </c>
      <c r="N272" s="164" t="str">
        <f>A!M1375</f>
        <v>17:00</v>
      </c>
      <c r="O272" s="380">
        <f>A!N1375</f>
        <v>70</v>
      </c>
      <c r="P272" s="176">
        <f>A!O1375</f>
        <v>276</v>
      </c>
      <c r="Q272" s="164">
        <f>A!P1375</f>
        <v>8</v>
      </c>
      <c r="R272" s="380">
        <f>A!Q1375</f>
        <v>72.650000000000006</v>
      </c>
      <c r="S272" s="176">
        <f>A!R1375</f>
        <v>37836</v>
      </c>
      <c r="T272" s="164">
        <f>A!S1375</f>
        <v>7</v>
      </c>
      <c r="U272" s="190">
        <f t="shared" si="31"/>
        <v>67.7761654849309</v>
      </c>
      <c r="V272" s="159">
        <f t="shared" si="32"/>
        <v>81.12</v>
      </c>
      <c r="W272" s="27">
        <f t="shared" si="30"/>
        <v>0.18136149959909728</v>
      </c>
      <c r="Y272" s="598">
        <f>A!T1375</f>
        <v>0</v>
      </c>
      <c r="Z272" s="681">
        <f>A!U1375</f>
        <v>0</v>
      </c>
      <c r="AA272" s="673">
        <f>A!V1375</f>
        <v>0</v>
      </c>
    </row>
    <row r="273" spans="2:27" ht="12" customHeight="1">
      <c r="B273" s="173" t="s">
        <v>108</v>
      </c>
      <c r="C273" s="154">
        <f>A!B1376</f>
        <v>68.789199999999994</v>
      </c>
      <c r="D273" s="180" t="str">
        <f>A!C1376</f>
        <v>16-Nov</v>
      </c>
      <c r="E273" s="164">
        <f>A!D1376</f>
        <v>17</v>
      </c>
      <c r="F273" s="380">
        <f>A!E1376</f>
        <v>69.349999999999994</v>
      </c>
      <c r="G273" s="176">
        <f>A!F1376</f>
        <v>37576</v>
      </c>
      <c r="H273" s="164">
        <f>A!G1376</f>
        <v>16</v>
      </c>
      <c r="I273" s="380">
        <f>A!H1376</f>
        <v>68.849999999999994</v>
      </c>
      <c r="J273" s="176">
        <f>A!I1376</f>
        <v>37941</v>
      </c>
      <c r="K273" s="164">
        <f>A!J1376</f>
        <v>16</v>
      </c>
      <c r="L273" s="380">
        <f>A!K1376</f>
        <v>67.775992622175806</v>
      </c>
      <c r="M273" s="176" t="str">
        <f>A!L1376</f>
        <v>11/16</v>
      </c>
      <c r="N273" s="164" t="str">
        <f>A!M1376</f>
        <v>17:00</v>
      </c>
      <c r="O273" s="380">
        <f>A!N1376</f>
        <v>68</v>
      </c>
      <c r="P273" s="176">
        <f>A!O1376</f>
        <v>321</v>
      </c>
      <c r="Q273" s="164">
        <f>A!P1376</f>
        <v>16</v>
      </c>
      <c r="R273" s="380">
        <f>A!Q1376</f>
        <v>67.44</v>
      </c>
      <c r="S273" s="176">
        <f>A!R1376</f>
        <v>37941</v>
      </c>
      <c r="T273" s="164">
        <f>A!S1376</f>
        <v>16</v>
      </c>
      <c r="U273" s="190">
        <f t="shared" si="31"/>
        <v>67.44</v>
      </c>
      <c r="V273" s="159">
        <f t="shared" si="32"/>
        <v>69.349999999999994</v>
      </c>
      <c r="W273" s="27">
        <f t="shared" si="30"/>
        <v>2.7937237768112175E-2</v>
      </c>
      <c r="Y273" s="598">
        <f>A!T1376</f>
        <v>0</v>
      </c>
      <c r="Z273" s="681">
        <f>A!U1376</f>
        <v>0</v>
      </c>
      <c r="AA273" s="673">
        <f>A!V1376</f>
        <v>0</v>
      </c>
    </row>
    <row r="274" spans="2:27" ht="12" customHeight="1">
      <c r="B274" s="173" t="s">
        <v>109</v>
      </c>
      <c r="C274" s="154">
        <f>A!B1377</f>
        <v>83.753399999999999</v>
      </c>
      <c r="D274" s="180" t="str">
        <f>A!C1377</f>
        <v>05-Apr</v>
      </c>
      <c r="E274" s="164">
        <f>A!D1377</f>
        <v>22</v>
      </c>
      <c r="F274" s="380">
        <f>A!E1377</f>
        <v>85.57</v>
      </c>
      <c r="G274" s="176">
        <f>A!F1377</f>
        <v>37351</v>
      </c>
      <c r="H274" s="164">
        <f>A!G1377</f>
        <v>21</v>
      </c>
      <c r="I274" s="380">
        <f>A!H1377</f>
        <v>85.57</v>
      </c>
      <c r="J274" s="176">
        <f>A!I1377</f>
        <v>37716</v>
      </c>
      <c r="K274" s="164">
        <f>A!J1377</f>
        <v>21</v>
      </c>
      <c r="L274" s="380">
        <f>A!K1377</f>
        <v>84.632127983594401</v>
      </c>
      <c r="M274" s="176" t="str">
        <f>A!L1377</f>
        <v>04/05</v>
      </c>
      <c r="N274" s="164" t="str">
        <f>A!M1377</f>
        <v>22:00</v>
      </c>
      <c r="O274" s="380"/>
      <c r="P274" s="176"/>
      <c r="Q274" s="164"/>
      <c r="R274" s="380">
        <f>A!Q1377</f>
        <v>86.31</v>
      </c>
      <c r="S274" s="176">
        <f>A!R1377</f>
        <v>37733</v>
      </c>
      <c r="T274" s="164">
        <f>A!S1377</f>
        <v>6</v>
      </c>
      <c r="U274" s="190">
        <f t="shared" si="31"/>
        <v>83.753399999999999</v>
      </c>
      <c r="V274" s="159">
        <f t="shared" si="32"/>
        <v>86.31</v>
      </c>
      <c r="W274" s="27">
        <f t="shared" si="30"/>
        <v>3.0018631983408605E-2</v>
      </c>
      <c r="Y274" s="598">
        <f>A!T1377</f>
        <v>0</v>
      </c>
      <c r="Z274" s="681">
        <f>A!U1377</f>
        <v>0</v>
      </c>
      <c r="AA274" s="673">
        <f>A!V1377</f>
        <v>0</v>
      </c>
    </row>
    <row r="275" spans="2:27" ht="12" customHeight="1">
      <c r="B275" s="173" t="s">
        <v>111</v>
      </c>
      <c r="C275" s="154">
        <f>A!B1378</f>
        <v>83.224699999999999</v>
      </c>
      <c r="D275" s="180" t="str">
        <f>A!C1378</f>
        <v>05-Apr</v>
      </c>
      <c r="E275" s="164">
        <f>A!D1378</f>
        <v>22</v>
      </c>
      <c r="F275" s="380">
        <f>A!E1378</f>
        <v>84.79</v>
      </c>
      <c r="G275" s="176">
        <f>A!F1378</f>
        <v>37348</v>
      </c>
      <c r="H275" s="164">
        <f>A!G1378</f>
        <v>5</v>
      </c>
      <c r="I275" s="380">
        <f>A!H1378</f>
        <v>84.79</v>
      </c>
      <c r="J275" s="176">
        <f>A!I1378</f>
        <v>37348</v>
      </c>
      <c r="K275" s="164">
        <f>A!J1378</f>
        <v>5</v>
      </c>
      <c r="L275" s="380"/>
      <c r="M275" s="176"/>
      <c r="N275" s="164"/>
      <c r="O275" s="380"/>
      <c r="P275" s="176"/>
      <c r="Q275" s="164"/>
      <c r="R275" s="380">
        <f>A!Q1378</f>
        <v>86.18</v>
      </c>
      <c r="S275" s="176">
        <f>A!R1378</f>
        <v>37733</v>
      </c>
      <c r="T275" s="164">
        <f>A!S1378</f>
        <v>6</v>
      </c>
      <c r="U275" s="190">
        <f t="shared" si="31"/>
        <v>83.224699999999999</v>
      </c>
      <c r="V275" s="159">
        <f t="shared" si="32"/>
        <v>86.18</v>
      </c>
      <c r="W275" s="27">
        <f t="shared" si="30"/>
        <v>3.4872370345918363E-2</v>
      </c>
      <c r="Y275" s="598">
        <f>A!T1378</f>
        <v>0</v>
      </c>
      <c r="Z275" s="681">
        <f>A!U1378</f>
        <v>0</v>
      </c>
      <c r="AA275" s="673">
        <f>A!V1378</f>
        <v>0</v>
      </c>
    </row>
    <row r="276" spans="2:27" ht="12" customHeight="1">
      <c r="B276" s="173" t="s">
        <v>112</v>
      </c>
      <c r="C276" s="154">
        <f>A!B1379</f>
        <v>70.841099999999997</v>
      </c>
      <c r="D276" s="180" t="str">
        <f>A!C1379</f>
        <v>02-Apr</v>
      </c>
      <c r="E276" s="164">
        <f>A!D1379</f>
        <v>10</v>
      </c>
      <c r="F276" s="380">
        <f>A!E1379</f>
        <v>74.510000000000005</v>
      </c>
      <c r="G276" s="176">
        <f>A!F1379</f>
        <v>37728</v>
      </c>
      <c r="H276" s="164">
        <f>A!G1379</f>
        <v>7</v>
      </c>
      <c r="I276" s="380">
        <f>A!H1379</f>
        <v>71.53</v>
      </c>
      <c r="J276" s="176">
        <f>A!I1379</f>
        <v>37363</v>
      </c>
      <c r="K276" s="164">
        <f>A!J1379</f>
        <v>3</v>
      </c>
      <c r="L276" s="380">
        <f>A!K1379</f>
        <v>73.277079977751598</v>
      </c>
      <c r="M276" s="176" t="str">
        <f>A!L1379</f>
        <v>04/02</v>
      </c>
      <c r="N276" s="164" t="str">
        <f>A!M1379</f>
        <v>18:00</v>
      </c>
      <c r="O276" s="380"/>
      <c r="P276" s="176"/>
      <c r="Q276" s="164"/>
      <c r="R276" s="380">
        <f>A!Q1379</f>
        <v>73.849999999999994</v>
      </c>
      <c r="S276" s="176">
        <f>A!R1379</f>
        <v>37713</v>
      </c>
      <c r="T276" s="164">
        <f>A!S1379</f>
        <v>18</v>
      </c>
      <c r="U276" s="190">
        <f t="shared" si="31"/>
        <v>70.841099999999997</v>
      </c>
      <c r="V276" s="159">
        <f t="shared" si="32"/>
        <v>74.510000000000005</v>
      </c>
      <c r="W276" s="27">
        <f t="shared" si="30"/>
        <v>5.0395845503035851E-2</v>
      </c>
      <c r="Y276" s="598">
        <f>A!T1379</f>
        <v>0</v>
      </c>
      <c r="Z276" s="681">
        <f>A!U1379</f>
        <v>0</v>
      </c>
      <c r="AA276" s="673">
        <f>A!V1379</f>
        <v>0</v>
      </c>
    </row>
    <row r="277" spans="2:27" ht="12" customHeight="1">
      <c r="B277" s="173" t="s">
        <v>113</v>
      </c>
      <c r="C277" s="154">
        <f>A!B1380</f>
        <v>80.708699999999993</v>
      </c>
      <c r="D277" s="180" t="str">
        <f>A!C1380</f>
        <v>02-Apr</v>
      </c>
      <c r="E277" s="164">
        <f>A!D1380</f>
        <v>5</v>
      </c>
      <c r="F277" s="380">
        <f>A!E1380</f>
        <v>78.430000000000007</v>
      </c>
      <c r="G277" s="176">
        <f>A!F1380</f>
        <v>37348</v>
      </c>
      <c r="H277" s="164">
        <f>A!G1380</f>
        <v>4</v>
      </c>
      <c r="I277" s="380">
        <f>A!H1380</f>
        <v>78.430000000000007</v>
      </c>
      <c r="J277" s="176">
        <f>A!I1380</f>
        <v>37713</v>
      </c>
      <c r="K277" s="164">
        <f>A!J1380</f>
        <v>4</v>
      </c>
      <c r="L277" s="380">
        <f>A!K1380</f>
        <v>80.715987045991596</v>
      </c>
      <c r="M277" s="176" t="str">
        <f>A!L1380</f>
        <v>04/02</v>
      </c>
      <c r="N277" s="164" t="str">
        <f>A!M1380</f>
        <v>05:00</v>
      </c>
      <c r="O277" s="380"/>
      <c r="P277" s="176"/>
      <c r="Q277" s="164"/>
      <c r="R277" s="380">
        <f>A!Q1380</f>
        <v>78.94</v>
      </c>
      <c r="S277" s="176">
        <f>A!R1380</f>
        <v>37713</v>
      </c>
      <c r="T277" s="164">
        <f>A!S1380</f>
        <v>5</v>
      </c>
      <c r="U277" s="190">
        <f t="shared" si="31"/>
        <v>78.430000000000007</v>
      </c>
      <c r="V277" s="159">
        <f t="shared" si="32"/>
        <v>80.715987045991596</v>
      </c>
      <c r="W277" s="27">
        <f t="shared" si="30"/>
        <v>2.8774483567368416E-2</v>
      </c>
      <c r="Y277" s="598">
        <f>A!T1380</f>
        <v>0</v>
      </c>
      <c r="Z277" s="681">
        <f>A!U1380</f>
        <v>0</v>
      </c>
      <c r="AA277" s="673">
        <f>A!V1380</f>
        <v>0</v>
      </c>
    </row>
    <row r="278" spans="2:27" ht="12" customHeight="1">
      <c r="B278" s="173" t="s">
        <v>114</v>
      </c>
      <c r="C278" s="154">
        <f>A!B1381</f>
        <v>68.724199999999996</v>
      </c>
      <c r="D278" s="180" t="str">
        <f>A!C1381</f>
        <v>16-Nov</v>
      </c>
      <c r="E278" s="164">
        <f>A!D1381</f>
        <v>17</v>
      </c>
      <c r="F278" s="380">
        <f>A!E1381</f>
        <v>69.349999999999994</v>
      </c>
      <c r="G278" s="176">
        <f>A!F1381</f>
        <v>37576</v>
      </c>
      <c r="H278" s="164">
        <f>A!G1381</f>
        <v>16</v>
      </c>
      <c r="I278" s="380">
        <f>A!H1381</f>
        <v>68.849999999999994</v>
      </c>
      <c r="J278" s="176">
        <f>A!I1381</f>
        <v>37941</v>
      </c>
      <c r="K278" s="164">
        <f>A!J1381</f>
        <v>16</v>
      </c>
      <c r="L278" s="380">
        <f>A!K1381</f>
        <v>67.776165493094396</v>
      </c>
      <c r="M278" s="176" t="str">
        <f>A!L1381</f>
        <v>11/16</v>
      </c>
      <c r="N278" s="164" t="str">
        <f>A!M1381</f>
        <v>17:00</v>
      </c>
      <c r="O278" s="380"/>
      <c r="P278" s="176"/>
      <c r="Q278" s="164"/>
      <c r="R278" s="380">
        <f>A!Q1381</f>
        <v>67.510000000000005</v>
      </c>
      <c r="S278" s="176">
        <f>A!R1381</f>
        <v>37941</v>
      </c>
      <c r="T278" s="164">
        <f>A!S1381</f>
        <v>16</v>
      </c>
      <c r="U278" s="190">
        <f t="shared" si="31"/>
        <v>67.510000000000005</v>
      </c>
      <c r="V278" s="159">
        <f t="shared" si="32"/>
        <v>69.349999999999994</v>
      </c>
      <c r="W278" s="27">
        <f t="shared" si="30"/>
        <v>2.6884048315554594E-2</v>
      </c>
      <c r="Y278" s="598">
        <f>A!T1381</f>
        <v>0</v>
      </c>
      <c r="Z278" s="681">
        <f>A!U1381</f>
        <v>0</v>
      </c>
      <c r="AA278" s="673">
        <f>A!V1381</f>
        <v>0</v>
      </c>
    </row>
    <row r="279" spans="2:27" ht="12" customHeight="1">
      <c r="B279" s="173" t="s">
        <v>115</v>
      </c>
      <c r="C279" s="154">
        <f>A!B1382</f>
        <v>100</v>
      </c>
      <c r="D279" s="180" t="str">
        <f>A!C1382</f>
        <v>21-Nov</v>
      </c>
      <c r="E279" s="164">
        <f>A!D1382</f>
        <v>24</v>
      </c>
      <c r="F279" s="380"/>
      <c r="G279" s="176"/>
      <c r="H279" s="164"/>
      <c r="I279" s="380"/>
      <c r="J279" s="176"/>
      <c r="K279" s="164"/>
      <c r="L279" s="380">
        <f>A!K1382</f>
        <v>100</v>
      </c>
      <c r="M279" s="176" t="str">
        <f>A!L1382</f>
        <v>11/21</v>
      </c>
      <c r="N279" s="164" t="str">
        <f>A!M1382</f>
        <v>24:00</v>
      </c>
      <c r="O279" s="380">
        <f>A!N1382</f>
        <v>100</v>
      </c>
      <c r="P279" s="176">
        <f>A!O1382</f>
        <v>319</v>
      </c>
      <c r="Q279" s="164">
        <f>A!P1382</f>
        <v>5</v>
      </c>
      <c r="R279" s="380">
        <f>A!Q1382</f>
        <v>60.08</v>
      </c>
      <c r="S279" s="176">
        <f>A!R1382</f>
        <v>37712</v>
      </c>
      <c r="T279" s="164">
        <f>A!S1382</f>
        <v>5</v>
      </c>
      <c r="U279" s="190">
        <f t="shared" si="31"/>
        <v>60.08</v>
      </c>
      <c r="V279" s="159">
        <f t="shared" si="32"/>
        <v>100</v>
      </c>
      <c r="W279" s="27">
        <f t="shared" si="30"/>
        <v>0.44345700955343259</v>
      </c>
      <c r="Y279" s="598">
        <f>A!T1382</f>
        <v>0</v>
      </c>
      <c r="Z279" s="681">
        <f>A!U1382</f>
        <v>0</v>
      </c>
      <c r="AA279" s="673">
        <f>A!V1382</f>
        <v>0</v>
      </c>
    </row>
    <row r="280" spans="2:27" ht="12" customHeight="1">
      <c r="B280" s="173" t="s">
        <v>121</v>
      </c>
      <c r="C280" s="154">
        <f>A!B1383</f>
        <v>100</v>
      </c>
      <c r="D280" s="180" t="str">
        <f>A!C1383</f>
        <v>21-Nov</v>
      </c>
      <c r="E280" s="164">
        <f>A!D1383</f>
        <v>24</v>
      </c>
      <c r="F280" s="380"/>
      <c r="G280" s="176"/>
      <c r="H280" s="164"/>
      <c r="I280" s="380"/>
      <c r="J280" s="176"/>
      <c r="K280" s="164"/>
      <c r="L280" s="380">
        <f>A!K1383</f>
        <v>100</v>
      </c>
      <c r="M280" s="176" t="str">
        <f>A!L1383</f>
        <v>11/21</v>
      </c>
      <c r="N280" s="164" t="str">
        <f>A!M1383</f>
        <v>24:00</v>
      </c>
      <c r="O280" s="380">
        <f>A!N1383</f>
        <v>100</v>
      </c>
      <c r="P280" s="176">
        <f>A!O1383</f>
        <v>319</v>
      </c>
      <c r="Q280" s="164">
        <f>A!P1383</f>
        <v>5</v>
      </c>
      <c r="R280" s="380">
        <f>A!Q1383</f>
        <v>57.51</v>
      </c>
      <c r="S280" s="176">
        <f>A!R1383</f>
        <v>37712</v>
      </c>
      <c r="T280" s="164">
        <f>A!S1383</f>
        <v>5</v>
      </c>
      <c r="U280" s="190">
        <f t="shared" si="31"/>
        <v>57.51</v>
      </c>
      <c r="V280" s="159">
        <f t="shared" si="32"/>
        <v>100</v>
      </c>
      <c r="W280" s="27">
        <f t="shared" si="30"/>
        <v>0.47539928953036281</v>
      </c>
      <c r="Y280" s="598">
        <f>A!T1383</f>
        <v>0</v>
      </c>
      <c r="Z280" s="681">
        <f>A!U1383</f>
        <v>0</v>
      </c>
      <c r="AA280" s="673">
        <f>A!V1383</f>
        <v>0</v>
      </c>
    </row>
    <row r="281" spans="2:27" ht="12" customHeight="1">
      <c r="B281" s="173" t="s">
        <v>125</v>
      </c>
      <c r="C281" s="154">
        <f>A!B1384</f>
        <v>90.229900000000001</v>
      </c>
      <c r="D281" s="180" t="str">
        <f>A!C1384</f>
        <v>20-Dec</v>
      </c>
      <c r="E281" s="164">
        <f>A!D1384</f>
        <v>22</v>
      </c>
      <c r="F281" s="380"/>
      <c r="G281" s="176"/>
      <c r="H281" s="164"/>
      <c r="I281" s="380"/>
      <c r="J281" s="176"/>
      <c r="K281" s="164"/>
      <c r="L281" s="380">
        <f>A!K1384</f>
        <v>93.604172645267894</v>
      </c>
      <c r="M281" s="176" t="str">
        <f>A!L1384</f>
        <v>12/20</v>
      </c>
      <c r="N281" s="164" t="str">
        <f>A!M1384</f>
        <v>11:00</v>
      </c>
      <c r="O281" s="380">
        <f>A!N1384</f>
        <v>95</v>
      </c>
      <c r="P281" s="176">
        <f>A!O1384</f>
        <v>355</v>
      </c>
      <c r="Q281" s="164">
        <f>A!P1384</f>
        <v>17</v>
      </c>
      <c r="R281" s="380">
        <f>A!Q1384</f>
        <v>71.77</v>
      </c>
      <c r="S281" s="176">
        <f>A!R1384</f>
        <v>37849</v>
      </c>
      <c r="T281" s="164">
        <f>A!S1384</f>
        <v>17</v>
      </c>
      <c r="U281" s="190">
        <f t="shared" si="31"/>
        <v>71.77</v>
      </c>
      <c r="V281" s="159">
        <f t="shared" si="32"/>
        <v>95</v>
      </c>
      <c r="W281" s="27">
        <f t="shared" si="30"/>
        <v>0.26502829616019341</v>
      </c>
      <c r="Y281" s="598">
        <f>A!T1384</f>
        <v>0</v>
      </c>
      <c r="Z281" s="681">
        <f>A!U1384</f>
        <v>0</v>
      </c>
      <c r="AA281" s="673">
        <f>A!V1384</f>
        <v>0</v>
      </c>
    </row>
    <row r="282" spans="2:27" ht="12" customHeight="1">
      <c r="B282" s="173" t="s">
        <v>127</v>
      </c>
      <c r="C282" s="154">
        <f>A!B1385</f>
        <v>100</v>
      </c>
      <c r="D282" s="180" t="str">
        <f>A!C1385</f>
        <v>18-Dec</v>
      </c>
      <c r="E282" s="164">
        <f>A!D1385</f>
        <v>8</v>
      </c>
      <c r="F282" s="380"/>
      <c r="G282" s="176"/>
      <c r="H282" s="164"/>
      <c r="I282" s="380"/>
      <c r="J282" s="176"/>
      <c r="K282" s="164"/>
      <c r="L282" s="380">
        <f>A!K1385</f>
        <v>100</v>
      </c>
      <c r="M282" s="176" t="str">
        <f>A!L1385</f>
        <v>12/16</v>
      </c>
      <c r="N282" s="164" t="str">
        <f>A!M1385</f>
        <v>03:00</v>
      </c>
      <c r="O282" s="380">
        <f>A!N1385</f>
        <v>100</v>
      </c>
      <c r="P282" s="176">
        <f>A!O1385</f>
        <v>350</v>
      </c>
      <c r="Q282" s="164">
        <f>A!P1385</f>
        <v>1</v>
      </c>
      <c r="R282" s="380">
        <f>A!Q1385</f>
        <v>71.319999999999993</v>
      </c>
      <c r="S282" s="176">
        <f>A!R1385</f>
        <v>37716</v>
      </c>
      <c r="T282" s="164">
        <f>A!S1385</f>
        <v>17</v>
      </c>
      <c r="U282" s="190">
        <f t="shared" si="31"/>
        <v>71.319999999999993</v>
      </c>
      <c r="V282" s="159">
        <f t="shared" si="32"/>
        <v>100</v>
      </c>
      <c r="W282" s="27">
        <f t="shared" si="30"/>
        <v>0.30895184746310467</v>
      </c>
      <c r="Y282" s="598">
        <f>A!T1385</f>
        <v>0</v>
      </c>
      <c r="Z282" s="681">
        <f>A!U1385</f>
        <v>0</v>
      </c>
      <c r="AA282" s="673">
        <f>A!V1385</f>
        <v>0</v>
      </c>
    </row>
    <row r="283" spans="2:27" ht="12" customHeight="1">
      <c r="B283" s="173" t="s">
        <v>130</v>
      </c>
      <c r="C283" s="154">
        <f>A!B1386</f>
        <v>100</v>
      </c>
      <c r="D283" s="180" t="str">
        <f>A!C1386</f>
        <v>12-Nov</v>
      </c>
      <c r="E283" s="164">
        <f>A!D1386</f>
        <v>20</v>
      </c>
      <c r="F283" s="380"/>
      <c r="G283" s="176"/>
      <c r="H283" s="164"/>
      <c r="I283" s="380"/>
      <c r="J283" s="176"/>
      <c r="K283" s="164"/>
      <c r="L283" s="380">
        <f>A!K1386</f>
        <v>100</v>
      </c>
      <c r="M283" s="176" t="str">
        <f>A!L1386</f>
        <v>11/12</v>
      </c>
      <c r="N283" s="164" t="str">
        <f>A!M1386</f>
        <v>24:00</v>
      </c>
      <c r="O283" s="380">
        <f>A!N1386</f>
        <v>100</v>
      </c>
      <c r="P283" s="176">
        <f>A!O1386</f>
        <v>316</v>
      </c>
      <c r="Q283" s="164">
        <f>A!P1386</f>
        <v>23</v>
      </c>
      <c r="R283" s="380">
        <f>A!Q1386</f>
        <v>51.12</v>
      </c>
      <c r="S283" s="176">
        <f>A!R1386</f>
        <v>37712</v>
      </c>
      <c r="T283" s="164">
        <f>A!S1386</f>
        <v>8</v>
      </c>
      <c r="U283" s="190">
        <f t="shared" si="31"/>
        <v>51.12</v>
      </c>
      <c r="V283" s="159">
        <f t="shared" si="32"/>
        <v>100</v>
      </c>
      <c r="W283" s="27">
        <f t="shared" si="30"/>
        <v>0.55684666210982003</v>
      </c>
      <c r="Y283" s="598">
        <f>A!T1386</f>
        <v>0</v>
      </c>
      <c r="Z283" s="681">
        <f>A!U1386</f>
        <v>0</v>
      </c>
      <c r="AA283" s="673">
        <f>A!V1386</f>
        <v>0</v>
      </c>
    </row>
    <row r="284" spans="2:27" ht="12" customHeight="1">
      <c r="B284" s="173" t="s">
        <v>132</v>
      </c>
      <c r="C284" s="154">
        <f>A!B1387</f>
        <v>91.044499999999999</v>
      </c>
      <c r="D284" s="180" t="str">
        <f>A!C1387</f>
        <v>20-Dec</v>
      </c>
      <c r="E284" s="164">
        <f>A!D1387</f>
        <v>22</v>
      </c>
      <c r="F284" s="380"/>
      <c r="G284" s="176"/>
      <c r="H284" s="164"/>
      <c r="I284" s="380"/>
      <c r="J284" s="176"/>
      <c r="K284" s="164"/>
      <c r="L284" s="380">
        <f>A!K1387</f>
        <v>91.698039888738407</v>
      </c>
      <c r="M284" s="176" t="str">
        <f>A!L1387</f>
        <v>12/20</v>
      </c>
      <c r="N284" s="164" t="str">
        <f>A!M1387</f>
        <v>11:00</v>
      </c>
      <c r="O284" s="380">
        <f>A!N1387</f>
        <v>79</v>
      </c>
      <c r="P284" s="176">
        <f>A!O1387</f>
        <v>355</v>
      </c>
      <c r="Q284" s="164">
        <f>A!P1387</f>
        <v>8</v>
      </c>
      <c r="R284" s="380">
        <f>A!Q1387</f>
        <v>36.01</v>
      </c>
      <c r="S284" s="176">
        <f>A!R1387</f>
        <v>37731</v>
      </c>
      <c r="T284" s="164">
        <f>A!S1387</f>
        <v>21</v>
      </c>
      <c r="U284" s="190">
        <f t="shared" si="31"/>
        <v>36.01</v>
      </c>
      <c r="V284" s="159">
        <f t="shared" si="32"/>
        <v>91.698039888738407</v>
      </c>
      <c r="W284" s="27">
        <f t="shared" si="30"/>
        <v>0.74811170255068093</v>
      </c>
      <c r="Y284" s="598">
        <f>A!T1387</f>
        <v>0</v>
      </c>
      <c r="Z284" s="681">
        <f>A!U1387</f>
        <v>0</v>
      </c>
      <c r="AA284" s="673">
        <f>A!V1387</f>
        <v>0</v>
      </c>
    </row>
    <row r="285" spans="2:27" ht="12" customHeight="1">
      <c r="B285" s="173" t="s">
        <v>135</v>
      </c>
      <c r="C285" s="154">
        <f>A!B1388</f>
        <v>61.274999999999999</v>
      </c>
      <c r="D285" s="180" t="str">
        <f>A!C1388</f>
        <v>20-Dec</v>
      </c>
      <c r="E285" s="164">
        <f>A!D1388</f>
        <v>22</v>
      </c>
      <c r="F285" s="380"/>
      <c r="G285" s="176"/>
      <c r="H285" s="164"/>
      <c r="I285" s="380"/>
      <c r="J285" s="176"/>
      <c r="K285" s="164"/>
      <c r="L285" s="380">
        <f>A!K1388</f>
        <v>54.855733541417997</v>
      </c>
      <c r="M285" s="176" t="str">
        <f>A!L1388</f>
        <v>12/20</v>
      </c>
      <c r="N285" s="164" t="str">
        <f>A!M1388</f>
        <v>11:00</v>
      </c>
      <c r="O285" s="380">
        <f>A!N1388</f>
        <v>47</v>
      </c>
      <c r="P285" s="176">
        <f>A!O1388</f>
        <v>355</v>
      </c>
      <c r="Q285" s="164">
        <f>A!P1388</f>
        <v>6</v>
      </c>
      <c r="R285" s="380">
        <f>A!Q1388</f>
        <v>39.96</v>
      </c>
      <c r="S285" s="176">
        <f>A!R1388</f>
        <v>37729</v>
      </c>
      <c r="T285" s="164">
        <f>A!S1388</f>
        <v>18</v>
      </c>
      <c r="U285" s="190">
        <f t="shared" si="31"/>
        <v>39.96</v>
      </c>
      <c r="V285" s="159">
        <f t="shared" si="32"/>
        <v>61.274999999999999</v>
      </c>
      <c r="W285" s="27">
        <f t="shared" si="30"/>
        <v>0.41981235930004751</v>
      </c>
      <c r="Y285" s="598">
        <f>A!T1388</f>
        <v>0</v>
      </c>
      <c r="Z285" s="681">
        <f>A!U1388</f>
        <v>0</v>
      </c>
      <c r="AA285" s="673">
        <f>A!V1388</f>
        <v>0</v>
      </c>
    </row>
    <row r="286" spans="2:27" ht="12" customHeight="1" thickBot="1">
      <c r="B286" s="174" t="s">
        <v>138</v>
      </c>
      <c r="C286" s="154">
        <f>A!B1389</f>
        <v>90.877200000000002</v>
      </c>
      <c r="D286" s="180" t="str">
        <f>A!C1389</f>
        <v>20-Dec</v>
      </c>
      <c r="E286" s="164">
        <f>A!D1389</f>
        <v>22</v>
      </c>
      <c r="F286" s="380"/>
      <c r="G286" s="176"/>
      <c r="H286" s="164"/>
      <c r="I286" s="380"/>
      <c r="J286" s="176"/>
      <c r="K286" s="164"/>
      <c r="L286" s="380">
        <f>A!K1389</f>
        <v>96.073979938067893</v>
      </c>
      <c r="M286" s="176" t="str">
        <f>A!L1389</f>
        <v>12/20</v>
      </c>
      <c r="N286" s="164" t="str">
        <f>A!M1389</f>
        <v>11:00</v>
      </c>
      <c r="O286" s="380">
        <f>A!N1389</f>
        <v>97</v>
      </c>
      <c r="P286" s="176">
        <f>A!O1389</f>
        <v>355</v>
      </c>
      <c r="Q286" s="164">
        <f>A!P1389</f>
        <v>4</v>
      </c>
      <c r="R286" s="380">
        <f>A!Q1389</f>
        <v>24.14</v>
      </c>
      <c r="S286" s="176">
        <f>A!R1389</f>
        <v>37979</v>
      </c>
      <c r="T286" s="164">
        <f>A!S1389</f>
        <v>1</v>
      </c>
      <c r="U286" s="190">
        <f t="shared" si="31"/>
        <v>24.14</v>
      </c>
      <c r="V286" s="159">
        <f t="shared" si="32"/>
        <v>97</v>
      </c>
      <c r="W286" s="27">
        <f t="shared" si="30"/>
        <v>0.94595372726536653</v>
      </c>
      <c r="Y286" s="598">
        <f>A!T1389</f>
        <v>0</v>
      </c>
      <c r="Z286" s="681">
        <f>A!U1389</f>
        <v>0</v>
      </c>
      <c r="AA286" s="673">
        <f>A!V1389</f>
        <v>0</v>
      </c>
    </row>
    <row r="287" spans="2:27" ht="12" customHeight="1" thickTop="1">
      <c r="B287" s="19" t="s">
        <v>271</v>
      </c>
      <c r="C287" s="185"/>
      <c r="D287" s="374"/>
      <c r="E287" s="196"/>
      <c r="F287" s="20"/>
      <c r="G287" s="179"/>
      <c r="H287" s="196"/>
      <c r="I287" s="185"/>
      <c r="J287" s="179"/>
      <c r="K287" s="196"/>
      <c r="L287" s="20"/>
      <c r="M287" s="179"/>
      <c r="N287" s="196"/>
      <c r="O287" s="20"/>
      <c r="P287" s="179"/>
      <c r="Q287" s="196"/>
      <c r="R287" s="196"/>
      <c r="S287" s="196"/>
      <c r="T287" s="196"/>
      <c r="U287" s="454" t="s">
        <v>24</v>
      </c>
      <c r="V287" s="185"/>
      <c r="W287" s="21"/>
      <c r="Y287" s="598"/>
      <c r="Z287" s="681"/>
      <c r="AA287" s="673"/>
    </row>
    <row r="288" spans="2:27" ht="12" customHeight="1">
      <c r="B288" s="170"/>
      <c r="C288" s="186" t="s">
        <v>245</v>
      </c>
      <c r="D288" s="180"/>
      <c r="E288" s="197"/>
      <c r="F288" s="377" t="s">
        <v>536</v>
      </c>
      <c r="G288" s="180"/>
      <c r="H288" s="197"/>
      <c r="I288" s="377" t="s">
        <v>258</v>
      </c>
      <c r="J288" s="106"/>
      <c r="K288" s="116"/>
      <c r="L288" s="384" t="s">
        <v>433</v>
      </c>
      <c r="M288" s="106"/>
      <c r="N288" s="116"/>
      <c r="O288" s="722" t="s">
        <v>469</v>
      </c>
      <c r="P288" s="120"/>
      <c r="Q288" s="48"/>
      <c r="R288" s="437" t="s">
        <v>482</v>
      </c>
      <c r="U288" s="190"/>
      <c r="V288" s="154"/>
      <c r="W288" s="23" t="s">
        <v>25</v>
      </c>
      <c r="Y288" s="598"/>
      <c r="Z288" s="681"/>
      <c r="AA288" s="673"/>
    </row>
    <row r="289" spans="2:27" ht="12" customHeight="1">
      <c r="B289" s="171"/>
      <c r="C289" s="187" t="s">
        <v>26</v>
      </c>
      <c r="D289" s="181" t="s">
        <v>77</v>
      </c>
      <c r="E289" s="198" t="s">
        <v>78</v>
      </c>
      <c r="F289" s="378"/>
      <c r="G289" s="181"/>
      <c r="H289" s="198"/>
      <c r="I289" s="382"/>
      <c r="J289" s="181"/>
      <c r="K289" s="198"/>
      <c r="L289" s="383" t="s">
        <v>434</v>
      </c>
      <c r="M289" s="181" t="s">
        <v>77</v>
      </c>
      <c r="N289" s="199" t="s">
        <v>78</v>
      </c>
      <c r="O289" s="373" t="s">
        <v>452</v>
      </c>
      <c r="P289" s="24" t="s">
        <v>77</v>
      </c>
      <c r="Q289" s="723" t="s">
        <v>78</v>
      </c>
      <c r="R289" s="353" t="s">
        <v>483</v>
      </c>
      <c r="S289" s="24" t="s">
        <v>77</v>
      </c>
      <c r="T289" s="177" t="s">
        <v>78</v>
      </c>
      <c r="U289" s="455" t="s">
        <v>27</v>
      </c>
      <c r="V289" s="187" t="s">
        <v>28</v>
      </c>
      <c r="W289" s="25" t="s">
        <v>259</v>
      </c>
      <c r="Y289" s="683" t="s">
        <v>522</v>
      </c>
      <c r="Z289" s="181" t="s">
        <v>77</v>
      </c>
      <c r="AA289" s="177" t="s">
        <v>78</v>
      </c>
    </row>
    <row r="290" spans="2:27" ht="12" customHeight="1">
      <c r="B290" s="172" t="s">
        <v>91</v>
      </c>
      <c r="C290" s="154">
        <f>A!B1400</f>
        <v>13.331200000000001</v>
      </c>
      <c r="D290" s="180" t="str">
        <f>A!C1400</f>
        <v>06-Nov</v>
      </c>
      <c r="E290" s="164">
        <f>A!D1400</f>
        <v>5</v>
      </c>
      <c r="F290" s="380">
        <f>A!E1400</f>
        <v>11.97</v>
      </c>
      <c r="G290" s="176">
        <f>A!F1400</f>
        <v>37566</v>
      </c>
      <c r="H290" s="164">
        <f>A!G1400</f>
        <v>4</v>
      </c>
      <c r="I290" s="380">
        <f>A!H1400</f>
        <v>11.97</v>
      </c>
      <c r="J290" s="176">
        <f>A!I1400</f>
        <v>37566</v>
      </c>
      <c r="K290" s="164">
        <f>A!J1400</f>
        <v>4</v>
      </c>
      <c r="L290" s="380">
        <f>A!K1400</f>
        <v>14.387833084585999</v>
      </c>
      <c r="M290" s="176" t="str">
        <f>A!L1400</f>
        <v>11/06</v>
      </c>
      <c r="N290" s="164" t="str">
        <f>A!M1400</f>
        <v>06:00</v>
      </c>
      <c r="O290" s="380">
        <f>A!N1400</f>
        <v>15</v>
      </c>
      <c r="P290" s="176">
        <f>A!O1400</f>
        <v>311</v>
      </c>
      <c r="Q290" s="164">
        <f>A!P1400</f>
        <v>5</v>
      </c>
      <c r="R290" s="380">
        <f>A!Q1400</f>
        <v>14.94</v>
      </c>
      <c r="S290" s="176">
        <f>A!R1400</f>
        <v>37931</v>
      </c>
      <c r="T290" s="164">
        <f>A!S1400</f>
        <v>8</v>
      </c>
      <c r="U290" s="190">
        <f t="shared" ref="U290:U309" si="33">MINA(C290,F290,I290,L290,O290,R290)</f>
        <v>11.97</v>
      </c>
      <c r="V290" s="159">
        <f t="shared" ref="V290:V309" si="34">MAXA(C290,F290,I290,L290,O290,R290)</f>
        <v>15</v>
      </c>
      <c r="W290" s="27">
        <f t="shared" ref="W290:W309" si="35">(V290-U290)/AVERAGE(C290,F290,I290,L290,O290,R290)</f>
        <v>0.22279675766690163</v>
      </c>
      <c r="Y290" s="598">
        <f>A!T1400</f>
        <v>0</v>
      </c>
      <c r="Z290" s="681">
        <f>A!U1400</f>
        <v>0</v>
      </c>
      <c r="AA290" s="673">
        <f>A!V1400</f>
        <v>0</v>
      </c>
    </row>
    <row r="291" spans="2:27" ht="12" customHeight="1">
      <c r="B291" s="173" t="s">
        <v>96</v>
      </c>
      <c r="C291" s="154">
        <f>A!B1401</f>
        <v>13.389799999999999</v>
      </c>
      <c r="D291" s="180" t="str">
        <f>A!C1401</f>
        <v>06-Nov</v>
      </c>
      <c r="E291" s="164">
        <f>A!D1401</f>
        <v>6</v>
      </c>
      <c r="F291" s="380">
        <f>A!E1401</f>
        <v>11.97</v>
      </c>
      <c r="G291" s="176">
        <f>A!F1401</f>
        <v>37566</v>
      </c>
      <c r="H291" s="164">
        <f>A!G1401</f>
        <v>4</v>
      </c>
      <c r="I291" s="380">
        <f>A!H1401</f>
        <v>11.97</v>
      </c>
      <c r="J291" s="176">
        <f>A!I1401</f>
        <v>37566</v>
      </c>
      <c r="K291" s="164">
        <f>A!J1401</f>
        <v>4</v>
      </c>
      <c r="L291" s="380">
        <f>A!K1401</f>
        <v>15.4710269468499</v>
      </c>
      <c r="M291" s="176" t="str">
        <f>A!L1401</f>
        <v>11/06</v>
      </c>
      <c r="N291" s="164" t="str">
        <f>A!M1401</f>
        <v>08:00</v>
      </c>
      <c r="O291" s="380">
        <f>A!N1401</f>
        <v>16</v>
      </c>
      <c r="P291" s="176">
        <f>A!O1401</f>
        <v>311</v>
      </c>
      <c r="Q291" s="164">
        <f>A!P1401</f>
        <v>8</v>
      </c>
      <c r="R291" s="380">
        <f>A!Q1401</f>
        <v>15.93</v>
      </c>
      <c r="S291" s="176">
        <f>A!R1401</f>
        <v>37931</v>
      </c>
      <c r="T291" s="164">
        <f>A!S1401</f>
        <v>8</v>
      </c>
      <c r="U291" s="190">
        <f t="shared" si="33"/>
        <v>11.97</v>
      </c>
      <c r="V291" s="159">
        <f t="shared" si="34"/>
        <v>16</v>
      </c>
      <c r="W291" s="27">
        <f t="shared" si="35"/>
        <v>0.28537429494424343</v>
      </c>
      <c r="Y291" s="598">
        <f>A!T1401</f>
        <v>0</v>
      </c>
      <c r="Z291" s="681">
        <f>A!U1401</f>
        <v>0</v>
      </c>
      <c r="AA291" s="673">
        <f>A!V1401</f>
        <v>0</v>
      </c>
    </row>
    <row r="292" spans="2:27" ht="12" customHeight="1">
      <c r="B292" s="173" t="s">
        <v>98</v>
      </c>
      <c r="C292" s="154">
        <f>A!B1402</f>
        <v>13.331200000000001</v>
      </c>
      <c r="D292" s="180" t="str">
        <f>A!C1402</f>
        <v>06-Nov</v>
      </c>
      <c r="E292" s="164">
        <f>A!D1402</f>
        <v>5</v>
      </c>
      <c r="F292" s="380">
        <f>A!E1402</f>
        <v>11.97</v>
      </c>
      <c r="G292" s="176">
        <f>A!F1402</f>
        <v>37566</v>
      </c>
      <c r="H292" s="164">
        <f>A!G1402</f>
        <v>4</v>
      </c>
      <c r="I292" s="380">
        <f>A!H1402</f>
        <v>11.97</v>
      </c>
      <c r="J292" s="176">
        <f>A!I1402</f>
        <v>37566</v>
      </c>
      <c r="K292" s="164">
        <f>A!J1402</f>
        <v>4</v>
      </c>
      <c r="L292" s="380">
        <f>A!K1402</f>
        <v>14.7974211025104</v>
      </c>
      <c r="M292" s="176" t="str">
        <f>A!L1402</f>
        <v>11/06</v>
      </c>
      <c r="N292" s="164" t="str">
        <f>A!M1402</f>
        <v>06:00</v>
      </c>
      <c r="O292" s="380">
        <f>A!N1402</f>
        <v>15</v>
      </c>
      <c r="P292" s="176">
        <f>A!O1402</f>
        <v>311</v>
      </c>
      <c r="Q292" s="164">
        <f>A!P1402</f>
        <v>5</v>
      </c>
      <c r="R292" s="380">
        <f>A!Q1402</f>
        <v>12.92</v>
      </c>
      <c r="S292" s="176">
        <f>A!R1402</f>
        <v>37975</v>
      </c>
      <c r="T292" s="164">
        <f>A!S1402</f>
        <v>5</v>
      </c>
      <c r="U292" s="190">
        <f t="shared" si="33"/>
        <v>11.97</v>
      </c>
      <c r="V292" s="159">
        <f t="shared" si="34"/>
        <v>15</v>
      </c>
      <c r="W292" s="27">
        <f t="shared" si="35"/>
        <v>0.22728232777886237</v>
      </c>
      <c r="Y292" s="598">
        <f>A!T1402</f>
        <v>0</v>
      </c>
      <c r="Z292" s="681">
        <f>A!U1402</f>
        <v>0</v>
      </c>
      <c r="AA292" s="673">
        <f>A!V1402</f>
        <v>0</v>
      </c>
    </row>
    <row r="293" spans="2:27" ht="12" customHeight="1">
      <c r="B293" s="173" t="s">
        <v>102</v>
      </c>
      <c r="C293" s="154">
        <f>A!B1403</f>
        <v>13.331200000000001</v>
      </c>
      <c r="D293" s="180" t="str">
        <f>A!C1403</f>
        <v>06-Nov</v>
      </c>
      <c r="E293" s="164">
        <f>A!D1403</f>
        <v>5</v>
      </c>
      <c r="F293" s="380">
        <f>A!E1403</f>
        <v>11.97</v>
      </c>
      <c r="G293" s="176">
        <f>A!F1403</f>
        <v>37566</v>
      </c>
      <c r="H293" s="164">
        <f>A!G1403</f>
        <v>4</v>
      </c>
      <c r="I293" s="380">
        <f>A!H1403</f>
        <v>11.97</v>
      </c>
      <c r="J293" s="176">
        <f>A!I1403</f>
        <v>37566</v>
      </c>
      <c r="K293" s="164">
        <f>A!J1403</f>
        <v>4</v>
      </c>
      <c r="L293" s="380">
        <f>A!K1403</f>
        <v>14.3879483171511</v>
      </c>
      <c r="M293" s="176" t="str">
        <f>A!L1403</f>
        <v>11/06</v>
      </c>
      <c r="N293" s="164" t="str">
        <f>A!M1403</f>
        <v>06:00</v>
      </c>
      <c r="O293" s="380">
        <f>A!N1403</f>
        <v>15</v>
      </c>
      <c r="P293" s="176">
        <f>A!O1403</f>
        <v>311</v>
      </c>
      <c r="Q293" s="164">
        <f>A!P1403</f>
        <v>5</v>
      </c>
      <c r="R293" s="380">
        <f>A!Q1403</f>
        <v>14.94</v>
      </c>
      <c r="S293" s="176">
        <f>A!R1403</f>
        <v>37931</v>
      </c>
      <c r="T293" s="164">
        <f>A!S1403</f>
        <v>8</v>
      </c>
      <c r="U293" s="190">
        <f t="shared" si="33"/>
        <v>11.97</v>
      </c>
      <c r="V293" s="159">
        <f t="shared" si="34"/>
        <v>15</v>
      </c>
      <c r="W293" s="27">
        <f t="shared" si="35"/>
        <v>0.2227964430381045</v>
      </c>
      <c r="Y293" s="598">
        <f>A!T1403</f>
        <v>0</v>
      </c>
      <c r="Z293" s="681">
        <f>A!U1403</f>
        <v>0</v>
      </c>
      <c r="AA293" s="673">
        <f>A!V1403</f>
        <v>0</v>
      </c>
    </row>
    <row r="294" spans="2:27" ht="12" customHeight="1">
      <c r="B294" s="173" t="s">
        <v>356</v>
      </c>
      <c r="C294" s="154">
        <f>A!B1404</f>
        <v>13.331200000000001</v>
      </c>
      <c r="D294" s="180" t="str">
        <f>A!C1404</f>
        <v>06-Nov</v>
      </c>
      <c r="E294" s="164">
        <f>A!D1404</f>
        <v>5</v>
      </c>
      <c r="F294" s="380">
        <f>A!E1404</f>
        <v>11.97</v>
      </c>
      <c r="G294" s="176">
        <f>A!F1404</f>
        <v>37566</v>
      </c>
      <c r="H294" s="164">
        <f>A!G1404</f>
        <v>4</v>
      </c>
      <c r="I294" s="380">
        <f>A!H1404</f>
        <v>11.97</v>
      </c>
      <c r="J294" s="176">
        <f>A!I1404</f>
        <v>37566</v>
      </c>
      <c r="K294" s="164">
        <f>A!J1404</f>
        <v>4</v>
      </c>
      <c r="L294" s="380">
        <f>A!K1404</f>
        <v>14.3879483171511</v>
      </c>
      <c r="M294" s="176" t="str">
        <f>A!L1404</f>
        <v>11/06</v>
      </c>
      <c r="N294" s="164" t="str">
        <f>A!M1404</f>
        <v>06:00</v>
      </c>
      <c r="O294" s="380">
        <f>A!N1404</f>
        <v>15</v>
      </c>
      <c r="P294" s="176">
        <f>A!O1404</f>
        <v>311</v>
      </c>
      <c r="Q294" s="164">
        <f>A!P1404</f>
        <v>5</v>
      </c>
      <c r="R294" s="380">
        <f>A!Q1404</f>
        <v>14.94</v>
      </c>
      <c r="S294" s="176">
        <f>A!R1404</f>
        <v>37931</v>
      </c>
      <c r="T294" s="164">
        <f>A!S1404</f>
        <v>8</v>
      </c>
      <c r="U294" s="190">
        <f t="shared" si="33"/>
        <v>11.97</v>
      </c>
      <c r="V294" s="159">
        <f t="shared" si="34"/>
        <v>15</v>
      </c>
      <c r="W294" s="27">
        <f t="shared" si="35"/>
        <v>0.2227964430381045</v>
      </c>
      <c r="Y294" s="598">
        <f>A!T1404</f>
        <v>0</v>
      </c>
      <c r="Z294" s="681">
        <f>A!U1404</f>
        <v>0</v>
      </c>
      <c r="AA294" s="673">
        <f>A!V1404</f>
        <v>0</v>
      </c>
    </row>
    <row r="295" spans="2:27" ht="12" customHeight="1">
      <c r="B295" s="173" t="s">
        <v>105</v>
      </c>
      <c r="C295" s="154">
        <f>A!B1405</f>
        <v>13.331200000000001</v>
      </c>
      <c r="D295" s="180" t="str">
        <f>A!C1405</f>
        <v>06-Nov</v>
      </c>
      <c r="E295" s="164">
        <f>A!D1405</f>
        <v>5</v>
      </c>
      <c r="F295" s="380">
        <f>A!E1405</f>
        <v>11.97</v>
      </c>
      <c r="G295" s="176">
        <f>A!F1405</f>
        <v>37566</v>
      </c>
      <c r="H295" s="164">
        <f>A!G1405</f>
        <v>4</v>
      </c>
      <c r="I295" s="380">
        <f>A!H1405</f>
        <v>11.97</v>
      </c>
      <c r="J295" s="176">
        <f>A!I1405</f>
        <v>37566</v>
      </c>
      <c r="K295" s="164">
        <f>A!J1405</f>
        <v>4</v>
      </c>
      <c r="L295" s="380">
        <f>A!K1405</f>
        <v>14.387833084585999</v>
      </c>
      <c r="M295" s="176" t="str">
        <f>A!L1405</f>
        <v>11/06</v>
      </c>
      <c r="N295" s="164" t="str">
        <f>A!M1405</f>
        <v>06:00</v>
      </c>
      <c r="O295" s="380">
        <f>A!N1405</f>
        <v>15</v>
      </c>
      <c r="P295" s="176">
        <f>A!O1405</f>
        <v>311</v>
      </c>
      <c r="Q295" s="164">
        <f>A!P1405</f>
        <v>5</v>
      </c>
      <c r="R295" s="380">
        <f>A!Q1405</f>
        <v>14.94</v>
      </c>
      <c r="S295" s="176">
        <f>A!R1405</f>
        <v>37931</v>
      </c>
      <c r="T295" s="164">
        <f>A!S1405</f>
        <v>8</v>
      </c>
      <c r="U295" s="190">
        <f t="shared" si="33"/>
        <v>11.97</v>
      </c>
      <c r="V295" s="159">
        <f t="shared" si="34"/>
        <v>15</v>
      </c>
      <c r="W295" s="27">
        <f t="shared" si="35"/>
        <v>0.22279675766690163</v>
      </c>
      <c r="Y295" s="598">
        <f>A!T1405</f>
        <v>0</v>
      </c>
      <c r="Z295" s="681">
        <f>A!U1405</f>
        <v>0</v>
      </c>
      <c r="AA295" s="673">
        <f>A!V1405</f>
        <v>0</v>
      </c>
    </row>
    <row r="296" spans="2:27" ht="12" customHeight="1">
      <c r="B296" s="173" t="s">
        <v>108</v>
      </c>
      <c r="C296" s="154">
        <f>A!B1406</f>
        <v>13.331200000000001</v>
      </c>
      <c r="D296" s="180" t="str">
        <f>A!C1406</f>
        <v>06-Nov</v>
      </c>
      <c r="E296" s="164">
        <f>A!D1406</f>
        <v>5</v>
      </c>
      <c r="F296" s="380">
        <f>A!E1406</f>
        <v>11.97</v>
      </c>
      <c r="G296" s="176">
        <f>A!F1406</f>
        <v>37566</v>
      </c>
      <c r="H296" s="164">
        <f>A!G1406</f>
        <v>4</v>
      </c>
      <c r="I296" s="380">
        <f>A!H1406</f>
        <v>11.97</v>
      </c>
      <c r="J296" s="176">
        <f>A!I1406</f>
        <v>37566</v>
      </c>
      <c r="K296" s="164">
        <f>A!J1406</f>
        <v>4</v>
      </c>
      <c r="L296" s="380">
        <f>A!K1406</f>
        <v>14.387776106684401</v>
      </c>
      <c r="M296" s="176" t="str">
        <f>A!L1406</f>
        <v>11/06</v>
      </c>
      <c r="N296" s="164" t="str">
        <f>A!M1406</f>
        <v>06:00</v>
      </c>
      <c r="O296" s="380">
        <f>A!N1406</f>
        <v>15</v>
      </c>
      <c r="P296" s="176">
        <f>A!O1406</f>
        <v>311</v>
      </c>
      <c r="Q296" s="164">
        <f>A!P1406</f>
        <v>5</v>
      </c>
      <c r="R296" s="380">
        <f>A!Q1406</f>
        <v>14.94</v>
      </c>
      <c r="S296" s="176">
        <f>A!R1406</f>
        <v>37931</v>
      </c>
      <c r="T296" s="164">
        <f>A!S1406</f>
        <v>8</v>
      </c>
      <c r="U296" s="190">
        <f t="shared" si="33"/>
        <v>11.97</v>
      </c>
      <c r="V296" s="159">
        <f t="shared" si="34"/>
        <v>15</v>
      </c>
      <c r="W296" s="27">
        <f t="shared" si="35"/>
        <v>0.22279691323860534</v>
      </c>
      <c r="Y296" s="598">
        <f>A!T1406</f>
        <v>0</v>
      </c>
      <c r="Z296" s="681">
        <f>A!U1406</f>
        <v>0</v>
      </c>
      <c r="AA296" s="673">
        <f>A!V1406</f>
        <v>0</v>
      </c>
    </row>
    <row r="297" spans="2:27" ht="12" customHeight="1">
      <c r="B297" s="173" t="s">
        <v>109</v>
      </c>
      <c r="C297" s="154">
        <f>A!B1407</f>
        <v>13.209</v>
      </c>
      <c r="D297" s="180" t="str">
        <f>A!C1407</f>
        <v>06-Nov</v>
      </c>
      <c r="E297" s="164">
        <f>A!D1407</f>
        <v>5</v>
      </c>
      <c r="F297" s="380">
        <f>A!E1407</f>
        <v>11.97</v>
      </c>
      <c r="G297" s="176">
        <f>A!F1407</f>
        <v>37566</v>
      </c>
      <c r="H297" s="164">
        <f>A!G1407</f>
        <v>4</v>
      </c>
      <c r="I297" s="380">
        <f>A!H1407</f>
        <v>11.97</v>
      </c>
      <c r="J297" s="176">
        <f>A!I1407</f>
        <v>37566</v>
      </c>
      <c r="K297" s="164">
        <f>A!J1407</f>
        <v>4</v>
      </c>
      <c r="L297" s="380">
        <f>A!K1407</f>
        <v>13.925488142731099</v>
      </c>
      <c r="M297" s="176" t="str">
        <f>A!L1407</f>
        <v>11/06</v>
      </c>
      <c r="N297" s="164" t="str">
        <f>A!M1407</f>
        <v>06:00</v>
      </c>
      <c r="O297" s="380"/>
      <c r="P297" s="176"/>
      <c r="Q297" s="164"/>
      <c r="R297" s="380">
        <f>A!Q1407</f>
        <v>14.57</v>
      </c>
      <c r="S297" s="176">
        <f>A!R1407</f>
        <v>37931</v>
      </c>
      <c r="T297" s="164">
        <f>A!S1407</f>
        <v>5</v>
      </c>
      <c r="U297" s="190">
        <f t="shared" si="33"/>
        <v>11.97</v>
      </c>
      <c r="V297" s="159">
        <f t="shared" si="34"/>
        <v>14.57</v>
      </c>
      <c r="W297" s="27">
        <f t="shared" si="35"/>
        <v>0.19803642876663222</v>
      </c>
      <c r="Y297" s="598">
        <f>A!T1407</f>
        <v>0</v>
      </c>
      <c r="Z297" s="681">
        <f>A!U1407</f>
        <v>0</v>
      </c>
      <c r="AA297" s="673">
        <f>A!V1407</f>
        <v>0</v>
      </c>
    </row>
    <row r="298" spans="2:27" ht="12" customHeight="1">
      <c r="B298" s="173" t="s">
        <v>111</v>
      </c>
      <c r="C298" s="154">
        <f>A!B1408</f>
        <v>13.209099999999999</v>
      </c>
      <c r="D298" s="180" t="str">
        <f>A!C1408</f>
        <v>06-Nov</v>
      </c>
      <c r="E298" s="164">
        <f>A!D1408</f>
        <v>5</v>
      </c>
      <c r="F298" s="380">
        <f>A!E1408</f>
        <v>11.97</v>
      </c>
      <c r="G298" s="176">
        <f>A!F1408</f>
        <v>37566</v>
      </c>
      <c r="H298" s="164">
        <f>A!G1408</f>
        <v>4</v>
      </c>
      <c r="I298" s="380">
        <f>A!H1408</f>
        <v>11.97</v>
      </c>
      <c r="J298" s="176">
        <f>A!I1408</f>
        <v>37566</v>
      </c>
      <c r="K298" s="164">
        <f>A!J1408</f>
        <v>4</v>
      </c>
      <c r="L298" s="380"/>
      <c r="M298" s="176"/>
      <c r="N298" s="164"/>
      <c r="O298" s="380"/>
      <c r="P298" s="176"/>
      <c r="Q298" s="164"/>
      <c r="R298" s="380">
        <f>A!Q1408</f>
        <v>14.58</v>
      </c>
      <c r="S298" s="176">
        <f>A!R1408</f>
        <v>37931</v>
      </c>
      <c r="T298" s="164">
        <f>A!S1408</f>
        <v>5</v>
      </c>
      <c r="U298" s="190">
        <f t="shared" si="33"/>
        <v>11.97</v>
      </c>
      <c r="V298" s="159">
        <f t="shared" si="34"/>
        <v>14.58</v>
      </c>
      <c r="W298" s="27">
        <f t="shared" si="35"/>
        <v>0.20182063867339659</v>
      </c>
      <c r="Y298" s="598">
        <f>A!T1408</f>
        <v>0</v>
      </c>
      <c r="Z298" s="681">
        <f>A!U1408</f>
        <v>0</v>
      </c>
      <c r="AA298" s="673">
        <f>A!V1408</f>
        <v>0</v>
      </c>
    </row>
    <row r="299" spans="2:27" ht="12" customHeight="1">
      <c r="B299" s="173" t="s">
        <v>112</v>
      </c>
      <c r="C299" s="154">
        <f>A!B1409</f>
        <v>13.209899999999999</v>
      </c>
      <c r="D299" s="180" t="str">
        <f>A!C1409</f>
        <v>06-Nov</v>
      </c>
      <c r="E299" s="164">
        <f>A!D1409</f>
        <v>5</v>
      </c>
      <c r="F299" s="380">
        <f>A!E1409</f>
        <v>11.97</v>
      </c>
      <c r="G299" s="176">
        <f>A!F1409</f>
        <v>37566</v>
      </c>
      <c r="H299" s="164">
        <f>A!G1409</f>
        <v>4</v>
      </c>
      <c r="I299" s="380">
        <f>A!H1409</f>
        <v>11.97</v>
      </c>
      <c r="J299" s="176">
        <f>A!I1409</f>
        <v>37566</v>
      </c>
      <c r="K299" s="164">
        <f>A!J1409</f>
        <v>4</v>
      </c>
      <c r="L299" s="380">
        <f>A!K1409</f>
        <v>13.925595564136099</v>
      </c>
      <c r="M299" s="176" t="str">
        <f>A!L1409</f>
        <v>11/06</v>
      </c>
      <c r="N299" s="164" t="str">
        <f>A!M1409</f>
        <v>06:00</v>
      </c>
      <c r="O299" s="380"/>
      <c r="P299" s="176"/>
      <c r="Q299" s="164"/>
      <c r="R299" s="380">
        <f>A!Q1409</f>
        <v>14.59</v>
      </c>
      <c r="S299" s="176">
        <f>A!R1409</f>
        <v>37931</v>
      </c>
      <c r="T299" s="164">
        <f>A!S1409</f>
        <v>5</v>
      </c>
      <c r="U299" s="190">
        <f t="shared" si="33"/>
        <v>11.97</v>
      </c>
      <c r="V299" s="159">
        <f t="shared" si="34"/>
        <v>14.59</v>
      </c>
      <c r="W299" s="27">
        <f t="shared" si="35"/>
        <v>0.19949594360717346</v>
      </c>
      <c r="Y299" s="598">
        <f>A!T1409</f>
        <v>0</v>
      </c>
      <c r="Z299" s="681">
        <f>A!U1409</f>
        <v>0</v>
      </c>
      <c r="AA299" s="673">
        <f>A!V1409</f>
        <v>0</v>
      </c>
    </row>
    <row r="300" spans="2:27" ht="12" customHeight="1">
      <c r="B300" s="173" t="s">
        <v>113</v>
      </c>
      <c r="C300" s="154">
        <f>A!B1410</f>
        <v>13.207800000000001</v>
      </c>
      <c r="D300" s="180" t="str">
        <f>A!C1410</f>
        <v>06-Nov</v>
      </c>
      <c r="E300" s="164">
        <f>A!D1410</f>
        <v>5</v>
      </c>
      <c r="F300" s="380">
        <f>A!E1410</f>
        <v>11.97</v>
      </c>
      <c r="G300" s="176">
        <f>A!F1410</f>
        <v>37566</v>
      </c>
      <c r="H300" s="164">
        <f>A!G1410</f>
        <v>4</v>
      </c>
      <c r="I300" s="380">
        <f>A!H1410</f>
        <v>11.97</v>
      </c>
      <c r="J300" s="176">
        <f>A!I1410</f>
        <v>37566</v>
      </c>
      <c r="K300" s="164">
        <f>A!J1410</f>
        <v>4</v>
      </c>
      <c r="L300" s="380">
        <f>A!K1410</f>
        <v>13.925487967371801</v>
      </c>
      <c r="M300" s="176" t="str">
        <f>A!L1410</f>
        <v>11/06</v>
      </c>
      <c r="N300" s="164" t="str">
        <f>A!M1410</f>
        <v>06:00</v>
      </c>
      <c r="O300" s="380"/>
      <c r="P300" s="176"/>
      <c r="Q300" s="164"/>
      <c r="R300" s="380">
        <f>A!Q1410</f>
        <v>14.58</v>
      </c>
      <c r="S300" s="176">
        <f>A!R1410</f>
        <v>37931</v>
      </c>
      <c r="T300" s="164">
        <f>A!S1410</f>
        <v>5</v>
      </c>
      <c r="U300" s="190">
        <f t="shared" si="33"/>
        <v>11.97</v>
      </c>
      <c r="V300" s="159">
        <f t="shared" si="34"/>
        <v>14.58</v>
      </c>
      <c r="W300" s="27">
        <f t="shared" si="35"/>
        <v>0.19877146147631708</v>
      </c>
      <c r="Y300" s="598">
        <f>A!T1410</f>
        <v>0</v>
      </c>
      <c r="Z300" s="681">
        <f>A!U1410</f>
        <v>0</v>
      </c>
      <c r="AA300" s="673">
        <f>A!V1410</f>
        <v>0</v>
      </c>
    </row>
    <row r="301" spans="2:27" ht="12" customHeight="1">
      <c r="B301" s="173" t="s">
        <v>114</v>
      </c>
      <c r="C301" s="154">
        <f>A!B1411</f>
        <v>13.206899999999999</v>
      </c>
      <c r="D301" s="180" t="str">
        <f>A!C1411</f>
        <v>06-Nov</v>
      </c>
      <c r="E301" s="164">
        <f>A!D1411</f>
        <v>5</v>
      </c>
      <c r="F301" s="380">
        <f>A!E1411</f>
        <v>11.97</v>
      </c>
      <c r="G301" s="176">
        <f>A!F1411</f>
        <v>37566</v>
      </c>
      <c r="H301" s="164">
        <f>A!G1411</f>
        <v>4</v>
      </c>
      <c r="I301" s="380">
        <f>A!H1411</f>
        <v>11.97</v>
      </c>
      <c r="J301" s="176">
        <f>A!I1411</f>
        <v>37566</v>
      </c>
      <c r="K301" s="164">
        <f>A!J1411</f>
        <v>4</v>
      </c>
      <c r="L301" s="380">
        <f>A!K1411</f>
        <v>13.9254858350014</v>
      </c>
      <c r="M301" s="176" t="str">
        <f>A!L1411</f>
        <v>11/06</v>
      </c>
      <c r="N301" s="164" t="str">
        <f>A!M1411</f>
        <v>06:00</v>
      </c>
      <c r="O301" s="380"/>
      <c r="P301" s="176"/>
      <c r="Q301" s="164"/>
      <c r="R301" s="380">
        <f>A!Q1411</f>
        <v>14.54</v>
      </c>
      <c r="S301" s="176">
        <f>A!R1411</f>
        <v>37931</v>
      </c>
      <c r="T301" s="164">
        <f>A!S1411</f>
        <v>5</v>
      </c>
      <c r="U301" s="190">
        <f t="shared" si="33"/>
        <v>11.97</v>
      </c>
      <c r="V301" s="159">
        <f t="shared" si="34"/>
        <v>14.54</v>
      </c>
      <c r="W301" s="27">
        <f t="shared" si="35"/>
        <v>0.19584716873906252</v>
      </c>
      <c r="Y301" s="598">
        <f>A!T1411</f>
        <v>0</v>
      </c>
      <c r="Z301" s="681">
        <f>A!U1411</f>
        <v>0</v>
      </c>
      <c r="AA301" s="673">
        <f>A!V1411</f>
        <v>0</v>
      </c>
    </row>
    <row r="302" spans="2:27" ht="12" customHeight="1">
      <c r="B302" s="173" t="s">
        <v>115</v>
      </c>
      <c r="C302" s="154">
        <f>A!B1412</f>
        <v>53.4054</v>
      </c>
      <c r="D302" s="180" t="str">
        <f>A!C1412</f>
        <v>30-Apr</v>
      </c>
      <c r="E302" s="164">
        <f>A!D1412</f>
        <v>15</v>
      </c>
      <c r="F302" s="380"/>
      <c r="G302" s="176"/>
      <c r="H302" s="164"/>
      <c r="I302" s="380"/>
      <c r="J302" s="176"/>
      <c r="K302" s="164"/>
      <c r="L302" s="380">
        <f>A!K1412</f>
        <v>53.425645627470601</v>
      </c>
      <c r="M302" s="176" t="str">
        <f>A!L1412</f>
        <v>04/30</v>
      </c>
      <c r="N302" s="164" t="str">
        <f>A!M1412</f>
        <v>04:00</v>
      </c>
      <c r="O302" s="380">
        <f>A!N1412</f>
        <v>54</v>
      </c>
      <c r="P302" s="176">
        <f>A!O1412</f>
        <v>278</v>
      </c>
      <c r="Q302" s="164">
        <f>A!P1412</f>
        <v>24</v>
      </c>
      <c r="R302" s="380">
        <f>A!Q1412</f>
        <v>52.83</v>
      </c>
      <c r="S302" s="176">
        <f>A!R1412</f>
        <v>37899</v>
      </c>
      <c r="T302" s="164">
        <f>A!S1412</f>
        <v>1</v>
      </c>
      <c r="U302" s="190">
        <f t="shared" si="33"/>
        <v>52.83</v>
      </c>
      <c r="V302" s="159">
        <f t="shared" si="34"/>
        <v>54</v>
      </c>
      <c r="W302" s="27">
        <f t="shared" si="35"/>
        <v>2.1903852366986148E-2</v>
      </c>
      <c r="Y302" s="598">
        <f>A!T1412</f>
        <v>0</v>
      </c>
      <c r="Z302" s="681">
        <f>A!U1412</f>
        <v>0</v>
      </c>
      <c r="AA302" s="673">
        <f>A!V1412</f>
        <v>0</v>
      </c>
    </row>
    <row r="303" spans="2:27" ht="12" customHeight="1">
      <c r="B303" s="173" t="s">
        <v>121</v>
      </c>
      <c r="C303" s="154">
        <f>A!B1413</f>
        <v>52.087899999999998</v>
      </c>
      <c r="D303" s="180" t="str">
        <f>A!C1413</f>
        <v>04-Oct</v>
      </c>
      <c r="E303" s="164">
        <f>A!D1413</f>
        <v>23</v>
      </c>
      <c r="F303" s="380"/>
      <c r="G303" s="176"/>
      <c r="H303" s="164"/>
      <c r="I303" s="380"/>
      <c r="J303" s="176"/>
      <c r="K303" s="164"/>
      <c r="L303" s="380">
        <f>A!K1413</f>
        <v>53.532308617819197</v>
      </c>
      <c r="M303" s="176" t="str">
        <f>A!L1413</f>
        <v>05/04</v>
      </c>
      <c r="N303" s="164" t="str">
        <f>A!M1413</f>
        <v>04:00</v>
      </c>
      <c r="O303" s="380">
        <f>A!N1413</f>
        <v>54</v>
      </c>
      <c r="P303" s="176">
        <f>A!O1413</f>
        <v>278</v>
      </c>
      <c r="Q303" s="164">
        <f>A!P1413</f>
        <v>23</v>
      </c>
      <c r="R303" s="380">
        <f>A!Q1413</f>
        <v>53.15</v>
      </c>
      <c r="S303" s="176">
        <f>A!R1413</f>
        <v>37745</v>
      </c>
      <c r="T303" s="164">
        <f>A!S1413</f>
        <v>4</v>
      </c>
      <c r="U303" s="190">
        <f t="shared" si="33"/>
        <v>52.087899999999998</v>
      </c>
      <c r="V303" s="159">
        <f t="shared" si="34"/>
        <v>54</v>
      </c>
      <c r="W303" s="27">
        <f t="shared" si="35"/>
        <v>3.5946761765591778E-2</v>
      </c>
      <c r="Y303" s="598">
        <f>A!T1413</f>
        <v>0</v>
      </c>
      <c r="Z303" s="681">
        <f>A!U1413</f>
        <v>0</v>
      </c>
      <c r="AA303" s="673">
        <f>A!V1413</f>
        <v>0</v>
      </c>
    </row>
    <row r="304" spans="2:27" ht="12" customHeight="1">
      <c r="B304" s="173" t="s">
        <v>125</v>
      </c>
      <c r="C304" s="154">
        <f>A!B1414</f>
        <v>61.267899999999997</v>
      </c>
      <c r="D304" s="180" t="str">
        <f>A!C1414</f>
        <v>25-Nov</v>
      </c>
      <c r="E304" s="164">
        <f>A!D1414</f>
        <v>24</v>
      </c>
      <c r="F304" s="380"/>
      <c r="G304" s="176"/>
      <c r="H304" s="164"/>
      <c r="I304" s="380"/>
      <c r="J304" s="176"/>
      <c r="K304" s="164"/>
      <c r="L304" s="380">
        <f>A!K1414</f>
        <v>61.193828890151202</v>
      </c>
      <c r="M304" s="176" t="str">
        <f>A!L1414</f>
        <v>11/10</v>
      </c>
      <c r="N304" s="164" t="str">
        <f>A!M1414</f>
        <v>04:00</v>
      </c>
      <c r="O304" s="380">
        <f>A!N1414</f>
        <v>61</v>
      </c>
      <c r="P304" s="176">
        <f>A!O1414</f>
        <v>332</v>
      </c>
      <c r="Q304" s="164">
        <f>A!P1414</f>
        <v>22</v>
      </c>
      <c r="R304" s="380">
        <f>A!Q1414</f>
        <v>61.9</v>
      </c>
      <c r="S304" s="176">
        <f>A!R1414</f>
        <v>37822</v>
      </c>
      <c r="T304" s="164">
        <f>A!S1414</f>
        <v>15</v>
      </c>
      <c r="U304" s="190">
        <f t="shared" si="33"/>
        <v>61</v>
      </c>
      <c r="V304" s="159">
        <f t="shared" si="34"/>
        <v>61.9</v>
      </c>
      <c r="W304" s="27">
        <f t="shared" si="35"/>
        <v>1.4672214840855314E-2</v>
      </c>
      <c r="Y304" s="598">
        <f>A!T1414</f>
        <v>0</v>
      </c>
      <c r="Z304" s="681">
        <f>A!U1414</f>
        <v>0</v>
      </c>
      <c r="AA304" s="673">
        <f>A!V1414</f>
        <v>0</v>
      </c>
    </row>
    <row r="305" spans="2:27" ht="12" customHeight="1">
      <c r="B305" s="173" t="s">
        <v>127</v>
      </c>
      <c r="C305" s="154">
        <f>A!B1415</f>
        <v>58.505400000000002</v>
      </c>
      <c r="D305" s="180" t="str">
        <f>A!C1415</f>
        <v>30-Apr</v>
      </c>
      <c r="E305" s="164">
        <f>A!D1415</f>
        <v>15</v>
      </c>
      <c r="F305" s="380"/>
      <c r="G305" s="176"/>
      <c r="H305" s="164"/>
      <c r="I305" s="380"/>
      <c r="J305" s="176"/>
      <c r="K305" s="164"/>
      <c r="L305" s="380">
        <f>A!K1415</f>
        <v>57.830846720422201</v>
      </c>
      <c r="M305" s="176" t="str">
        <f>A!L1415</f>
        <v>04/30</v>
      </c>
      <c r="N305" s="164" t="str">
        <f>A!M1415</f>
        <v>04:00</v>
      </c>
      <c r="O305" s="380">
        <f>A!N1415</f>
        <v>60</v>
      </c>
      <c r="P305" s="176">
        <f>A!O1415</f>
        <v>278</v>
      </c>
      <c r="Q305" s="164">
        <f>A!P1415</f>
        <v>23</v>
      </c>
      <c r="R305" s="380">
        <f>A!Q1415</f>
        <v>57.97</v>
      </c>
      <c r="S305" s="176">
        <f>A!R1415</f>
        <v>37899</v>
      </c>
      <c r="T305" s="164">
        <f>A!S1415</f>
        <v>1</v>
      </c>
      <c r="U305" s="190">
        <f t="shared" si="33"/>
        <v>57.830846720422201</v>
      </c>
      <c r="V305" s="159">
        <f t="shared" si="34"/>
        <v>60</v>
      </c>
      <c r="W305" s="27">
        <f t="shared" si="35"/>
        <v>3.7031078939454239E-2</v>
      </c>
      <c r="Y305" s="598">
        <f>A!T1415</f>
        <v>0</v>
      </c>
      <c r="Z305" s="681">
        <f>A!U1415</f>
        <v>0</v>
      </c>
      <c r="AA305" s="673">
        <f>A!V1415</f>
        <v>0</v>
      </c>
    </row>
    <row r="306" spans="2:27" ht="12" customHeight="1">
      <c r="B306" s="173" t="s">
        <v>130</v>
      </c>
      <c r="C306" s="154">
        <f>A!B1416</f>
        <v>45.528399999999998</v>
      </c>
      <c r="D306" s="180" t="str">
        <f>A!C1416</f>
        <v>30-Apr</v>
      </c>
      <c r="E306" s="164">
        <f>A!D1416</f>
        <v>15</v>
      </c>
      <c r="F306" s="380"/>
      <c r="G306" s="176"/>
      <c r="H306" s="164"/>
      <c r="I306" s="380"/>
      <c r="J306" s="176"/>
      <c r="K306" s="164"/>
      <c r="L306" s="380">
        <f>A!K1416</f>
        <v>46.106284792351403</v>
      </c>
      <c r="M306" s="176" t="str">
        <f>A!L1416</f>
        <v>10/05</v>
      </c>
      <c r="N306" s="164" t="str">
        <f>A!M1416</f>
        <v>02:00</v>
      </c>
      <c r="O306" s="380">
        <f>A!N1416</f>
        <v>44</v>
      </c>
      <c r="P306" s="176">
        <f>A!O1416</f>
        <v>125</v>
      </c>
      <c r="Q306" s="164">
        <f>A!P1416</f>
        <v>4</v>
      </c>
      <c r="R306" s="380">
        <f>A!Q1416</f>
        <v>44.4</v>
      </c>
      <c r="S306" s="176">
        <f>A!R1416</f>
        <v>37899</v>
      </c>
      <c r="T306" s="164">
        <f>A!S1416</f>
        <v>1</v>
      </c>
      <c r="U306" s="190">
        <f t="shared" si="33"/>
        <v>44</v>
      </c>
      <c r="V306" s="159">
        <f t="shared" si="34"/>
        <v>46.106284792351403</v>
      </c>
      <c r="W306" s="27">
        <f t="shared" si="35"/>
        <v>4.6797311191024142E-2</v>
      </c>
      <c r="Y306" s="598">
        <f>A!T1416</f>
        <v>0</v>
      </c>
      <c r="Z306" s="681">
        <f>A!U1416</f>
        <v>0</v>
      </c>
      <c r="AA306" s="673">
        <f>A!V1416</f>
        <v>0</v>
      </c>
    </row>
    <row r="307" spans="2:27" ht="12" customHeight="1">
      <c r="B307" s="173" t="s">
        <v>132</v>
      </c>
      <c r="C307" s="154">
        <f>A!B1417</f>
        <v>29.593399999999999</v>
      </c>
      <c r="D307" s="180" t="str">
        <f>A!C1417</f>
        <v>04-Jun</v>
      </c>
      <c r="E307" s="164">
        <f>A!D1417</f>
        <v>15</v>
      </c>
      <c r="F307" s="380"/>
      <c r="G307" s="176"/>
      <c r="H307" s="164"/>
      <c r="I307" s="380"/>
      <c r="J307" s="176"/>
      <c r="K307" s="164"/>
      <c r="L307" s="380">
        <f>A!K1417</f>
        <v>32.561286935521203</v>
      </c>
      <c r="M307" s="176" t="str">
        <f>A!L1417</f>
        <v>04/18</v>
      </c>
      <c r="N307" s="164" t="str">
        <f>A!M1417</f>
        <v>18:00</v>
      </c>
      <c r="O307" s="380">
        <f>A!N1417</f>
        <v>28</v>
      </c>
      <c r="P307" s="176">
        <f>A!O1417</f>
        <v>92</v>
      </c>
      <c r="Q307" s="164">
        <f>A!P1417</f>
        <v>10</v>
      </c>
      <c r="R307" s="380">
        <f>A!Q1417</f>
        <v>33.68</v>
      </c>
      <c r="S307" s="176">
        <f>A!R1417</f>
        <v>37712</v>
      </c>
      <c r="T307" s="164">
        <f>A!S1417</f>
        <v>13</v>
      </c>
      <c r="U307" s="190">
        <f t="shared" si="33"/>
        <v>28</v>
      </c>
      <c r="V307" s="159">
        <f t="shared" si="34"/>
        <v>33.68</v>
      </c>
      <c r="W307" s="27">
        <f t="shared" si="35"/>
        <v>0.18347040366670406</v>
      </c>
      <c r="Y307" s="598">
        <f>A!T1417</f>
        <v>0</v>
      </c>
      <c r="Z307" s="681">
        <f>A!U1417</f>
        <v>0</v>
      </c>
      <c r="AA307" s="673">
        <f>A!V1417</f>
        <v>0</v>
      </c>
    </row>
    <row r="308" spans="2:27" ht="12" customHeight="1">
      <c r="B308" s="173" t="s">
        <v>135</v>
      </c>
      <c r="C308" s="154">
        <f>A!B1418</f>
        <v>36.474899999999998</v>
      </c>
      <c r="D308" s="180" t="str">
        <f>A!C1418</f>
        <v>21-Sep</v>
      </c>
      <c r="E308" s="164">
        <f>A!D1418</f>
        <v>16</v>
      </c>
      <c r="F308" s="380"/>
      <c r="G308" s="176"/>
      <c r="H308" s="164"/>
      <c r="I308" s="380"/>
      <c r="J308" s="176"/>
      <c r="K308" s="164"/>
      <c r="L308" s="380">
        <f>A!K1418</f>
        <v>35.847455780388898</v>
      </c>
      <c r="M308" s="176" t="str">
        <f>A!L1418</f>
        <v>09/28</v>
      </c>
      <c r="N308" s="164" t="str">
        <f>A!M1418</f>
        <v>18:00</v>
      </c>
      <c r="O308" s="380">
        <f>A!N1418</f>
        <v>31</v>
      </c>
      <c r="P308" s="176">
        <f>A!O1418</f>
        <v>92</v>
      </c>
      <c r="Q308" s="164">
        <f>A!P1418</f>
        <v>1</v>
      </c>
      <c r="R308" s="380">
        <f>A!Q1418</f>
        <v>39.74</v>
      </c>
      <c r="S308" s="176">
        <f>A!R1418</f>
        <v>37899</v>
      </c>
      <c r="T308" s="164">
        <f>A!S1418</f>
        <v>1</v>
      </c>
      <c r="U308" s="190">
        <f t="shared" si="33"/>
        <v>31</v>
      </c>
      <c r="V308" s="159">
        <f t="shared" si="34"/>
        <v>39.74</v>
      </c>
      <c r="W308" s="27">
        <f t="shared" si="35"/>
        <v>0.24436896631050967</v>
      </c>
      <c r="Y308" s="598">
        <f>A!T1418</f>
        <v>0</v>
      </c>
      <c r="Z308" s="681">
        <f>A!U1418</f>
        <v>0</v>
      </c>
      <c r="AA308" s="673">
        <f>A!V1418</f>
        <v>0</v>
      </c>
    </row>
    <row r="309" spans="2:27" ht="12" customHeight="1" thickBot="1">
      <c r="B309" s="174" t="s">
        <v>138</v>
      </c>
      <c r="C309" s="158">
        <f>A!B1419</f>
        <v>17.124400000000001</v>
      </c>
      <c r="D309" s="385" t="str">
        <f>A!C1419</f>
        <v>20-Jul</v>
      </c>
      <c r="E309" s="167">
        <f>A!D1419</f>
        <v>15</v>
      </c>
      <c r="F309" s="386"/>
      <c r="G309" s="182"/>
      <c r="H309" s="167"/>
      <c r="I309" s="386"/>
      <c r="J309" s="182"/>
      <c r="K309" s="167"/>
      <c r="L309" s="609">
        <f>A!K1419</f>
        <v>19.246742663165101</v>
      </c>
      <c r="M309" s="610" t="str">
        <f>A!L1419</f>
        <v>04/18</v>
      </c>
      <c r="N309" s="611" t="str">
        <f>A!M1419</f>
        <v>17:00</v>
      </c>
      <c r="O309" s="609">
        <f>A!N1419</f>
        <v>19</v>
      </c>
      <c r="P309" s="610">
        <f>A!O1419</f>
        <v>92</v>
      </c>
      <c r="Q309" s="611">
        <f>A!P1419</f>
        <v>10</v>
      </c>
      <c r="R309" s="609">
        <f>A!Q1419</f>
        <v>20.14</v>
      </c>
      <c r="S309" s="610">
        <f>A!R1419</f>
        <v>37712</v>
      </c>
      <c r="T309" s="611">
        <f>A!S1419</f>
        <v>12</v>
      </c>
      <c r="U309" s="191">
        <f t="shared" si="33"/>
        <v>17.124400000000001</v>
      </c>
      <c r="V309" s="163">
        <f t="shared" si="34"/>
        <v>20.14</v>
      </c>
      <c r="W309" s="30">
        <f t="shared" si="35"/>
        <v>0.15974331170973161</v>
      </c>
      <c r="Y309" s="598">
        <f>A!T1419</f>
        <v>0</v>
      </c>
      <c r="Z309" s="681">
        <f>A!U1419</f>
        <v>0</v>
      </c>
      <c r="AA309" s="673">
        <f>A!V1419</f>
        <v>0</v>
      </c>
    </row>
    <row r="310" spans="2:27" ht="12" customHeight="1" thickTop="1">
      <c r="D310" s="49"/>
      <c r="E310" s="116"/>
      <c r="H310" s="116"/>
      <c r="J310" s="106"/>
      <c r="K310" s="376" t="s">
        <v>554</v>
      </c>
      <c r="M310" s="106"/>
      <c r="N310" s="116"/>
      <c r="P310" s="106"/>
      <c r="Q310" s="116"/>
      <c r="R310" s="116"/>
      <c r="S310" s="116"/>
      <c r="T310" s="116"/>
      <c r="U310" s="95"/>
      <c r="V310" s="95"/>
      <c r="Y310" s="676"/>
      <c r="Z310" s="681"/>
      <c r="AA310" s="673"/>
    </row>
    <row r="311" spans="2:27" ht="12" customHeight="1">
      <c r="D311" s="49"/>
      <c r="E311" s="116"/>
      <c r="H311" s="116"/>
      <c r="K311" s="116"/>
      <c r="M311" s="106"/>
      <c r="N311" s="116"/>
      <c r="P311" s="106"/>
      <c r="Q311" s="116"/>
      <c r="R311" s="116"/>
      <c r="S311" s="116"/>
      <c r="T311" s="116"/>
      <c r="U311" s="95"/>
      <c r="V311" s="95"/>
      <c r="Y311" s="676"/>
      <c r="Z311" s="681"/>
      <c r="AA311" s="673"/>
    </row>
    <row r="312" spans="2:27" ht="12" customHeight="1">
      <c r="D312" s="49"/>
      <c r="E312" s="116"/>
      <c r="H312" s="116"/>
      <c r="K312" s="116"/>
      <c r="M312" s="106"/>
      <c r="N312" s="116"/>
      <c r="P312" s="106"/>
      <c r="Q312" s="116"/>
      <c r="R312" s="116"/>
      <c r="S312" s="116"/>
      <c r="T312" s="116"/>
      <c r="U312" s="95"/>
      <c r="V312" s="95"/>
      <c r="Y312" s="676"/>
      <c r="Z312" s="681"/>
      <c r="AA312" s="673"/>
    </row>
    <row r="313" spans="2:27" ht="12" customHeight="1">
      <c r="D313" s="49"/>
      <c r="E313" s="116"/>
      <c r="H313" s="116"/>
      <c r="K313" s="116"/>
      <c r="M313" s="106"/>
      <c r="N313" s="116"/>
      <c r="P313" s="106"/>
      <c r="Q313" s="116"/>
      <c r="R313" s="116"/>
      <c r="S313" s="116"/>
      <c r="T313" s="116"/>
      <c r="U313" s="95"/>
      <c r="V313" s="95"/>
      <c r="Y313" s="676"/>
      <c r="Z313" s="681"/>
      <c r="AA313" s="673"/>
    </row>
    <row r="314" spans="2:27" ht="12" customHeight="1">
      <c r="D314" s="49"/>
      <c r="E314" s="116"/>
      <c r="H314" s="116"/>
      <c r="K314" s="116"/>
      <c r="M314" s="106"/>
      <c r="N314" s="116"/>
      <c r="P314" s="106"/>
      <c r="Q314" s="116"/>
      <c r="R314" s="116"/>
      <c r="S314" s="116"/>
      <c r="T314" s="116"/>
      <c r="U314" s="95"/>
      <c r="V314" s="95"/>
      <c r="Y314" s="676"/>
      <c r="Z314" s="681"/>
      <c r="AA314" s="673"/>
    </row>
    <row r="315" spans="2:27" ht="12" customHeight="1">
      <c r="D315" s="49"/>
      <c r="E315" s="116"/>
      <c r="H315" s="116"/>
      <c r="K315" s="116"/>
      <c r="M315" s="106"/>
      <c r="N315" s="116"/>
      <c r="P315" s="106"/>
      <c r="Q315" s="116"/>
      <c r="R315" s="116"/>
      <c r="S315" s="116"/>
      <c r="T315" s="116"/>
      <c r="U315" s="95"/>
      <c r="V315" s="95"/>
      <c r="Y315" s="676"/>
      <c r="Z315" s="681"/>
      <c r="AA315" s="673"/>
    </row>
    <row r="316" spans="2:27" ht="12" customHeight="1">
      <c r="D316" s="49"/>
      <c r="E316" s="116"/>
      <c r="H316" s="116"/>
      <c r="K316" s="116"/>
      <c r="M316" s="106"/>
      <c r="N316" s="116"/>
      <c r="P316" s="106"/>
      <c r="Q316" s="116"/>
      <c r="R316" s="116"/>
      <c r="S316" s="116"/>
      <c r="T316" s="116"/>
      <c r="U316" s="95"/>
      <c r="V316" s="95"/>
      <c r="Y316" s="676"/>
      <c r="Z316" s="681"/>
      <c r="AA316" s="673"/>
    </row>
    <row r="317" spans="2:27" ht="12" customHeight="1">
      <c r="D317" s="49"/>
      <c r="E317" s="116"/>
      <c r="H317" s="116"/>
      <c r="K317" s="116"/>
      <c r="M317" s="106"/>
      <c r="N317" s="116"/>
      <c r="P317" s="106"/>
      <c r="Q317" s="116"/>
      <c r="R317" s="116"/>
      <c r="S317" s="116"/>
      <c r="T317" s="116"/>
      <c r="U317" s="95"/>
      <c r="V317" s="95"/>
      <c r="Y317" s="676"/>
      <c r="Z317" s="681"/>
      <c r="AA317" s="673"/>
    </row>
    <row r="318" spans="2:27" ht="12" customHeight="1">
      <c r="D318" s="49"/>
      <c r="E318" s="116"/>
      <c r="H318" s="116"/>
      <c r="K318" s="116"/>
      <c r="M318" s="106"/>
      <c r="N318" s="116"/>
      <c r="P318" s="106"/>
      <c r="Q318" s="116"/>
      <c r="R318" s="116"/>
      <c r="S318" s="116"/>
      <c r="T318" s="116"/>
      <c r="U318" s="95"/>
      <c r="V318" s="95"/>
      <c r="Y318" s="676"/>
      <c r="Z318" s="681"/>
      <c r="AA318" s="673"/>
    </row>
    <row r="319" spans="2:27" ht="12" customHeight="1">
      <c r="D319" s="49"/>
      <c r="E319" s="116"/>
      <c r="H319" s="116"/>
      <c r="K319" s="116"/>
      <c r="M319" s="106"/>
      <c r="N319" s="116"/>
      <c r="P319" s="106"/>
      <c r="Q319" s="116"/>
      <c r="R319" s="116"/>
      <c r="S319" s="116"/>
      <c r="T319" s="116"/>
      <c r="U319" s="95"/>
      <c r="V319" s="95"/>
      <c r="Y319" s="676"/>
      <c r="Z319" s="681"/>
      <c r="AA319" s="673"/>
    </row>
    <row r="320" spans="2:27" ht="12" customHeight="1">
      <c r="D320" s="49"/>
      <c r="E320" s="116"/>
      <c r="H320" s="116"/>
      <c r="K320" s="116"/>
      <c r="M320" s="106"/>
      <c r="N320" s="116"/>
      <c r="P320" s="106"/>
      <c r="Q320" s="116"/>
      <c r="R320" s="116"/>
      <c r="S320" s="116"/>
      <c r="T320" s="116"/>
      <c r="U320" s="95"/>
      <c r="V320" s="95"/>
      <c r="Y320" s="676"/>
      <c r="Z320" s="681"/>
      <c r="AA320" s="673"/>
    </row>
    <row r="321" spans="4:27" ht="12" customHeight="1">
      <c r="D321" s="49"/>
      <c r="E321" s="116"/>
      <c r="H321" s="116"/>
      <c r="K321" s="116"/>
      <c r="M321" s="106"/>
      <c r="N321" s="116"/>
      <c r="P321" s="106"/>
      <c r="Q321" s="116"/>
      <c r="R321" s="116"/>
      <c r="S321" s="116"/>
      <c r="T321" s="116"/>
      <c r="U321" s="95"/>
      <c r="V321" s="95"/>
      <c r="Y321" s="676"/>
      <c r="Z321" s="681"/>
      <c r="AA321" s="673"/>
    </row>
    <row r="322" spans="4:27" ht="12" customHeight="1">
      <c r="D322" s="49"/>
      <c r="E322" s="116"/>
      <c r="H322" s="116"/>
      <c r="K322" s="116"/>
      <c r="M322" s="106"/>
      <c r="N322" s="116"/>
      <c r="P322" s="106"/>
      <c r="Q322" s="116"/>
      <c r="R322" s="116"/>
      <c r="S322" s="116"/>
      <c r="T322" s="116"/>
      <c r="U322" s="95"/>
      <c r="V322" s="95"/>
      <c r="Y322" s="676"/>
      <c r="Z322" s="681"/>
      <c r="AA322" s="673"/>
    </row>
    <row r="323" spans="4:27" ht="12" customHeight="1">
      <c r="D323" s="49"/>
      <c r="E323" s="116"/>
      <c r="H323" s="116"/>
      <c r="K323" s="116"/>
      <c r="M323" s="106"/>
      <c r="N323" s="116"/>
      <c r="P323" s="106"/>
      <c r="Q323" s="116"/>
      <c r="R323" s="116"/>
      <c r="S323" s="116"/>
      <c r="T323" s="116"/>
      <c r="Y323" s="676"/>
      <c r="Z323" s="681"/>
      <c r="AA323" s="673"/>
    </row>
    <row r="324" spans="4:27" ht="12" customHeight="1">
      <c r="D324" s="49"/>
      <c r="E324" s="116"/>
      <c r="H324" s="116"/>
      <c r="K324" s="116"/>
      <c r="M324" s="106"/>
      <c r="N324" s="116"/>
      <c r="P324" s="106"/>
      <c r="Q324" s="116"/>
      <c r="R324" s="116"/>
      <c r="S324" s="116"/>
      <c r="T324" s="116"/>
      <c r="Y324" s="676"/>
      <c r="Z324" s="681"/>
      <c r="AA324" s="673"/>
    </row>
    <row r="325" spans="4:27" ht="12" customHeight="1">
      <c r="D325" s="49"/>
      <c r="E325" s="116"/>
      <c r="H325" s="116"/>
      <c r="K325" s="116"/>
      <c r="M325" s="106"/>
      <c r="N325" s="116"/>
      <c r="P325" s="106"/>
      <c r="Q325" s="116"/>
      <c r="R325" s="116"/>
      <c r="S325" s="116"/>
      <c r="T325" s="116"/>
      <c r="Y325" s="676"/>
      <c r="Z325" s="681"/>
      <c r="AA325" s="673"/>
    </row>
    <row r="326" spans="4:27" ht="12" customHeight="1">
      <c r="D326" s="49"/>
      <c r="E326" s="116"/>
      <c r="H326" s="116"/>
      <c r="K326" s="116"/>
      <c r="M326" s="106"/>
      <c r="N326" s="116"/>
      <c r="P326" s="106"/>
      <c r="Q326" s="116"/>
      <c r="R326" s="116"/>
      <c r="S326" s="116"/>
      <c r="T326" s="116"/>
      <c r="Y326" s="676"/>
      <c r="Z326" s="681"/>
      <c r="AA326" s="673"/>
    </row>
    <row r="327" spans="4:27" ht="12" customHeight="1">
      <c r="D327" s="49"/>
      <c r="E327" s="116"/>
      <c r="H327" s="116"/>
      <c r="K327" s="116"/>
      <c r="M327" s="106"/>
      <c r="N327" s="116"/>
      <c r="Q327" s="116"/>
      <c r="R327" s="116"/>
      <c r="S327" s="116"/>
      <c r="T327" s="116"/>
      <c r="Y327" s="676"/>
      <c r="Z327" s="681"/>
      <c r="AA327" s="673"/>
    </row>
    <row r="328" spans="4:27" ht="12" customHeight="1">
      <c r="D328" s="49"/>
      <c r="E328" s="116"/>
      <c r="H328" s="116"/>
      <c r="K328" s="116"/>
      <c r="M328" s="106"/>
      <c r="N328" s="116"/>
      <c r="Y328" s="676"/>
      <c r="Z328" s="681"/>
      <c r="AA328" s="673"/>
    </row>
    <row r="329" spans="4:27" ht="12" customHeight="1">
      <c r="D329" s="49"/>
      <c r="E329" s="116"/>
      <c r="H329" s="116"/>
      <c r="K329" s="116"/>
      <c r="M329" s="106"/>
      <c r="N329" s="116"/>
      <c r="Y329" s="676"/>
      <c r="Z329" s="681"/>
      <c r="AA329" s="673"/>
    </row>
    <row r="330" spans="4:27" ht="12" customHeight="1">
      <c r="D330" s="49"/>
      <c r="E330" s="116"/>
      <c r="H330" s="116"/>
      <c r="K330" s="116"/>
      <c r="M330" s="106"/>
      <c r="N330" s="116"/>
      <c r="Y330" s="676"/>
      <c r="Z330" s="681"/>
      <c r="AA330" s="673"/>
    </row>
    <row r="331" spans="4:27" ht="12" customHeight="1">
      <c r="E331" s="116"/>
      <c r="H331" s="116"/>
      <c r="K331" s="116"/>
      <c r="M331" s="106"/>
      <c r="N331" s="116"/>
      <c r="Y331" s="676"/>
      <c r="Z331" s="681"/>
      <c r="AA331" s="673"/>
    </row>
    <row r="332" spans="4:27" ht="12" customHeight="1">
      <c r="E332" s="116"/>
      <c r="H332" s="116"/>
      <c r="K332" s="116"/>
      <c r="M332" s="106"/>
      <c r="N332" s="116"/>
      <c r="Y332" s="676"/>
      <c r="Z332" s="681"/>
      <c r="AA332" s="673"/>
    </row>
    <row r="333" spans="4:27" ht="12" customHeight="1">
      <c r="E333" s="116"/>
      <c r="H333" s="116"/>
      <c r="K333" s="116"/>
      <c r="M333" s="106"/>
      <c r="N333" s="116"/>
      <c r="Y333" s="676"/>
      <c r="Z333" s="681"/>
      <c r="AA333" s="673"/>
    </row>
    <row r="334" spans="4:27" ht="12" customHeight="1">
      <c r="E334" s="116"/>
      <c r="H334" s="116"/>
      <c r="K334" s="116"/>
      <c r="M334" s="106"/>
      <c r="N334" s="116"/>
      <c r="Y334" s="676"/>
      <c r="Z334" s="681"/>
      <c r="AA334" s="673"/>
    </row>
    <row r="335" spans="4:27" ht="12" customHeight="1">
      <c r="E335" s="116"/>
      <c r="K335" s="116"/>
      <c r="M335" s="106"/>
      <c r="N335" s="116"/>
      <c r="Y335" s="676"/>
      <c r="Z335" s="681"/>
      <c r="AA335" s="673"/>
    </row>
    <row r="336" spans="4:27" ht="12" customHeight="1">
      <c r="E336" s="116"/>
      <c r="K336" s="116"/>
      <c r="M336" s="106"/>
      <c r="N336" s="116"/>
      <c r="Y336" s="676"/>
      <c r="Z336" s="681"/>
      <c r="AA336" s="673"/>
    </row>
    <row r="337" spans="5:27" ht="12" customHeight="1">
      <c r="E337" s="116"/>
      <c r="K337" s="116"/>
      <c r="M337" s="106"/>
      <c r="N337" s="116"/>
      <c r="Y337" s="676"/>
      <c r="Z337" s="681"/>
      <c r="AA337" s="673"/>
    </row>
    <row r="338" spans="5:27" ht="12" customHeight="1">
      <c r="E338" s="116"/>
      <c r="K338" s="116"/>
      <c r="M338" s="106"/>
      <c r="N338" s="116"/>
      <c r="Y338" s="676"/>
      <c r="Z338" s="681"/>
      <c r="AA338" s="673"/>
    </row>
    <row r="339" spans="5:27" ht="12" customHeight="1">
      <c r="E339" s="116"/>
      <c r="K339" s="116"/>
      <c r="M339" s="106"/>
      <c r="N339" s="116"/>
      <c r="Y339" s="676"/>
      <c r="Z339" s="681"/>
      <c r="AA339" s="673"/>
    </row>
    <row r="340" spans="5:27" ht="12" customHeight="1">
      <c r="E340" s="116"/>
      <c r="K340" s="116"/>
      <c r="M340" s="106"/>
      <c r="N340" s="116"/>
      <c r="Y340" s="676"/>
      <c r="Z340" s="681"/>
      <c r="AA340" s="673"/>
    </row>
    <row r="341" spans="5:27" ht="12" customHeight="1">
      <c r="E341" s="116"/>
      <c r="K341" s="116"/>
      <c r="M341" s="106"/>
      <c r="N341" s="116"/>
      <c r="Y341" s="676"/>
      <c r="Z341" s="681"/>
      <c r="AA341" s="673"/>
    </row>
    <row r="342" spans="5:27" ht="12" customHeight="1">
      <c r="E342" s="116"/>
      <c r="K342" s="116"/>
      <c r="M342" s="106"/>
      <c r="N342" s="116"/>
      <c r="Y342" s="676"/>
      <c r="Z342" s="681"/>
      <c r="AA342" s="673"/>
    </row>
    <row r="343" spans="5:27" ht="12" customHeight="1">
      <c r="E343" s="116"/>
      <c r="K343" s="116"/>
      <c r="M343" s="106"/>
      <c r="N343" s="116"/>
      <c r="Y343" s="676"/>
      <c r="Z343" s="681"/>
      <c r="AA343" s="673"/>
    </row>
    <row r="344" spans="5:27" ht="12" customHeight="1">
      <c r="E344" s="116"/>
      <c r="K344" s="116"/>
      <c r="N344" s="116"/>
      <c r="Y344" s="676"/>
      <c r="Z344" s="681"/>
      <c r="AA344" s="673"/>
    </row>
    <row r="345" spans="5:27" ht="12" customHeight="1">
      <c r="E345" s="116"/>
      <c r="K345" s="116"/>
      <c r="N345" s="116"/>
      <c r="Y345" s="676"/>
      <c r="Z345" s="681"/>
      <c r="AA345" s="673"/>
    </row>
    <row r="346" spans="5:27" ht="12" customHeight="1">
      <c r="E346" s="116"/>
      <c r="K346" s="116"/>
      <c r="N346" s="116"/>
      <c r="Y346" s="676"/>
      <c r="Z346" s="681"/>
      <c r="AA346" s="673"/>
    </row>
    <row r="347" spans="5:27" ht="12" customHeight="1">
      <c r="K347" s="116"/>
      <c r="N347" s="116"/>
      <c r="Y347" s="676"/>
      <c r="Z347" s="681"/>
      <c r="AA347" s="673"/>
    </row>
    <row r="348" spans="5:27" ht="12" customHeight="1">
      <c r="K348" s="116"/>
      <c r="N348" s="116"/>
      <c r="Y348" s="676"/>
      <c r="Z348" s="681"/>
      <c r="AA348" s="673"/>
    </row>
    <row r="349" spans="5:27" ht="12" customHeight="1">
      <c r="K349" s="116"/>
      <c r="N349" s="116"/>
      <c r="Y349" s="676"/>
      <c r="Z349" s="681"/>
      <c r="AA349" s="673"/>
    </row>
    <row r="350" spans="5:27" ht="12" customHeight="1">
      <c r="K350" s="116"/>
      <c r="N350" s="116"/>
      <c r="Y350" s="116"/>
      <c r="Z350" s="106"/>
    </row>
    <row r="351" spans="5:27" ht="12" customHeight="1">
      <c r="K351" s="116"/>
      <c r="N351" s="116"/>
      <c r="Y351" s="116"/>
      <c r="Z351" s="106"/>
    </row>
    <row r="352" spans="5:27" ht="12" customHeight="1">
      <c r="K352" s="116"/>
      <c r="N352" s="116"/>
      <c r="Y352" s="116"/>
      <c r="Z352" s="106"/>
    </row>
    <row r="353" spans="11:26" ht="12" customHeight="1">
      <c r="K353" s="116"/>
      <c r="N353" s="116"/>
      <c r="Y353" s="116"/>
      <c r="Z353" s="106"/>
    </row>
    <row r="354" spans="11:26" ht="12" customHeight="1">
      <c r="K354" s="116"/>
      <c r="N354" s="116"/>
      <c r="Y354" s="116"/>
      <c r="Z354" s="106"/>
    </row>
    <row r="355" spans="11:26" ht="12" customHeight="1">
      <c r="K355" s="116"/>
      <c r="N355" s="116"/>
      <c r="Y355" s="116"/>
      <c r="Z355" s="106"/>
    </row>
    <row r="356" spans="11:26" ht="12" customHeight="1">
      <c r="K356" s="116"/>
      <c r="N356" s="116"/>
      <c r="Y356" s="116"/>
      <c r="Z356" s="106"/>
    </row>
    <row r="357" spans="11:26" ht="12" customHeight="1">
      <c r="K357" s="116"/>
      <c r="N357" s="116"/>
      <c r="Y357" s="116"/>
      <c r="Z357" s="106"/>
    </row>
    <row r="358" spans="11:26" ht="12" customHeight="1">
      <c r="K358" s="116"/>
      <c r="N358" s="116"/>
      <c r="Y358" s="116"/>
      <c r="Z358" s="106"/>
    </row>
    <row r="359" spans="11:26" ht="12" customHeight="1">
      <c r="K359" s="116"/>
      <c r="N359" s="116"/>
      <c r="Y359" s="116"/>
      <c r="Z359" s="106"/>
    </row>
    <row r="360" spans="11:26" ht="12" customHeight="1">
      <c r="K360" s="116"/>
      <c r="N360" s="116"/>
      <c r="Y360" s="116"/>
      <c r="Z360" s="106"/>
    </row>
    <row r="361" spans="11:26" ht="12" customHeight="1">
      <c r="K361" s="116"/>
      <c r="N361" s="116"/>
      <c r="Y361" s="116"/>
      <c r="Z361" s="106"/>
    </row>
    <row r="362" spans="11:26" ht="12" customHeight="1">
      <c r="K362" s="116"/>
      <c r="N362" s="116"/>
      <c r="Y362" s="116"/>
      <c r="Z362" s="106"/>
    </row>
    <row r="363" spans="11:26" ht="12" customHeight="1">
      <c r="K363" s="116"/>
      <c r="N363" s="116"/>
      <c r="Y363" s="116"/>
      <c r="Z363" s="106"/>
    </row>
    <row r="364" spans="11:26" ht="12" customHeight="1">
      <c r="K364" s="116"/>
      <c r="N364" s="116"/>
      <c r="Y364" s="116"/>
      <c r="Z364" s="106"/>
    </row>
    <row r="365" spans="11:26" ht="12" customHeight="1">
      <c r="K365" s="116"/>
      <c r="N365" s="116"/>
      <c r="Y365" s="116"/>
      <c r="Z365" s="106"/>
    </row>
    <row r="366" spans="11:26" ht="12" customHeight="1">
      <c r="K366" s="116"/>
      <c r="N366" s="116"/>
      <c r="Y366" s="116"/>
      <c r="Z366" s="106"/>
    </row>
    <row r="367" spans="11:26" ht="12" customHeight="1">
      <c r="K367" s="116"/>
      <c r="N367" s="116"/>
      <c r="Y367" s="116"/>
      <c r="Z367" s="106"/>
    </row>
    <row r="368" spans="11:26" ht="12" customHeight="1">
      <c r="K368" s="116"/>
      <c r="N368" s="116"/>
      <c r="Y368" s="116"/>
      <c r="Z368" s="106"/>
    </row>
    <row r="369" spans="11:26" ht="12" customHeight="1">
      <c r="K369" s="116"/>
      <c r="N369" s="116"/>
      <c r="Y369" s="116"/>
      <c r="Z369" s="106"/>
    </row>
    <row r="370" spans="11:26" ht="12" customHeight="1">
      <c r="K370" s="116"/>
      <c r="N370" s="116"/>
      <c r="Y370" s="116"/>
      <c r="Z370" s="106"/>
    </row>
    <row r="371" spans="11:26" ht="12" customHeight="1">
      <c r="K371" s="116"/>
      <c r="N371" s="116"/>
      <c r="Y371" s="116"/>
      <c r="Z371" s="106"/>
    </row>
    <row r="372" spans="11:26" ht="12" customHeight="1">
      <c r="K372" s="116"/>
      <c r="N372" s="116"/>
      <c r="Y372" s="116"/>
      <c r="Z372" s="106"/>
    </row>
    <row r="373" spans="11:26" ht="12" customHeight="1">
      <c r="K373" s="116"/>
      <c r="N373" s="116"/>
      <c r="Y373" s="116"/>
      <c r="Z373" s="106"/>
    </row>
    <row r="374" spans="11:26" ht="12" customHeight="1">
      <c r="K374" s="116"/>
      <c r="N374" s="116"/>
      <c r="Y374" s="116"/>
      <c r="Z374" s="106"/>
    </row>
    <row r="375" spans="11:26" ht="12" customHeight="1">
      <c r="K375" s="116"/>
      <c r="N375" s="116"/>
      <c r="Y375" s="116"/>
      <c r="Z375" s="106"/>
    </row>
    <row r="376" spans="11:26" ht="12" customHeight="1">
      <c r="K376" s="116"/>
      <c r="N376" s="116"/>
      <c r="Y376" s="116"/>
      <c r="Z376" s="106"/>
    </row>
    <row r="377" spans="11:26" ht="12" customHeight="1">
      <c r="K377" s="116"/>
      <c r="N377" s="116"/>
      <c r="Y377" s="116"/>
      <c r="Z377" s="106"/>
    </row>
    <row r="378" spans="11:26" ht="12" customHeight="1">
      <c r="K378" s="116"/>
      <c r="N378" s="116"/>
      <c r="Y378" s="116"/>
      <c r="Z378" s="106"/>
    </row>
    <row r="379" spans="11:26" ht="12" customHeight="1">
      <c r="K379" s="116"/>
      <c r="N379" s="116"/>
      <c r="Y379" s="116"/>
      <c r="Z379" s="106"/>
    </row>
    <row r="380" spans="11:26" ht="12" customHeight="1">
      <c r="K380" s="116"/>
      <c r="N380" s="116"/>
      <c r="Y380" s="116"/>
      <c r="Z380" s="106"/>
    </row>
    <row r="381" spans="11:26" ht="12" customHeight="1">
      <c r="K381" s="116"/>
      <c r="N381" s="116"/>
      <c r="Y381" s="116"/>
      <c r="Z381" s="106"/>
    </row>
    <row r="382" spans="11:26" ht="12" customHeight="1">
      <c r="K382" s="116"/>
      <c r="N382" s="116"/>
      <c r="Y382" s="116"/>
      <c r="Z382" s="106"/>
    </row>
    <row r="383" spans="11:26" ht="12" customHeight="1">
      <c r="K383" s="116"/>
      <c r="N383" s="116"/>
      <c r="Y383" s="116"/>
      <c r="Z383" s="106"/>
    </row>
    <row r="384" spans="11:26" ht="12" customHeight="1">
      <c r="K384" s="116"/>
      <c r="N384" s="116"/>
      <c r="Y384" s="116"/>
      <c r="Z384" s="106"/>
    </row>
    <row r="385" spans="11:26" ht="12" customHeight="1">
      <c r="K385" s="116"/>
      <c r="N385" s="116"/>
      <c r="Y385" s="116"/>
      <c r="Z385" s="106"/>
    </row>
    <row r="386" spans="11:26" ht="12" customHeight="1">
      <c r="K386" s="116"/>
      <c r="N386" s="116"/>
      <c r="Y386" s="116"/>
      <c r="Z386" s="106"/>
    </row>
    <row r="387" spans="11:26" ht="12" customHeight="1">
      <c r="K387" s="116"/>
      <c r="N387" s="116"/>
      <c r="Y387" s="116"/>
      <c r="Z387" s="106"/>
    </row>
    <row r="388" spans="11:26" ht="12" customHeight="1">
      <c r="K388" s="116"/>
      <c r="N388" s="116"/>
      <c r="Y388" s="116"/>
      <c r="Z388" s="106"/>
    </row>
    <row r="389" spans="11:26" ht="12" customHeight="1">
      <c r="K389" s="116"/>
      <c r="N389" s="116"/>
      <c r="Y389" s="116"/>
      <c r="Z389" s="106"/>
    </row>
    <row r="390" spans="11:26" ht="12" customHeight="1">
      <c r="K390" s="116"/>
      <c r="N390" s="116"/>
      <c r="Y390" s="116"/>
      <c r="Z390" s="106"/>
    </row>
    <row r="391" spans="11:26" ht="12" customHeight="1">
      <c r="K391" s="116"/>
      <c r="N391" s="116"/>
      <c r="Y391" s="116"/>
      <c r="Z391" s="106"/>
    </row>
    <row r="392" spans="11:26" ht="12" customHeight="1">
      <c r="K392" s="116"/>
      <c r="N392" s="116"/>
      <c r="Y392" s="116"/>
      <c r="Z392" s="106"/>
    </row>
    <row r="393" spans="11:26" ht="12" customHeight="1">
      <c r="K393" s="116"/>
      <c r="N393" s="116"/>
      <c r="Y393" s="116"/>
      <c r="Z393" s="106"/>
    </row>
    <row r="394" spans="11:26" ht="12" customHeight="1">
      <c r="K394" s="116"/>
      <c r="N394" s="116"/>
      <c r="Y394" s="116"/>
      <c r="Z394" s="106"/>
    </row>
    <row r="395" spans="11:26" ht="12" customHeight="1">
      <c r="K395" s="116"/>
      <c r="N395" s="116"/>
      <c r="Y395" s="116"/>
      <c r="Z395" s="106"/>
    </row>
    <row r="396" spans="11:26" ht="12" customHeight="1">
      <c r="K396" s="116"/>
      <c r="N396" s="116"/>
      <c r="Y396" s="116"/>
      <c r="Z396" s="106"/>
    </row>
    <row r="397" spans="11:26" ht="12" customHeight="1">
      <c r="K397" s="116"/>
      <c r="N397" s="116"/>
      <c r="Y397" s="116"/>
      <c r="Z397" s="106"/>
    </row>
    <row r="398" spans="11:26" ht="12" customHeight="1">
      <c r="K398" s="116"/>
      <c r="N398" s="116"/>
      <c r="Y398" s="116"/>
      <c r="Z398" s="106"/>
    </row>
    <row r="399" spans="11:26" ht="12" customHeight="1">
      <c r="K399" s="116"/>
      <c r="N399" s="116"/>
      <c r="Y399" s="116"/>
      <c r="Z399" s="106"/>
    </row>
    <row r="400" spans="11:26" ht="12" customHeight="1">
      <c r="K400" s="116"/>
      <c r="N400" s="116"/>
      <c r="Y400" s="116"/>
      <c r="Z400" s="106"/>
    </row>
    <row r="401" spans="11:26" ht="12" customHeight="1">
      <c r="K401" s="116"/>
      <c r="N401" s="116"/>
      <c r="Y401" s="116"/>
      <c r="Z401" s="106"/>
    </row>
    <row r="402" spans="11:26" ht="12" customHeight="1">
      <c r="K402" s="116"/>
      <c r="N402" s="116"/>
      <c r="Y402" s="116"/>
      <c r="Z402" s="106"/>
    </row>
    <row r="403" spans="11:26" ht="12" customHeight="1">
      <c r="N403" s="116"/>
      <c r="Y403" s="116"/>
      <c r="Z403" s="106"/>
    </row>
    <row r="404" spans="11:26" ht="12" customHeight="1">
      <c r="N404" s="116"/>
      <c r="Y404" s="116"/>
      <c r="Z404" s="106"/>
    </row>
    <row r="405" spans="11:26" ht="12" customHeight="1">
      <c r="N405" s="116"/>
      <c r="Y405" s="116"/>
      <c r="Z405" s="106"/>
    </row>
    <row r="406" spans="11:26" ht="12" customHeight="1">
      <c r="N406" s="116"/>
      <c r="Y406" s="116"/>
      <c r="Z406" s="106"/>
    </row>
    <row r="407" spans="11:26" ht="12" customHeight="1">
      <c r="N407" s="116"/>
      <c r="Y407" s="116"/>
      <c r="Z407" s="106"/>
    </row>
    <row r="408" spans="11:26" ht="12" customHeight="1">
      <c r="N408" s="116"/>
      <c r="Y408" s="116"/>
      <c r="Z408" s="106"/>
    </row>
    <row r="409" spans="11:26" ht="12" customHeight="1">
      <c r="N409" s="116"/>
      <c r="Y409" s="116"/>
      <c r="Z409" s="106"/>
    </row>
    <row r="410" spans="11:26" ht="12" customHeight="1">
      <c r="N410" s="116"/>
      <c r="Y410" s="116"/>
      <c r="Z410" s="106"/>
    </row>
    <row r="411" spans="11:26" ht="12" customHeight="1">
      <c r="N411" s="116"/>
      <c r="Y411" s="116"/>
      <c r="Z411" s="106"/>
    </row>
    <row r="412" spans="11:26" ht="12" customHeight="1">
      <c r="N412" s="116"/>
      <c r="Y412" s="116"/>
      <c r="Z412" s="106"/>
    </row>
    <row r="413" spans="11:26" ht="12" customHeight="1">
      <c r="N413" s="116"/>
      <c r="Y413" s="116"/>
      <c r="Z413" s="106"/>
    </row>
    <row r="414" spans="11:26" ht="12" customHeight="1">
      <c r="N414" s="116"/>
      <c r="Y414" s="116"/>
    </row>
    <row r="415" spans="11:26" ht="12" customHeight="1">
      <c r="N415" s="116"/>
      <c r="Y415" s="116"/>
    </row>
    <row r="416" spans="11:26" ht="12" customHeight="1">
      <c r="N416" s="116"/>
      <c r="Y416" s="116"/>
    </row>
    <row r="417" spans="14:25" ht="12" customHeight="1">
      <c r="N417" s="116"/>
      <c r="Y417" s="116"/>
    </row>
    <row r="418" spans="14:25" ht="12" customHeight="1">
      <c r="N418" s="116"/>
      <c r="Y418" s="116"/>
    </row>
    <row r="419" spans="14:25" ht="12" customHeight="1">
      <c r="N419" s="116"/>
      <c r="Y419" s="116"/>
    </row>
    <row r="420" spans="14:25" ht="12" customHeight="1">
      <c r="N420" s="116"/>
      <c r="Y420" s="116"/>
    </row>
    <row r="421" spans="14:25" ht="12" customHeight="1">
      <c r="N421" s="116"/>
      <c r="Y421" s="116"/>
    </row>
    <row r="422" spans="14:25" ht="12" customHeight="1">
      <c r="N422" s="116"/>
      <c r="Y422" s="116"/>
    </row>
    <row r="423" spans="14:25" ht="12" customHeight="1">
      <c r="N423" s="116"/>
      <c r="Y423" s="116"/>
    </row>
    <row r="424" spans="14:25" ht="12" customHeight="1">
      <c r="N424" s="116"/>
      <c r="Y424" s="116"/>
    </row>
    <row r="425" spans="14:25" ht="12" customHeight="1">
      <c r="N425" s="116"/>
      <c r="Y425" s="116"/>
    </row>
    <row r="426" spans="14:25" ht="12" customHeight="1">
      <c r="N426" s="116"/>
      <c r="Y426" s="116"/>
    </row>
    <row r="427" spans="14:25" ht="12" customHeight="1">
      <c r="N427" s="116"/>
      <c r="Y427" s="116"/>
    </row>
    <row r="428" spans="14:25" ht="12" customHeight="1">
      <c r="N428" s="116"/>
      <c r="Y428" s="116"/>
    </row>
    <row r="429" spans="14:25" ht="12" customHeight="1">
      <c r="N429" s="116"/>
      <c r="Y429" s="116"/>
    </row>
    <row r="430" spans="14:25" ht="12" customHeight="1">
      <c r="N430" s="116"/>
      <c r="Y430" s="116"/>
    </row>
    <row r="431" spans="14:25" ht="12" customHeight="1">
      <c r="N431" s="116"/>
      <c r="Y431" s="116"/>
    </row>
    <row r="432" spans="14:25" ht="12" customHeight="1">
      <c r="N432" s="116"/>
      <c r="Y432" s="116"/>
    </row>
    <row r="433" spans="14:25" ht="12" customHeight="1">
      <c r="N433" s="116"/>
      <c r="Y433" s="116"/>
    </row>
    <row r="434" spans="14:25" ht="12" customHeight="1">
      <c r="N434" s="116"/>
      <c r="Y434" s="116"/>
    </row>
    <row r="435" spans="14:25" ht="12" customHeight="1">
      <c r="N435" s="116"/>
      <c r="Y435" s="116"/>
    </row>
    <row r="436" spans="14:25" ht="12" customHeight="1">
      <c r="N436" s="116"/>
      <c r="Y436" s="116"/>
    </row>
    <row r="437" spans="14:25" ht="12" customHeight="1">
      <c r="N437" s="116"/>
      <c r="Y437" s="116"/>
    </row>
    <row r="438" spans="14:25" ht="12" customHeight="1">
      <c r="N438" s="116"/>
      <c r="Y438" s="116"/>
    </row>
    <row r="439" spans="14:25" ht="12" customHeight="1">
      <c r="N439" s="116"/>
      <c r="Y439" s="116"/>
    </row>
    <row r="440" spans="14:25" ht="12" customHeight="1">
      <c r="N440" s="116"/>
      <c r="Y440" s="116"/>
    </row>
    <row r="441" spans="14:25" ht="12" customHeight="1">
      <c r="N441" s="116"/>
      <c r="Y441" s="116"/>
    </row>
    <row r="442" spans="14:25" ht="12" customHeight="1">
      <c r="N442" s="116"/>
      <c r="Y442" s="116"/>
    </row>
    <row r="443" spans="14:25" ht="12" customHeight="1">
      <c r="N443" s="116"/>
      <c r="Y443" s="116"/>
    </row>
    <row r="444" spans="14:25" ht="12" customHeight="1">
      <c r="N444" s="116"/>
      <c r="Y444" s="116"/>
    </row>
    <row r="445" spans="14:25" ht="12" customHeight="1">
      <c r="N445" s="116"/>
      <c r="Y445" s="116"/>
    </row>
    <row r="446" spans="14:25" ht="12" customHeight="1">
      <c r="N446" s="116"/>
      <c r="Y446" s="116"/>
    </row>
    <row r="447" spans="14:25" ht="12" customHeight="1">
      <c r="N447" s="116"/>
      <c r="Y447" s="116"/>
    </row>
    <row r="448" spans="14:25" ht="12" customHeight="1">
      <c r="N448" s="116"/>
      <c r="Y448" s="116"/>
    </row>
    <row r="449" spans="14:25" ht="12" customHeight="1">
      <c r="N449" s="116"/>
      <c r="Y449" s="116"/>
    </row>
    <row r="450" spans="14:25" ht="12" customHeight="1">
      <c r="N450" s="116"/>
      <c r="Y450" s="116"/>
    </row>
    <row r="451" spans="14:25" ht="12" customHeight="1">
      <c r="N451" s="116"/>
      <c r="Y451" s="116"/>
    </row>
    <row r="452" spans="14:25" ht="12" customHeight="1">
      <c r="N452" s="116"/>
      <c r="Y452" s="116"/>
    </row>
    <row r="453" spans="14:25" ht="12" customHeight="1">
      <c r="N453" s="116"/>
      <c r="Y453" s="116"/>
    </row>
    <row r="454" spans="14:25" ht="12" customHeight="1">
      <c r="Y454" s="116"/>
    </row>
    <row r="455" spans="14:25" ht="12" customHeight="1">
      <c r="Y455" s="116"/>
    </row>
    <row r="456" spans="14:25" ht="12" customHeight="1">
      <c r="Y456" s="116"/>
    </row>
    <row r="457" spans="14:25" ht="12" customHeight="1">
      <c r="Y457" s="116"/>
    </row>
    <row r="458" spans="14:25" ht="12" customHeight="1">
      <c r="Y458" s="116"/>
    </row>
    <row r="459" spans="14:25" ht="12" customHeight="1">
      <c r="Y459" s="116"/>
    </row>
    <row r="460" spans="14:25">
      <c r="Y460" s="116"/>
    </row>
    <row r="461" spans="14:25">
      <c r="Y461" s="116"/>
    </row>
    <row r="462" spans="14:25">
      <c r="Y462" s="116"/>
    </row>
    <row r="463" spans="14:25">
      <c r="Y463" s="116"/>
    </row>
    <row r="464" spans="14:25">
      <c r="Y464" s="116"/>
    </row>
    <row r="465" spans="25:25">
      <c r="Y465" s="116"/>
    </row>
    <row r="466" spans="25:25">
      <c r="Y466" s="116"/>
    </row>
    <row r="467" spans="25:25">
      <c r="Y467" s="116"/>
    </row>
    <row r="468" spans="25:25">
      <c r="Y468" s="116"/>
    </row>
    <row r="469" spans="25:25">
      <c r="Y469" s="116"/>
    </row>
    <row r="470" spans="25:25">
      <c r="Y470" s="116"/>
    </row>
    <row r="471" spans="25:25">
      <c r="Y471" s="116"/>
    </row>
    <row r="472" spans="25:25">
      <c r="Y472" s="116"/>
    </row>
    <row r="473" spans="25:25">
      <c r="Y473" s="116"/>
    </row>
    <row r="474" spans="25:25">
      <c r="Y474" s="116"/>
    </row>
    <row r="475" spans="25:25">
      <c r="Y475" s="116"/>
    </row>
    <row r="476" spans="25:25">
      <c r="Y476" s="116"/>
    </row>
    <row r="477" spans="25:25">
      <c r="Y477" s="116"/>
    </row>
    <row r="478" spans="25:25">
      <c r="Y478" s="116"/>
    </row>
    <row r="479" spans="25:25">
      <c r="Y479" s="116"/>
    </row>
    <row r="480" spans="25:25">
      <c r="Y480" s="116"/>
    </row>
    <row r="481" spans="25:25">
      <c r="Y481" s="116"/>
    </row>
    <row r="482" spans="25:25">
      <c r="Y482" s="116"/>
    </row>
    <row r="483" spans="25:25">
      <c r="Y483" s="116"/>
    </row>
    <row r="484" spans="25:25">
      <c r="Y484" s="116"/>
    </row>
    <row r="485" spans="25:25">
      <c r="Y485" s="116"/>
    </row>
    <row r="486" spans="25:25">
      <c r="Y486" s="116"/>
    </row>
    <row r="487" spans="25:25">
      <c r="Y487" s="116"/>
    </row>
    <row r="488" spans="25:25">
      <c r="Y488" s="116"/>
    </row>
    <row r="489" spans="25:25">
      <c r="Y489" s="116"/>
    </row>
    <row r="490" spans="25:25">
      <c r="Y490" s="116"/>
    </row>
    <row r="491" spans="25:25">
      <c r="Y491" s="116"/>
    </row>
    <row r="492" spans="25:25">
      <c r="Y492" s="116"/>
    </row>
    <row r="493" spans="25:25">
      <c r="Y493" s="116"/>
    </row>
    <row r="494" spans="25:25">
      <c r="Y494" s="116"/>
    </row>
    <row r="495" spans="25:25">
      <c r="Y495" s="116"/>
    </row>
    <row r="496" spans="25:25">
      <c r="Y496" s="116"/>
    </row>
    <row r="497" spans="25:25">
      <c r="Y497" s="116"/>
    </row>
    <row r="498" spans="25:25">
      <c r="Y498" s="116"/>
    </row>
    <row r="499" spans="25:25">
      <c r="Y499" s="116"/>
    </row>
    <row r="500" spans="25:25">
      <c r="Y500" s="116"/>
    </row>
    <row r="501" spans="25:25">
      <c r="Y501" s="116"/>
    </row>
    <row r="502" spans="25:25">
      <c r="Y502" s="116"/>
    </row>
    <row r="503" spans="25:25">
      <c r="Y503" s="116"/>
    </row>
    <row r="504" spans="25:25">
      <c r="Y504" s="116"/>
    </row>
    <row r="505" spans="25:25">
      <c r="Y505" s="116"/>
    </row>
    <row r="506" spans="25:25">
      <c r="Y506" s="116"/>
    </row>
    <row r="507" spans="25:25">
      <c r="Y507" s="116"/>
    </row>
    <row r="508" spans="25:25">
      <c r="Y508" s="116"/>
    </row>
    <row r="509" spans="25:25">
      <c r="Y509" s="116"/>
    </row>
    <row r="510" spans="25:25">
      <c r="Y510" s="116"/>
    </row>
    <row r="511" spans="25:25">
      <c r="Y511" s="116"/>
    </row>
    <row r="512" spans="25:25">
      <c r="Y512" s="116"/>
    </row>
    <row r="513" spans="25:25">
      <c r="Y513" s="116"/>
    </row>
    <row r="514" spans="25:25">
      <c r="Y514" s="116"/>
    </row>
    <row r="515" spans="25:25">
      <c r="Y515" s="116"/>
    </row>
    <row r="516" spans="25:25">
      <c r="Y516" s="116"/>
    </row>
    <row r="517" spans="25:25">
      <c r="Y517" s="116"/>
    </row>
    <row r="518" spans="25:25">
      <c r="Y518" s="116"/>
    </row>
    <row r="519" spans="25:25">
      <c r="Y519" s="116"/>
    </row>
    <row r="520" spans="25:25">
      <c r="Y520" s="116"/>
    </row>
    <row r="521" spans="25:25">
      <c r="Y521" s="116"/>
    </row>
    <row r="522" spans="25:25">
      <c r="Y522" s="116"/>
    </row>
    <row r="523" spans="25:25">
      <c r="Y523" s="116"/>
    </row>
    <row r="524" spans="25:25">
      <c r="Y524" s="116"/>
    </row>
    <row r="525" spans="25:25">
      <c r="Y525" s="116"/>
    </row>
    <row r="526" spans="25:25">
      <c r="Y526" s="116"/>
    </row>
    <row r="527" spans="25:25">
      <c r="Y527" s="116"/>
    </row>
    <row r="528" spans="25:25">
      <c r="Y528" s="116"/>
    </row>
    <row r="529" spans="25:25">
      <c r="Y529" s="116"/>
    </row>
    <row r="530" spans="25:25">
      <c r="Y530" s="116"/>
    </row>
    <row r="531" spans="25:25">
      <c r="Y531" s="116"/>
    </row>
    <row r="532" spans="25:25">
      <c r="Y532" s="116"/>
    </row>
    <row r="533" spans="25:25">
      <c r="Y533" s="116"/>
    </row>
    <row r="534" spans="25:25">
      <c r="Y534" s="116"/>
    </row>
    <row r="535" spans="25:25">
      <c r="Y535" s="116"/>
    </row>
    <row r="536" spans="25:25">
      <c r="Y536" s="116"/>
    </row>
    <row r="537" spans="25:25">
      <c r="Y537" s="116"/>
    </row>
    <row r="538" spans="25:25">
      <c r="Y538" s="116"/>
    </row>
    <row r="539" spans="25:25">
      <c r="Y539" s="116"/>
    </row>
  </sheetData>
  <phoneticPr fontId="0" type="noConversion"/>
  <pageMargins left="0.75" right="0.75" top="1" bottom="1" header="0.5" footer="0.5"/>
  <pageSetup scale="1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Y411"/>
  <sheetViews>
    <sheetView defaultGridColor="0" colorId="22" workbookViewId="0">
      <selection activeCell="B2" sqref="B2"/>
    </sheetView>
  </sheetViews>
  <sheetFormatPr defaultColWidth="9.6640625" defaultRowHeight="15"/>
  <cols>
    <col min="1" max="1" width="0.664062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2:25">
      <c r="B1" t="s">
        <v>544</v>
      </c>
      <c r="H1" t="s">
        <v>31</v>
      </c>
    </row>
    <row r="2" spans="2:25" ht="15.75">
      <c r="B2" s="58"/>
    </row>
    <row r="3" spans="2:25" ht="16.5" customHeight="1">
      <c r="C3" s="58" t="s">
        <v>141</v>
      </c>
      <c r="E3" s="58"/>
      <c r="F3" s="58"/>
      <c r="G3" s="58"/>
      <c r="H3" s="58"/>
      <c r="M3" s="35"/>
      <c r="N3" s="35"/>
      <c r="O3" s="2"/>
      <c r="P3" s="12"/>
      <c r="Q3" s="12"/>
      <c r="R3" s="12"/>
      <c r="S3" s="12"/>
      <c r="T3" s="2"/>
      <c r="U3" s="2"/>
      <c r="V3" s="2"/>
      <c r="W3" s="2"/>
      <c r="X3" s="12"/>
      <c r="Y3" s="12"/>
    </row>
    <row r="4" spans="2:25" ht="16.5" customHeight="1" thickBot="1">
      <c r="D4" s="245"/>
      <c r="E4" s="58"/>
      <c r="F4" s="58"/>
      <c r="G4" s="58"/>
      <c r="H4" s="58"/>
      <c r="M4" s="35"/>
      <c r="N4" s="35"/>
      <c r="O4" s="2"/>
      <c r="P4" s="12"/>
      <c r="Q4" s="12"/>
      <c r="R4" s="12"/>
      <c r="S4" s="12"/>
      <c r="T4" s="2"/>
      <c r="U4" s="2"/>
      <c r="V4" s="2"/>
      <c r="W4" s="2"/>
      <c r="X4" s="12"/>
      <c r="Y4" s="12"/>
    </row>
    <row r="5" spans="2:25" ht="14.25" customHeight="1" thickTop="1">
      <c r="B5" s="249" t="s">
        <v>353</v>
      </c>
      <c r="C5" s="237" t="s">
        <v>143</v>
      </c>
      <c r="D5" s="238"/>
      <c r="E5" s="237" t="s">
        <v>435</v>
      </c>
      <c r="F5" s="238"/>
      <c r="G5" s="391"/>
      <c r="H5" s="246" t="s">
        <v>437</v>
      </c>
      <c r="I5" s="247"/>
      <c r="J5" s="238"/>
      <c r="K5" s="238"/>
      <c r="L5" s="392"/>
      <c r="M5" s="394"/>
      <c r="N5" s="35"/>
      <c r="O5" s="2"/>
      <c r="P5" s="12"/>
      <c r="Q5" s="12"/>
      <c r="R5" s="12"/>
      <c r="S5" s="12"/>
      <c r="T5" s="2"/>
      <c r="U5" s="2"/>
      <c r="V5" s="2"/>
      <c r="W5" s="2"/>
      <c r="X5" s="12"/>
      <c r="Y5" s="12"/>
    </row>
    <row r="6" spans="2:25" ht="12" customHeight="1">
      <c r="B6" s="248"/>
      <c r="C6" s="223" t="s">
        <v>5</v>
      </c>
      <c r="D6" s="225" t="s">
        <v>84</v>
      </c>
      <c r="E6" s="223" t="s">
        <v>4</v>
      </c>
      <c r="F6" s="225" t="s">
        <v>6</v>
      </c>
      <c r="G6" s="225" t="s">
        <v>7</v>
      </c>
      <c r="H6" s="223" t="s">
        <v>149</v>
      </c>
      <c r="I6" s="224" t="s">
        <v>150</v>
      </c>
      <c r="J6" s="225" t="s">
        <v>151</v>
      </c>
      <c r="K6" s="225" t="s">
        <v>152</v>
      </c>
      <c r="L6" s="225" t="s">
        <v>153</v>
      </c>
      <c r="M6" s="395" t="s">
        <v>223</v>
      </c>
      <c r="N6" s="35"/>
      <c r="O6" s="2"/>
      <c r="P6" s="12"/>
      <c r="Q6" s="12"/>
      <c r="R6" s="12"/>
      <c r="S6" s="12"/>
      <c r="T6" s="2"/>
      <c r="U6" s="2"/>
      <c r="V6" s="2"/>
      <c r="W6" s="2"/>
      <c r="X6" s="12"/>
      <c r="Y6" s="12"/>
    </row>
    <row r="7" spans="2:25" ht="12" customHeight="1">
      <c r="B7" s="239" t="s">
        <v>78</v>
      </c>
      <c r="C7" s="226" t="s">
        <v>156</v>
      </c>
      <c r="D7" s="227" t="s">
        <v>156</v>
      </c>
      <c r="E7" s="226" t="s">
        <v>156</v>
      </c>
      <c r="F7" s="227" t="s">
        <v>156</v>
      </c>
      <c r="G7" s="227" t="s">
        <v>156</v>
      </c>
      <c r="H7" s="226" t="s">
        <v>157</v>
      </c>
      <c r="I7" s="393"/>
      <c r="J7" s="236" t="s">
        <v>11</v>
      </c>
      <c r="K7" s="227" t="s">
        <v>11</v>
      </c>
      <c r="L7" s="227" t="s">
        <v>11</v>
      </c>
      <c r="M7" s="424" t="s">
        <v>157</v>
      </c>
      <c r="N7" s="35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2:25" ht="12" customHeight="1">
      <c r="B8" s="240" t="s">
        <v>159</v>
      </c>
      <c r="C8" s="228">
        <f>B!B89</f>
        <v>2055.769720310841</v>
      </c>
      <c r="D8" s="228">
        <f>B!C89</f>
        <v>256.53260248870583</v>
      </c>
      <c r="E8" s="229">
        <f>B!D89</f>
        <v>8131.7300000000005</v>
      </c>
      <c r="F8" s="390">
        <f>B!E89</f>
        <v>6189.34</v>
      </c>
      <c r="G8" s="230">
        <f>B!F89</f>
        <v>1942.39</v>
      </c>
      <c r="H8" s="396">
        <f>B!G89</f>
        <v>9.0777900000000005E-3</v>
      </c>
      <c r="I8" s="234">
        <f>B!H89</f>
        <v>3.5167244005337355</v>
      </c>
      <c r="J8" s="235">
        <f>B!I89</f>
        <v>18.05</v>
      </c>
      <c r="K8" s="235">
        <f>B!J89</f>
        <v>23.4068</v>
      </c>
      <c r="L8" s="235">
        <f>B!K89</f>
        <v>16.964099999999998</v>
      </c>
      <c r="M8" s="399">
        <f>B!L89</f>
        <v>1.1255100000000001E-2</v>
      </c>
      <c r="N8" s="35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ht="12" customHeight="1">
      <c r="B9" s="241" t="s">
        <v>166</v>
      </c>
      <c r="C9" s="228">
        <f>B!B90</f>
        <v>2053.6705655900555</v>
      </c>
      <c r="D9" s="228">
        <f>B!C90</f>
        <v>256.52714424619057</v>
      </c>
      <c r="E9" s="231">
        <f>B!D90</f>
        <v>8115.8</v>
      </c>
      <c r="F9" s="228">
        <f>B!E90</f>
        <v>6201.56</v>
      </c>
      <c r="G9" s="165">
        <f>B!F90</f>
        <v>1914.24</v>
      </c>
      <c r="H9" s="397">
        <f>B!G90</f>
        <v>9.0138200000000005E-3</v>
      </c>
      <c r="I9" s="234">
        <f>B!H90</f>
        <v>3.5130326575275128</v>
      </c>
      <c r="J9" s="235">
        <f>B!I90</f>
        <v>18.05</v>
      </c>
      <c r="K9" s="235">
        <f>B!J90</f>
        <v>23.3748</v>
      </c>
      <c r="L9" s="235">
        <f>B!K90</f>
        <v>16.904599999999999</v>
      </c>
      <c r="M9" s="399">
        <f>B!L90</f>
        <v>1.1255100000000001E-2</v>
      </c>
      <c r="N9" s="35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ht="12" customHeight="1">
      <c r="B10" s="241" t="s">
        <v>169</v>
      </c>
      <c r="C10" s="228">
        <f>B!B91</f>
        <v>2054.4922521461531</v>
      </c>
      <c r="D10" s="228">
        <f>B!C91</f>
        <v>256.53561454728344</v>
      </c>
      <c r="E10" s="231">
        <f>B!D91</f>
        <v>8127.89</v>
      </c>
      <c r="F10" s="228">
        <f>B!E91</f>
        <v>6194.38</v>
      </c>
      <c r="G10" s="165">
        <f>B!F91</f>
        <v>1933.51</v>
      </c>
      <c r="H10" s="397">
        <f>B!G91</f>
        <v>9.0643900000000003E-3</v>
      </c>
      <c r="I10" s="234">
        <f>B!H91</f>
        <v>3.5170021604409261</v>
      </c>
      <c r="J10" s="235">
        <f>B!I91</f>
        <v>18.05</v>
      </c>
      <c r="K10" s="235">
        <f>B!J91</f>
        <v>23.383299999999998</v>
      </c>
      <c r="L10" s="235">
        <f>B!K91</f>
        <v>16.941800000000001</v>
      </c>
      <c r="M10" s="399">
        <f>B!L91</f>
        <v>1.1255100000000001E-2</v>
      </c>
      <c r="N10" s="35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ht="12" customHeight="1">
      <c r="B11" s="241" t="s">
        <v>171</v>
      </c>
      <c r="C11" s="228">
        <f>B!B92</f>
        <v>1830.0823980528924</v>
      </c>
      <c r="D11" s="228">
        <f>B!C92</f>
        <v>229.58574447860309</v>
      </c>
      <c r="E11" s="231">
        <f>B!D92</f>
        <v>7224.15</v>
      </c>
      <c r="F11" s="228">
        <f>B!E92</f>
        <v>5548.55</v>
      </c>
      <c r="G11" s="165">
        <f>B!F92</f>
        <v>1675.6</v>
      </c>
      <c r="H11" s="397">
        <f>B!G92</f>
        <v>8.9863900000000003E-3</v>
      </c>
      <c r="I11" s="234">
        <f>B!H92</f>
        <v>3.5074339651245694</v>
      </c>
      <c r="J11" s="235">
        <f>B!I92</f>
        <v>17.8</v>
      </c>
      <c r="K11" s="235">
        <f>B!J92</f>
        <v>23.373899999999999</v>
      </c>
      <c r="L11" s="235">
        <f>B!K92</f>
        <v>16.861899999999999</v>
      </c>
      <c r="M11" s="399">
        <f>B!L92</f>
        <v>1.10746E-2</v>
      </c>
      <c r="N11" s="35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ht="12" customHeight="1">
      <c r="B12" s="241" t="s">
        <v>173</v>
      </c>
      <c r="C12" s="228">
        <f>B!B93</f>
        <v>2029.3425670209424</v>
      </c>
      <c r="D12" s="228">
        <f>B!C93</f>
        <v>256.39404940704128</v>
      </c>
      <c r="E12" s="231">
        <f>B!D93</f>
        <v>8104.8499999999995</v>
      </c>
      <c r="F12" s="228">
        <f>B!E93</f>
        <v>6318.9</v>
      </c>
      <c r="G12" s="165">
        <f>B!F93</f>
        <v>1785.95</v>
      </c>
      <c r="H12" s="397">
        <f>B!G93</f>
        <v>8.8405299999999992E-3</v>
      </c>
      <c r="I12" s="234">
        <f>B!H93</f>
        <v>3.5458372332792165</v>
      </c>
      <c r="J12" s="235">
        <f>B!I93</f>
        <v>17.5</v>
      </c>
      <c r="K12" s="235">
        <f>B!J93</f>
        <v>23.350300000000001</v>
      </c>
      <c r="L12" s="235">
        <f>B!K93</f>
        <v>16.6966</v>
      </c>
      <c r="M12" s="399">
        <f>B!L93</f>
        <v>1.06103E-2</v>
      </c>
      <c r="N12" s="35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ht="12" customHeight="1">
      <c r="B13" s="241" t="s">
        <v>174</v>
      </c>
      <c r="C13" s="228">
        <f>B!B94</f>
        <v>1839.4316687849705</v>
      </c>
      <c r="D13" s="228">
        <f>B!C94</f>
        <v>229.55972704064635</v>
      </c>
      <c r="E13" s="231">
        <f>B!D94</f>
        <v>7130.87</v>
      </c>
      <c r="F13" s="228">
        <f>B!E94</f>
        <v>5686.24</v>
      </c>
      <c r="G13" s="165">
        <f>B!F94</f>
        <v>1444.63</v>
      </c>
      <c r="H13" s="397">
        <f>B!G94</f>
        <v>8.6577600000000005E-3</v>
      </c>
      <c r="I13" s="234">
        <f>B!H94</f>
        <v>3.4465440573543198</v>
      </c>
      <c r="J13" s="235">
        <f>B!I94</f>
        <v>18.3</v>
      </c>
      <c r="K13" s="235">
        <f>B!J94</f>
        <v>23.417100000000001</v>
      </c>
      <c r="L13" s="235">
        <f>B!K94</f>
        <v>16.573399999999999</v>
      </c>
      <c r="M13" s="399">
        <f>B!L94</f>
        <v>1.05682E-2</v>
      </c>
      <c r="N13" s="35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ht="12" customHeight="1">
      <c r="B14" s="241" t="s">
        <v>176</v>
      </c>
      <c r="C14" s="228">
        <f>B!B95</f>
        <v>2667.2443936627674</v>
      </c>
      <c r="D14" s="228">
        <f>B!C95</f>
        <v>308.54463343275864</v>
      </c>
      <c r="E14" s="231">
        <f>B!D95</f>
        <v>9711.380000000001</v>
      </c>
      <c r="F14" s="228">
        <f>B!E95</f>
        <v>7596.88</v>
      </c>
      <c r="G14" s="165">
        <f>B!F95</f>
        <v>2114.5</v>
      </c>
      <c r="H14" s="397">
        <f>B!G95</f>
        <v>9.1530599999999993E-3</v>
      </c>
      <c r="I14" s="234">
        <f>B!H95</f>
        <v>3.2634638785124657</v>
      </c>
      <c r="J14" s="235">
        <f>B!I95</f>
        <v>22.2</v>
      </c>
      <c r="K14" s="235">
        <f>B!J95</f>
        <v>24.0395</v>
      </c>
      <c r="L14" s="235">
        <f>B!K95</f>
        <v>17.319199999999999</v>
      </c>
      <c r="M14" s="399">
        <f>B!L95</f>
        <v>1.20713E-2</v>
      </c>
      <c r="N14" s="35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ht="12" customHeight="1">
      <c r="B15" s="241" t="s">
        <v>178</v>
      </c>
      <c r="C15" s="228">
        <f>B!B96</f>
        <v>3552.7184949106027</v>
      </c>
      <c r="D15" s="228">
        <f>B!C96</f>
        <v>384.04551577745127</v>
      </c>
      <c r="E15" s="231">
        <f>B!D96</f>
        <v>12121.31</v>
      </c>
      <c r="F15" s="228">
        <f>B!E96</f>
        <v>9558.23</v>
      </c>
      <c r="G15" s="165">
        <f>B!F96</f>
        <v>2563.08</v>
      </c>
      <c r="H15" s="397">
        <f>B!G96</f>
        <v>9.5302800000000003E-3</v>
      </c>
      <c r="I15" s="234">
        <f>B!H96</f>
        <v>3.0790034574313938</v>
      </c>
      <c r="J15" s="235">
        <f>B!I96</f>
        <v>26.1</v>
      </c>
      <c r="K15" s="235">
        <f>B!J96</f>
        <v>24.572399999999998</v>
      </c>
      <c r="L15" s="235">
        <f>B!K96</f>
        <v>17.794499999999999</v>
      </c>
      <c r="M15" s="399">
        <f>B!L96</f>
        <v>1.2173099999999999E-2</v>
      </c>
      <c r="N15" s="35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ht="12" customHeight="1">
      <c r="B16" s="241" t="s">
        <v>180</v>
      </c>
      <c r="C16" s="228">
        <f>B!B97</f>
        <v>4364.7758495164062</v>
      </c>
      <c r="D16" s="228">
        <f>B!C97</f>
        <v>458.10143604695531</v>
      </c>
      <c r="E16" s="231">
        <f>B!D97</f>
        <v>14555.619999999999</v>
      </c>
      <c r="F16" s="228">
        <f>B!E97</f>
        <v>11757.9</v>
      </c>
      <c r="G16" s="165">
        <f>B!F97</f>
        <v>2797.72</v>
      </c>
      <c r="H16" s="397">
        <f>B!G97</f>
        <v>9.6727400000000009E-3</v>
      </c>
      <c r="I16" s="234">
        <f>B!H97</f>
        <v>3.018036565759262</v>
      </c>
      <c r="J16" s="235">
        <f>B!I97</f>
        <v>28.05</v>
      </c>
      <c r="K16" s="235">
        <f>B!J97</f>
        <v>25.093699999999998</v>
      </c>
      <c r="L16" s="235">
        <f>B!K97</f>
        <v>17.972999999999999</v>
      </c>
      <c r="M16" s="399">
        <f>B!L97</f>
        <v>1.1538E-2</v>
      </c>
      <c r="N16" s="35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41" t="s">
        <v>183</v>
      </c>
      <c r="C17" s="228">
        <f>B!B98</f>
        <v>4441.0632976815668</v>
      </c>
      <c r="D17" s="228">
        <f>B!C98</f>
        <v>457.99324477346147</v>
      </c>
      <c r="E17" s="231">
        <f>B!D98</f>
        <v>14639.38</v>
      </c>
      <c r="F17" s="228">
        <f>B!E98</f>
        <v>11506.4</v>
      </c>
      <c r="G17" s="165">
        <f>B!F98</f>
        <v>3132.98</v>
      </c>
      <c r="H17" s="397">
        <f>B!G98</f>
        <v>1.00578E-2</v>
      </c>
      <c r="I17" s="234">
        <f>B!H98</f>
        <v>2.9882039272532817</v>
      </c>
      <c r="J17" s="235">
        <f>B!I98</f>
        <v>28.9</v>
      </c>
      <c r="K17" s="235">
        <f>B!J98</f>
        <v>25.281500000000001</v>
      </c>
      <c r="L17" s="235">
        <f>B!K98</f>
        <v>18.397200000000002</v>
      </c>
      <c r="M17" s="399">
        <f>B!L98</f>
        <v>1.2388E-2</v>
      </c>
      <c r="N17" s="35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41" t="s">
        <v>186</v>
      </c>
      <c r="C18" s="228">
        <f>B!B99</f>
        <v>4999.5949681009843</v>
      </c>
      <c r="D18" s="228">
        <f>B!C99</f>
        <v>506.30451390226443</v>
      </c>
      <c r="E18" s="231">
        <f>B!D99</f>
        <v>16374.09</v>
      </c>
      <c r="F18" s="228">
        <f>B!E99</f>
        <v>12342.2</v>
      </c>
      <c r="G18" s="165">
        <f>B!F99</f>
        <v>4031.89</v>
      </c>
      <c r="H18" s="397">
        <f>B!G99</f>
        <v>1.0407899999999999E-2</v>
      </c>
      <c r="I18" s="234">
        <f>B!H99</f>
        <v>2.9739173505656709</v>
      </c>
      <c r="J18" s="235">
        <f>B!I99</f>
        <v>30</v>
      </c>
      <c r="K18" s="235">
        <f>B!J99</f>
        <v>25.359200000000001</v>
      </c>
      <c r="L18" s="235">
        <f>B!K99</f>
        <v>18.8246</v>
      </c>
      <c r="M18" s="399">
        <f>B!L99</f>
        <v>1.3776E-2</v>
      </c>
      <c r="N18" s="35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41" t="s">
        <v>187</v>
      </c>
      <c r="C19" s="228">
        <f>B!B100</f>
        <v>5316.7711371459918</v>
      </c>
      <c r="D19" s="228">
        <f>B!C100</f>
        <v>529.36483921726438</v>
      </c>
      <c r="E19" s="231">
        <f>B!D100</f>
        <v>17248.400000000001</v>
      </c>
      <c r="F19" s="228">
        <f>B!E100</f>
        <v>12810</v>
      </c>
      <c r="G19" s="165">
        <f>B!F100</f>
        <v>4438.3999999999996</v>
      </c>
      <c r="H19" s="397">
        <f>B!G100</f>
        <v>1.06838E-2</v>
      </c>
      <c r="I19" s="234">
        <f>B!H100</f>
        <v>2.9503932289186721</v>
      </c>
      <c r="J19" s="235">
        <f>B!I100</f>
        <v>30.85</v>
      </c>
      <c r="K19" s="235">
        <f>B!J100</f>
        <v>25.587700000000002</v>
      </c>
      <c r="L19" s="235">
        <f>B!K100</f>
        <v>19.120200000000001</v>
      </c>
      <c r="M19" s="399">
        <f>B!L100</f>
        <v>1.4040800000000001E-2</v>
      </c>
      <c r="N19" s="34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41" t="s">
        <v>191</v>
      </c>
      <c r="C20" s="228">
        <f>B!B101</f>
        <v>6188.547691714125</v>
      </c>
      <c r="D20" s="228">
        <f>B!C101</f>
        <v>616.60944926018874</v>
      </c>
      <c r="E20" s="231">
        <f>B!D101</f>
        <v>20498.21</v>
      </c>
      <c r="F20" s="228">
        <f>B!E101</f>
        <v>16816.099999999999</v>
      </c>
      <c r="G20" s="165">
        <f>B!F101</f>
        <v>3682.11</v>
      </c>
      <c r="H20" s="397">
        <f>B!G101</f>
        <v>1.00874E-2</v>
      </c>
      <c r="I20" s="234">
        <f>B!H101</f>
        <v>3.0121582169761933</v>
      </c>
      <c r="J20" s="235">
        <f>B!I101</f>
        <v>30.85</v>
      </c>
      <c r="K20" s="235">
        <f>B!J101</f>
        <v>26.53</v>
      </c>
      <c r="L20" s="235">
        <f>B!K101</f>
        <v>18.837700000000002</v>
      </c>
      <c r="M20" s="399">
        <f>B!L101</f>
        <v>1.23149E-2</v>
      </c>
      <c r="N20" s="55"/>
      <c r="O20" s="2"/>
      <c r="P20" s="11"/>
      <c r="Q20" s="11"/>
      <c r="R20" s="11"/>
      <c r="S20" s="12"/>
      <c r="T20" s="2"/>
      <c r="U20" s="2"/>
      <c r="V20" s="2"/>
      <c r="W20" s="2"/>
      <c r="X20" s="12"/>
      <c r="Y20" s="12"/>
    </row>
    <row r="21" spans="2:25" ht="12" customHeight="1">
      <c r="B21" s="241" t="s">
        <v>194</v>
      </c>
      <c r="C21" s="228">
        <f>B!B102</f>
        <v>6210.9292642389719</v>
      </c>
      <c r="D21" s="228">
        <f>B!C102</f>
        <v>616.12420083517168</v>
      </c>
      <c r="E21" s="231">
        <f>B!D102</f>
        <v>20234.060000000001</v>
      </c>
      <c r="F21" s="228">
        <f>B!E102</f>
        <v>17283.5</v>
      </c>
      <c r="G21" s="165">
        <f>B!F102</f>
        <v>2950.56</v>
      </c>
      <c r="H21" s="397">
        <f>B!G102</f>
        <v>9.7986700000000006E-3</v>
      </c>
      <c r="I21" s="234">
        <f>B!H102</f>
        <v>2.9638057038096233</v>
      </c>
      <c r="J21" s="235">
        <f>B!I102</f>
        <v>31.4</v>
      </c>
      <c r="K21" s="235">
        <f>B!J102</f>
        <v>26.561699999999998</v>
      </c>
      <c r="L21" s="235">
        <f>B!K102</f>
        <v>18.5548</v>
      </c>
      <c r="M21" s="399">
        <f>B!L102</f>
        <v>1.15429E-2</v>
      </c>
      <c r="N21" s="55"/>
      <c r="O21" s="2"/>
      <c r="P21" s="11"/>
      <c r="Q21" s="11"/>
      <c r="R21" s="11"/>
      <c r="S21" s="12"/>
      <c r="T21" s="2"/>
      <c r="U21" s="2"/>
      <c r="V21" s="2"/>
      <c r="W21" s="2"/>
      <c r="X21" s="12"/>
      <c r="Y21" s="12"/>
    </row>
    <row r="22" spans="2:25" ht="12" customHeight="1">
      <c r="B22" s="241" t="s">
        <v>79</v>
      </c>
      <c r="C22" s="228">
        <f>B!B103</f>
        <v>7922.4534138611234</v>
      </c>
      <c r="D22" s="228">
        <f>B!C103</f>
        <v>781.00159267240622</v>
      </c>
      <c r="E22" s="231">
        <f>B!D103</f>
        <v>26687.280000000002</v>
      </c>
      <c r="F22" s="228">
        <f>B!E103</f>
        <v>22882.400000000001</v>
      </c>
      <c r="G22" s="165">
        <f>B!F103</f>
        <v>3804.88</v>
      </c>
      <c r="H22" s="397">
        <f>B!G103</f>
        <v>9.5791799999999996E-3</v>
      </c>
      <c r="I22" s="234">
        <f>B!H103</f>
        <v>3.0662857428419326</v>
      </c>
      <c r="J22" s="235">
        <f>B!I103</f>
        <v>31.95</v>
      </c>
      <c r="K22" s="235">
        <f>B!J103</f>
        <v>26.781199999999998</v>
      </c>
      <c r="L22" s="235">
        <f>B!K103</f>
        <v>18.5486</v>
      </c>
      <c r="M22" s="399">
        <f>B!L103</f>
        <v>1.2068600000000001E-2</v>
      </c>
      <c r="N22" s="35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41" t="s">
        <v>198</v>
      </c>
      <c r="C23" s="228">
        <f>B!B104</f>
        <v>7964.8229620022494</v>
      </c>
      <c r="D23" s="228">
        <f>B!C104</f>
        <v>781.01240717061535</v>
      </c>
      <c r="E23" s="231">
        <f>B!D104</f>
        <v>26722.68</v>
      </c>
      <c r="F23" s="228">
        <f>B!E104</f>
        <v>22284.7</v>
      </c>
      <c r="G23" s="165">
        <f>B!F104</f>
        <v>4437.9799999999996</v>
      </c>
      <c r="H23" s="397">
        <f>B!G104</f>
        <v>9.6662999999999992E-3</v>
      </c>
      <c r="I23" s="234">
        <f>B!H104</f>
        <v>3.0554748485423744</v>
      </c>
      <c r="J23" s="235">
        <f>B!I104</f>
        <v>32.200000000000003</v>
      </c>
      <c r="K23" s="235">
        <f>B!J104</f>
        <v>26.563199999999998</v>
      </c>
      <c r="L23" s="235">
        <f>B!K104</f>
        <v>18.672999999999998</v>
      </c>
      <c r="M23" s="399">
        <f>B!L104</f>
        <v>1.3324000000000001E-2</v>
      </c>
      <c r="N23" s="35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41" t="s">
        <v>201</v>
      </c>
      <c r="C24" s="228">
        <f>B!B105</f>
        <v>5420.7774972433799</v>
      </c>
      <c r="D24" s="228">
        <f>B!C105</f>
        <v>529.49848074322631</v>
      </c>
      <c r="E24" s="231">
        <f>B!D105</f>
        <v>17231.329999999998</v>
      </c>
      <c r="F24" s="228">
        <f>B!E105</f>
        <v>13048.3</v>
      </c>
      <c r="G24" s="165">
        <f>B!F105</f>
        <v>4183.03</v>
      </c>
      <c r="H24" s="397">
        <f>B!G105</f>
        <v>1.0770399999999999E-2</v>
      </c>
      <c r="I24" s="234">
        <f>B!H105</f>
        <v>2.8958875292084452</v>
      </c>
      <c r="J24" s="235">
        <f>B!I105</f>
        <v>31.95</v>
      </c>
      <c r="K24" s="235">
        <f>B!J105</f>
        <v>26.198</v>
      </c>
      <c r="L24" s="235">
        <f>B!K105</f>
        <v>19.403199999999998</v>
      </c>
      <c r="M24" s="399">
        <f>B!L105</f>
        <v>1.45051E-2</v>
      </c>
      <c r="N24" s="35"/>
      <c r="O24" s="2"/>
      <c r="P24" s="12"/>
      <c r="Q24" s="12"/>
      <c r="R24" s="12"/>
      <c r="S24" s="12"/>
      <c r="T24" s="2"/>
      <c r="U24" s="2"/>
      <c r="V24" s="2"/>
      <c r="W24" s="2"/>
      <c r="X24" s="12"/>
      <c r="Y24" s="12"/>
    </row>
    <row r="25" spans="2:25" ht="12" customHeight="1">
      <c r="B25" s="241" t="s">
        <v>204</v>
      </c>
      <c r="C25" s="228">
        <f>B!B106</f>
        <v>5409.9868298857464</v>
      </c>
      <c r="D25" s="228">
        <f>B!C106</f>
        <v>529.37843289356158</v>
      </c>
      <c r="E25" s="231">
        <f>B!D106</f>
        <v>17505.88</v>
      </c>
      <c r="F25" s="228">
        <f>B!E106</f>
        <v>12720.6</v>
      </c>
      <c r="G25" s="165">
        <f>B!F106</f>
        <v>4785.28</v>
      </c>
      <c r="H25" s="397">
        <f>B!G106</f>
        <v>1.11836E-2</v>
      </c>
      <c r="I25" s="234">
        <f>B!H106</f>
        <v>2.947432802239911</v>
      </c>
      <c r="J25" s="235">
        <f>B!I106</f>
        <v>31.4</v>
      </c>
      <c r="K25" s="235">
        <f>B!J106</f>
        <v>26.226299999999998</v>
      </c>
      <c r="L25" s="235">
        <f>B!K106</f>
        <v>19.772400000000001</v>
      </c>
      <c r="M25" s="399">
        <f>B!L106</f>
        <v>1.5234299999999999E-2</v>
      </c>
      <c r="N25" s="35"/>
      <c r="O25" s="2"/>
      <c r="P25" s="12"/>
      <c r="Q25" s="12"/>
      <c r="R25" s="12"/>
      <c r="S25" s="12"/>
      <c r="T25" s="2"/>
      <c r="U25" s="2"/>
      <c r="V25" s="2"/>
      <c r="W25" s="2"/>
      <c r="X25" s="12"/>
      <c r="Y25" s="12"/>
    </row>
    <row r="26" spans="2:25" ht="12" customHeight="1">
      <c r="B26" s="241" t="s">
        <v>206</v>
      </c>
      <c r="C26" s="228">
        <f>B!B107</f>
        <v>5260.0345031678471</v>
      </c>
      <c r="D26" s="228">
        <f>B!C107</f>
        <v>529.2289456163835</v>
      </c>
      <c r="E26" s="231">
        <f>B!D107</f>
        <v>17661.689999999999</v>
      </c>
      <c r="F26" s="228">
        <f>B!E107</f>
        <v>12490.8</v>
      </c>
      <c r="G26" s="165">
        <f>B!F107</f>
        <v>5170.8900000000003</v>
      </c>
      <c r="H26" s="397">
        <f>B!G107</f>
        <v>1.11308E-2</v>
      </c>
      <c r="I26" s="234">
        <f>B!H107</f>
        <v>3.0507663291275899</v>
      </c>
      <c r="J26" s="235">
        <f>B!I107</f>
        <v>29.7</v>
      </c>
      <c r="K26" s="235">
        <f>B!J107</f>
        <v>25.700099999999999</v>
      </c>
      <c r="L26" s="235">
        <f>B!K107</f>
        <v>19.575299999999999</v>
      </c>
      <c r="M26" s="399">
        <f>B!L107</f>
        <v>1.51339E-2</v>
      </c>
      <c r="N26" s="35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41" t="s">
        <v>207</v>
      </c>
      <c r="C27" s="228">
        <f>B!B108</f>
        <v>4880.3428688729146</v>
      </c>
      <c r="D27" s="228">
        <f>B!C108</f>
        <v>506.22066015735538</v>
      </c>
      <c r="E27" s="231">
        <f>B!D108</f>
        <v>16989.809999999998</v>
      </c>
      <c r="F27" s="228">
        <f>B!E108</f>
        <v>11655.3</v>
      </c>
      <c r="G27" s="165">
        <f>B!F108</f>
        <v>5334.51</v>
      </c>
      <c r="H27" s="397">
        <f>B!G108</f>
        <v>1.09912E-2</v>
      </c>
      <c r="I27" s="234">
        <f>B!H108</f>
        <v>3.1541092773593693</v>
      </c>
      <c r="J27" s="235">
        <f>B!I108</f>
        <v>27.75</v>
      </c>
      <c r="K27" s="235">
        <f>B!J108</f>
        <v>25.167300000000001</v>
      </c>
      <c r="L27" s="235">
        <f>B!K108</f>
        <v>19.3718</v>
      </c>
      <c r="M27" s="399">
        <f>B!L108</f>
        <v>1.5748100000000001E-2</v>
      </c>
      <c r="N27" s="35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41" t="s">
        <v>208</v>
      </c>
      <c r="C28" s="228">
        <f>B!B109</f>
        <v>3938.7143150582915</v>
      </c>
      <c r="D28" s="228">
        <f>B!C109</f>
        <v>409.08432189189836</v>
      </c>
      <c r="E28" s="231">
        <f>B!D109</f>
        <v>13539.94</v>
      </c>
      <c r="F28" s="228">
        <f>B!E109</f>
        <v>8882.19</v>
      </c>
      <c r="G28" s="165">
        <f>B!F109</f>
        <v>4657.75</v>
      </c>
      <c r="H28" s="397">
        <f>B!G109</f>
        <v>1.1140300000000001E-2</v>
      </c>
      <c r="I28" s="234">
        <f>B!H109</f>
        <v>3.1142058615432426</v>
      </c>
      <c r="J28" s="235">
        <f>B!I109</f>
        <v>27.2</v>
      </c>
      <c r="K28" s="235">
        <f>B!J109</f>
        <v>24.654399999999999</v>
      </c>
      <c r="L28" s="235">
        <f>B!K109</f>
        <v>19.437999999999999</v>
      </c>
      <c r="M28" s="399">
        <f>B!L109</f>
        <v>1.68863E-2</v>
      </c>
      <c r="N28" s="35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41" t="s">
        <v>209</v>
      </c>
      <c r="C29" s="228">
        <f>B!B110</f>
        <v>3923.956305130047</v>
      </c>
      <c r="D29" s="228">
        <f>B!C110</f>
        <v>409.53257448465308</v>
      </c>
      <c r="E29" s="231">
        <f>B!D110</f>
        <v>13564.54</v>
      </c>
      <c r="F29" s="228">
        <f>B!E110</f>
        <v>8880.2800000000007</v>
      </c>
      <c r="G29" s="165">
        <f>B!F110</f>
        <v>4684.26</v>
      </c>
      <c r="H29" s="397">
        <f>B!G110</f>
        <v>1.11766E-2</v>
      </c>
      <c r="I29" s="234">
        <f>B!H110</f>
        <v>3.1301661033005939</v>
      </c>
      <c r="J29" s="235">
        <f>B!I110</f>
        <v>26.95</v>
      </c>
      <c r="K29" s="235">
        <f>B!J110</f>
        <v>24.744499999999999</v>
      </c>
      <c r="L29" s="235">
        <f>B!K110</f>
        <v>19.4846</v>
      </c>
      <c r="M29" s="399">
        <f>B!L110</f>
        <v>1.6863E-2</v>
      </c>
      <c r="N29" s="35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41" t="s">
        <v>210</v>
      </c>
      <c r="C30" s="228">
        <f>B!B111</f>
        <v>4122.5715830260397</v>
      </c>
      <c r="D30" s="228">
        <f>B!C111</f>
        <v>433.8551145022941</v>
      </c>
      <c r="E30" s="231">
        <f>B!D111</f>
        <v>14531.34</v>
      </c>
      <c r="F30" s="228">
        <f>B!E111</f>
        <v>9449.35</v>
      </c>
      <c r="G30" s="165">
        <f>B!F111</f>
        <v>5081.99</v>
      </c>
      <c r="H30" s="397">
        <f>B!G111</f>
        <v>1.11764E-2</v>
      </c>
      <c r="I30" s="234">
        <f>B!H111</f>
        <v>3.1891964832623403</v>
      </c>
      <c r="J30" s="235">
        <f>B!I111</f>
        <v>26.4</v>
      </c>
      <c r="K30" s="235">
        <f>B!J111</f>
        <v>24.6707</v>
      </c>
      <c r="L30" s="235">
        <f>B!K111</f>
        <v>19.4693</v>
      </c>
      <c r="M30" s="399">
        <f>B!L111</f>
        <v>1.6867299999999998E-2</v>
      </c>
      <c r="N30" s="35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 thickBot="1">
      <c r="B31" s="242" t="s">
        <v>211</v>
      </c>
      <c r="C31" s="166">
        <f>B!B112</f>
        <v>3877.3844587743106</v>
      </c>
      <c r="D31" s="166">
        <f>B!C112</f>
        <v>409.58079417600788</v>
      </c>
      <c r="E31" s="243">
        <f>B!D112</f>
        <v>13691.760000000002</v>
      </c>
      <c r="F31" s="166">
        <f>B!E112</f>
        <v>8806.5400000000009</v>
      </c>
      <c r="G31" s="168">
        <f>B!F112</f>
        <v>4885.22</v>
      </c>
      <c r="H31" s="398">
        <f>B!G112</f>
        <v>1.1274899999999999E-2</v>
      </c>
      <c r="I31" s="244">
        <f>B!H112</f>
        <v>3.1938117507664052</v>
      </c>
      <c r="J31" s="156">
        <f>B!I112</f>
        <v>26.1</v>
      </c>
      <c r="K31" s="156">
        <f>B!J112</f>
        <v>24.7257</v>
      </c>
      <c r="L31" s="156">
        <f>B!K112</f>
        <v>19.572500000000002</v>
      </c>
      <c r="M31" s="400">
        <f>B!L112</f>
        <v>1.7112100000000002E-2</v>
      </c>
      <c r="N31" s="35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 thickTop="1">
      <c r="B32" s="464"/>
      <c r="C32" s="228"/>
      <c r="D32" s="228"/>
      <c r="E32" s="228"/>
      <c r="F32" s="228"/>
      <c r="G32" s="228"/>
      <c r="H32" s="232"/>
      <c r="I32" s="220"/>
      <c r="J32" s="235"/>
      <c r="K32" s="235"/>
      <c r="L32" s="235"/>
      <c r="M32" s="232"/>
      <c r="N32" s="35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464"/>
      <c r="C33" s="228"/>
      <c r="D33" s="228"/>
      <c r="E33" s="228"/>
      <c r="F33" s="228"/>
      <c r="G33" s="228"/>
      <c r="H33" s="232"/>
      <c r="I33" s="220"/>
      <c r="J33" s="235"/>
      <c r="K33" s="235"/>
      <c r="L33" s="235"/>
      <c r="M33" s="232"/>
      <c r="N33" s="35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 thickBot="1">
      <c r="M34" s="118"/>
      <c r="N34" s="35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4.25" customHeight="1" thickTop="1">
      <c r="B35" s="249" t="s">
        <v>536</v>
      </c>
      <c r="C35" s="237" t="s">
        <v>143</v>
      </c>
      <c r="D35" s="238"/>
      <c r="E35" s="237" t="s">
        <v>435</v>
      </c>
      <c r="F35" s="238"/>
      <c r="G35" s="391"/>
      <c r="H35" s="246" t="s">
        <v>437</v>
      </c>
      <c r="I35" s="247"/>
      <c r="J35" s="238"/>
      <c r="K35" s="238"/>
      <c r="L35" s="392"/>
      <c r="M35" s="394"/>
      <c r="N35" s="35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12" customHeight="1">
      <c r="B36" s="248"/>
      <c r="C36" s="223" t="s">
        <v>5</v>
      </c>
      <c r="D36" s="225" t="s">
        <v>84</v>
      </c>
      <c r="E36" s="223" t="s">
        <v>4</v>
      </c>
      <c r="F36" s="225" t="s">
        <v>6</v>
      </c>
      <c r="G36" s="225" t="s">
        <v>7</v>
      </c>
      <c r="H36" s="223" t="s">
        <v>149</v>
      </c>
      <c r="I36" s="224" t="s">
        <v>150</v>
      </c>
      <c r="J36" s="225" t="s">
        <v>151</v>
      </c>
      <c r="K36" s="225" t="s">
        <v>152</v>
      </c>
      <c r="L36" s="225" t="s">
        <v>153</v>
      </c>
      <c r="M36" s="395" t="s">
        <v>223</v>
      </c>
      <c r="N36" s="35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12" customHeight="1">
      <c r="B37" s="239" t="s">
        <v>78</v>
      </c>
      <c r="C37" s="226" t="s">
        <v>156</v>
      </c>
      <c r="D37" s="227" t="s">
        <v>156</v>
      </c>
      <c r="E37" s="226" t="s">
        <v>156</v>
      </c>
      <c r="F37" s="227" t="s">
        <v>156</v>
      </c>
      <c r="G37" s="227" t="s">
        <v>156</v>
      </c>
      <c r="H37" s="226" t="s">
        <v>157</v>
      </c>
      <c r="I37" s="393"/>
      <c r="J37" s="236" t="s">
        <v>11</v>
      </c>
      <c r="K37" s="227" t="s">
        <v>11</v>
      </c>
      <c r="L37" s="227" t="s">
        <v>11</v>
      </c>
      <c r="M37" s="424" t="s">
        <v>157</v>
      </c>
      <c r="N37" s="35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12" customHeight="1">
      <c r="B38" s="240" t="s">
        <v>159</v>
      </c>
      <c r="C38" s="228">
        <f>'C'!B89</f>
        <v>1897</v>
      </c>
      <c r="D38" s="228">
        <f>'C'!C89</f>
        <v>237</v>
      </c>
      <c r="E38" s="229">
        <f>'C'!D89</f>
        <v>7552.3077000000003</v>
      </c>
      <c r="F38" s="390">
        <f>'C'!E89</f>
        <v>5889.2583000000004</v>
      </c>
      <c r="G38" s="390">
        <f>'C'!F89</f>
        <v>1663.0494000000001</v>
      </c>
      <c r="H38" s="404">
        <f>'C'!G89</f>
        <v>9.4000000000000004E-3</v>
      </c>
      <c r="I38" s="220">
        <f>'C'!H89</f>
        <v>3.5390382849109656</v>
      </c>
      <c r="J38" s="414">
        <f>'C'!I89</f>
        <v>17.777777777777779</v>
      </c>
      <c r="K38" s="235">
        <f>'C'!J89</f>
        <v>23.833333333333336</v>
      </c>
      <c r="L38" s="235">
        <f>'C'!K89</f>
        <v>17.34</v>
      </c>
      <c r="M38" s="416">
        <f>'C'!L89</f>
        <v>1.14E-2</v>
      </c>
      <c r="N38" s="35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2" customHeight="1">
      <c r="B39" s="241" t="s">
        <v>166</v>
      </c>
      <c r="C39" s="228">
        <f>'C'!B90</f>
        <v>1941</v>
      </c>
      <c r="D39" s="228">
        <f>'C'!C90</f>
        <v>240</v>
      </c>
      <c r="E39" s="231">
        <f>'C'!D90</f>
        <v>7630.2723000000005</v>
      </c>
      <c r="F39" s="228">
        <f>'C'!E90</f>
        <v>6069.8079000000007</v>
      </c>
      <c r="G39" s="228">
        <f>'C'!F90</f>
        <v>1560.4644000000001</v>
      </c>
      <c r="H39" s="405">
        <f>'C'!G90</f>
        <v>9.2999999999999992E-3</v>
      </c>
      <c r="I39" s="220">
        <f>'C'!H90</f>
        <v>3.4985200825309493</v>
      </c>
      <c r="J39" s="415">
        <f>'C'!I90</f>
        <v>18.333333333333332</v>
      </c>
      <c r="K39" s="235">
        <f>'C'!J90</f>
        <v>23.944444444444439</v>
      </c>
      <c r="L39" s="235">
        <f>'C'!K90</f>
        <v>17.29</v>
      </c>
      <c r="M39" s="417">
        <f>'C'!L90</f>
        <v>1.12E-2</v>
      </c>
      <c r="N39" s="18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41" t="s">
        <v>169</v>
      </c>
      <c r="C40" s="228">
        <f>'C'!B91</f>
        <v>1897</v>
      </c>
      <c r="D40" s="228">
        <f>'C'!C91</f>
        <v>237</v>
      </c>
      <c r="E40" s="231">
        <f>'C'!D91</f>
        <v>7550.2560000000003</v>
      </c>
      <c r="F40" s="228">
        <f>'C'!E91</f>
        <v>5881.3446000000004</v>
      </c>
      <c r="G40" s="228">
        <f>'C'!F91</f>
        <v>1668.9114000000002</v>
      </c>
      <c r="H40" s="405">
        <f>'C'!G91</f>
        <v>9.4000000000000004E-3</v>
      </c>
      <c r="I40" s="220">
        <f>'C'!H91</f>
        <v>3.5380768509840674</v>
      </c>
      <c r="J40" s="415">
        <f>'C'!I91</f>
        <v>17.777777777777779</v>
      </c>
      <c r="K40" s="235">
        <f>'C'!J91</f>
        <v>23.833333333333336</v>
      </c>
      <c r="L40" s="235">
        <f>'C'!K91</f>
        <v>17.34</v>
      </c>
      <c r="M40" s="417">
        <f>'C'!L91</f>
        <v>1.14E-2</v>
      </c>
      <c r="N40" s="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41" t="s">
        <v>171</v>
      </c>
      <c r="C41" s="228">
        <f>'C'!B92</f>
        <v>1891</v>
      </c>
      <c r="D41" s="228">
        <f>'C'!C92</f>
        <v>237</v>
      </c>
      <c r="E41" s="231">
        <f>'C'!D92</f>
        <v>7533.8424000000005</v>
      </c>
      <c r="F41" s="228">
        <f>'C'!E92</f>
        <v>5878.1205</v>
      </c>
      <c r="G41" s="228">
        <f>'C'!F92</f>
        <v>1655.7219000000002</v>
      </c>
      <c r="H41" s="405">
        <f>'C'!G92</f>
        <v>9.4000000000000004E-3</v>
      </c>
      <c r="I41" s="220">
        <f>'C'!H92</f>
        <v>3.5403394736842109</v>
      </c>
      <c r="J41" s="415">
        <f>'C'!I92</f>
        <v>17.777777777777779</v>
      </c>
      <c r="K41" s="235">
        <f>'C'!J92</f>
        <v>23.833333333333336</v>
      </c>
      <c r="L41" s="235">
        <f>'C'!K92</f>
        <v>17.34</v>
      </c>
      <c r="M41" s="417">
        <f>'C'!L92</f>
        <v>1.14E-2</v>
      </c>
      <c r="N41" s="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41" t="s">
        <v>173</v>
      </c>
      <c r="C42" s="228">
        <f>'C'!B93</f>
        <v>1697</v>
      </c>
      <c r="D42" s="228">
        <f>'C'!C93</f>
        <v>215</v>
      </c>
      <c r="E42" s="231">
        <f>'C'!D93</f>
        <v>6797.868300000001</v>
      </c>
      <c r="F42" s="228">
        <f>'C'!E93</f>
        <v>5675.2953000000007</v>
      </c>
      <c r="G42" s="228">
        <f>'C'!F93</f>
        <v>1122.5730000000001</v>
      </c>
      <c r="H42" s="405">
        <f>'C'!G93</f>
        <v>8.8999999999999999E-3</v>
      </c>
      <c r="I42" s="220">
        <f>'C'!H93</f>
        <v>3.5553704497907956</v>
      </c>
      <c r="J42" s="415">
        <f>'C'!I93</f>
        <v>17.222222222222221</v>
      </c>
      <c r="K42" s="235">
        <f>'C'!J93</f>
        <v>23.777777777777775</v>
      </c>
      <c r="L42" s="235">
        <f>'C'!K93</f>
        <v>16.850000000000001</v>
      </c>
      <c r="M42" s="417">
        <f>'C'!L93</f>
        <v>1.03E-2</v>
      </c>
      <c r="N42" s="2"/>
      <c r="O42" s="2"/>
      <c r="P42" s="12"/>
      <c r="Q42" s="12"/>
      <c r="R42" s="12"/>
      <c r="S42" s="12"/>
      <c r="T42" s="2"/>
      <c r="U42" s="2"/>
      <c r="V42" s="2"/>
      <c r="W42" s="17"/>
      <c r="X42" s="2"/>
      <c r="Y42" s="2"/>
    </row>
    <row r="43" spans="2:25" ht="12" customHeight="1">
      <c r="B43" s="241" t="s">
        <v>174</v>
      </c>
      <c r="C43" s="228">
        <f>'C'!B94</f>
        <v>2126</v>
      </c>
      <c r="D43" s="228">
        <f>'C'!C94</f>
        <v>259</v>
      </c>
      <c r="E43" s="231">
        <f>'C'!D94</f>
        <v>8136.1629000000012</v>
      </c>
      <c r="F43" s="228">
        <f>'C'!E94</f>
        <v>6438.5277000000006</v>
      </c>
      <c r="G43" s="228">
        <f>'C'!F94</f>
        <v>1697.6352000000002</v>
      </c>
      <c r="H43" s="405">
        <f>'C'!G94</f>
        <v>9.1999999999999998E-3</v>
      </c>
      <c r="I43" s="220">
        <f>'C'!H94</f>
        <v>3.4113890566037739</v>
      </c>
      <c r="J43" s="415">
        <f>'C'!I94</f>
        <v>19.444444444444446</v>
      </c>
      <c r="K43" s="235">
        <f>'C'!J94</f>
        <v>24.111111111111114</v>
      </c>
      <c r="L43" s="235">
        <f>'C'!K94</f>
        <v>17.3</v>
      </c>
      <c r="M43" s="417">
        <f>'C'!L94</f>
        <v>1.1299999999999999E-2</v>
      </c>
      <c r="N43" s="2"/>
      <c r="O43" s="2"/>
      <c r="P43" s="2"/>
      <c r="Q43" s="2"/>
      <c r="R43" s="2"/>
      <c r="S43" s="2"/>
      <c r="T43" s="2"/>
      <c r="U43" s="2"/>
      <c r="V43" s="2"/>
      <c r="W43" s="17"/>
      <c r="X43" s="2"/>
      <c r="Y43" s="2"/>
    </row>
    <row r="44" spans="2:25" ht="12" customHeight="1">
      <c r="B44" s="241" t="s">
        <v>176</v>
      </c>
      <c r="C44" s="228">
        <f>'C'!B95</f>
        <v>3198</v>
      </c>
      <c r="D44" s="228">
        <f>'C'!C95</f>
        <v>352</v>
      </c>
      <c r="E44" s="231">
        <f>'C'!D95</f>
        <v>11075.955900000001</v>
      </c>
      <c r="F44" s="228">
        <f>'C'!E95</f>
        <v>8342.2121999999999</v>
      </c>
      <c r="G44" s="228">
        <f>'C'!F95</f>
        <v>2733.7437000000004</v>
      </c>
      <c r="H44" s="405">
        <f>'C'!G95</f>
        <v>0.01</v>
      </c>
      <c r="I44" s="220">
        <f>'C'!H95</f>
        <v>3.1199875774647889</v>
      </c>
      <c r="J44" s="415">
        <f>'C'!I95</f>
        <v>25</v>
      </c>
      <c r="K44" s="235">
        <f>'C'!J95</f>
        <v>24.944444444444446</v>
      </c>
      <c r="L44" s="235">
        <f>'C'!K95</f>
        <v>18.39</v>
      </c>
      <c r="M44" s="417">
        <f>'C'!L95</f>
        <v>1.3299999999999999E-2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ht="12" customHeight="1">
      <c r="B45" s="241" t="s">
        <v>178</v>
      </c>
      <c r="C45" s="228">
        <f>'C'!B96</f>
        <v>3135</v>
      </c>
      <c r="D45" s="228">
        <f>'C'!C96</f>
        <v>332</v>
      </c>
      <c r="E45" s="231">
        <f>'C'!D96</f>
        <v>10290.741000000002</v>
      </c>
      <c r="F45" s="228">
        <f>'C'!E96</f>
        <v>9069.9795000000013</v>
      </c>
      <c r="G45" s="228">
        <f>'C'!F96</f>
        <v>1220.7615000000001</v>
      </c>
      <c r="H45" s="405">
        <f>'C'!G96</f>
        <v>9.4000000000000004E-3</v>
      </c>
      <c r="I45" s="220">
        <f>'C'!H96</f>
        <v>2.9681975771560434</v>
      </c>
      <c r="J45" s="415">
        <f>'C'!I96</f>
        <v>27.222222222222221</v>
      </c>
      <c r="K45" s="235">
        <f>'C'!J96</f>
        <v>25.277777777777779</v>
      </c>
      <c r="L45" s="235">
        <f>'C'!K96</f>
        <v>17.78</v>
      </c>
      <c r="M45" s="417">
        <f>'C'!L96</f>
        <v>1.09E-2</v>
      </c>
      <c r="N45" s="2"/>
      <c r="O45" s="12"/>
      <c r="P45" s="12"/>
      <c r="Q45" s="12"/>
      <c r="R45" s="12"/>
      <c r="S45" s="12"/>
      <c r="T45" s="12"/>
      <c r="U45" s="12"/>
      <c r="V45" s="12"/>
      <c r="W45" s="17"/>
      <c r="X45" s="2"/>
      <c r="Y45" s="2"/>
    </row>
    <row r="46" spans="2:25" ht="12" customHeight="1">
      <c r="B46" s="241" t="s">
        <v>180</v>
      </c>
      <c r="C46" s="228">
        <f>'C'!B97</f>
        <v>4528</v>
      </c>
      <c r="D46" s="228">
        <f>'C'!C97</f>
        <v>469</v>
      </c>
      <c r="E46" s="231">
        <f>'C'!D97</f>
        <v>14785.722600000001</v>
      </c>
      <c r="F46" s="228">
        <f>'C'!E97</f>
        <v>11872.601700000001</v>
      </c>
      <c r="G46" s="228">
        <f>'C'!F97</f>
        <v>2913.1209000000003</v>
      </c>
      <c r="H46" s="405">
        <f>'C'!G97</f>
        <v>9.9000000000000008E-3</v>
      </c>
      <c r="I46" s="220">
        <f>'C'!H97</f>
        <v>2.958919871923154</v>
      </c>
      <c r="J46" s="415">
        <f>'C'!I97</f>
        <v>28.888888888888886</v>
      </c>
      <c r="K46" s="235">
        <f>'C'!J97</f>
        <v>25.555555555555554</v>
      </c>
      <c r="L46" s="235">
        <f>'C'!K97</f>
        <v>18.36</v>
      </c>
      <c r="M46" s="417">
        <f>'C'!L97</f>
        <v>1.17E-2</v>
      </c>
      <c r="N46" s="2"/>
      <c r="O46" s="12"/>
      <c r="P46" s="12"/>
      <c r="Q46" s="12"/>
      <c r="R46" s="12"/>
      <c r="S46" s="12"/>
      <c r="T46" s="12"/>
      <c r="U46" s="12"/>
      <c r="V46" s="12"/>
      <c r="W46" s="17"/>
      <c r="X46" s="2"/>
      <c r="Y46" s="2"/>
    </row>
    <row r="47" spans="2:25" ht="12" customHeight="1">
      <c r="B47" s="241" t="s">
        <v>183</v>
      </c>
      <c r="C47" s="228">
        <f>'C'!B98</f>
        <v>4651</v>
      </c>
      <c r="D47" s="228">
        <f>'C'!C98</f>
        <v>479</v>
      </c>
      <c r="E47" s="231">
        <f>'C'!D98</f>
        <v>15339.974700000001</v>
      </c>
      <c r="F47" s="228">
        <f>'C'!E98</f>
        <v>12039.0825</v>
      </c>
      <c r="G47" s="228">
        <f>'C'!F98</f>
        <v>3300.8922000000002</v>
      </c>
      <c r="H47" s="405">
        <f>'C'!G98</f>
        <v>1.03E-2</v>
      </c>
      <c r="I47" s="220">
        <f>'C'!H98</f>
        <v>2.990248479532164</v>
      </c>
      <c r="J47" s="415">
        <f>'C'!I98</f>
        <v>28.888888888888886</v>
      </c>
      <c r="K47" s="235">
        <f>'C'!J98</f>
        <v>25.555555555555554</v>
      </c>
      <c r="L47" s="235">
        <f>'C'!K98</f>
        <v>18.68</v>
      </c>
      <c r="M47" s="417">
        <f>'C'!L98</f>
        <v>1.2500000000000001E-2</v>
      </c>
      <c r="N47" s="2"/>
      <c r="O47" s="12"/>
      <c r="P47" s="12"/>
      <c r="Q47" s="12"/>
      <c r="R47" s="12"/>
      <c r="S47" s="12"/>
      <c r="T47" s="12"/>
      <c r="U47" s="12"/>
      <c r="V47" s="12"/>
      <c r="W47" s="17"/>
      <c r="X47" s="2"/>
      <c r="Y47" s="2"/>
    </row>
    <row r="48" spans="2:25" ht="12" customHeight="1">
      <c r="B48" s="241" t="s">
        <v>186</v>
      </c>
      <c r="C48" s="228">
        <f>'C'!B99</f>
        <v>5434</v>
      </c>
      <c r="D48" s="228">
        <f>'C'!C99</f>
        <v>537</v>
      </c>
      <c r="E48" s="231">
        <f>'C'!D99</f>
        <v>17455.277400000003</v>
      </c>
      <c r="F48" s="228">
        <f>'C'!E99</f>
        <v>12811.987200000003</v>
      </c>
      <c r="G48" s="228">
        <f>'C'!F99</f>
        <v>4643.2902000000004</v>
      </c>
      <c r="H48" s="405">
        <f>'C'!G99</f>
        <v>1.09E-2</v>
      </c>
      <c r="I48" s="220">
        <f>'C'!H99</f>
        <v>2.9233423882096807</v>
      </c>
      <c r="J48" s="415">
        <f>'C'!I99</f>
        <v>31.111111111111111</v>
      </c>
      <c r="K48" s="235">
        <f>'C'!J99</f>
        <v>25.888888888888882</v>
      </c>
      <c r="L48" s="235">
        <f>'C'!K99</f>
        <v>19.48</v>
      </c>
      <c r="M48" s="417">
        <f>'C'!L99</f>
        <v>1.4800000000000001E-2</v>
      </c>
      <c r="N48" s="2"/>
      <c r="O48" s="12"/>
      <c r="P48" s="12"/>
      <c r="Q48" s="12"/>
      <c r="R48" s="12"/>
      <c r="S48" s="12"/>
      <c r="T48" s="12"/>
      <c r="U48" s="12"/>
      <c r="V48" s="12"/>
      <c r="W48" s="17"/>
      <c r="X48" s="2"/>
      <c r="Y48" s="2"/>
    </row>
    <row r="49" spans="2:25" ht="12" customHeight="1">
      <c r="B49" s="241" t="s">
        <v>187</v>
      </c>
      <c r="C49" s="228">
        <f>'C'!B100</f>
        <v>5019</v>
      </c>
      <c r="D49" s="228">
        <f>'C'!C100</f>
        <v>498</v>
      </c>
      <c r="E49" s="231">
        <f>'C'!D100</f>
        <v>16215.171300000002</v>
      </c>
      <c r="F49" s="228">
        <f>'C'!E100</f>
        <v>12612.093000000001</v>
      </c>
      <c r="G49" s="228">
        <f>'C'!F100</f>
        <v>3603.0783000000001</v>
      </c>
      <c r="H49" s="405">
        <f>'C'!G100</f>
        <v>1.0800000000000001E-2</v>
      </c>
      <c r="I49" s="220">
        <f>'C'!H100</f>
        <v>2.9391283849918439</v>
      </c>
      <c r="J49" s="415">
        <f>'C'!I100</f>
        <v>30.555555555555557</v>
      </c>
      <c r="K49" s="235">
        <f>'C'!J100</f>
        <v>25.833333333333336</v>
      </c>
      <c r="L49" s="235">
        <f>'C'!K100</f>
        <v>19.23</v>
      </c>
      <c r="M49" s="417">
        <f>'C'!L100</f>
        <v>1.34E-2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41" t="s">
        <v>191</v>
      </c>
      <c r="C50" s="228">
        <f>'C'!B101</f>
        <v>6040</v>
      </c>
      <c r="D50" s="228">
        <f>'C'!C101</f>
        <v>597</v>
      </c>
      <c r="E50" s="231">
        <f>'C'!D101</f>
        <v>19722.992100000003</v>
      </c>
      <c r="F50" s="228">
        <f>'C'!E101</f>
        <v>17139.022500000003</v>
      </c>
      <c r="G50" s="228">
        <f>'C'!F101</f>
        <v>2583.9696000000004</v>
      </c>
      <c r="H50" s="405">
        <f>'C'!G101</f>
        <v>1.01E-2</v>
      </c>
      <c r="I50" s="220">
        <f>'C'!H101</f>
        <v>2.9716727587765561</v>
      </c>
      <c r="J50" s="415">
        <f>'C'!I101</f>
        <v>31.111111111111111</v>
      </c>
      <c r="K50" s="235">
        <f>'C'!J101</f>
        <v>25.944444444444446</v>
      </c>
      <c r="L50" s="235">
        <f>'C'!K101</f>
        <v>18.559999999999999</v>
      </c>
      <c r="M50" s="417">
        <f>'C'!L101</f>
        <v>1.15E-2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41" t="s">
        <v>194</v>
      </c>
      <c r="C51" s="228">
        <f>'C'!B102</f>
        <v>6420</v>
      </c>
      <c r="D51" s="228">
        <f>'C'!C102</f>
        <v>633</v>
      </c>
      <c r="E51" s="231">
        <f>'C'!D102</f>
        <v>20808.341400000001</v>
      </c>
      <c r="F51" s="228">
        <f>'C'!E102</f>
        <v>17638.1718</v>
      </c>
      <c r="G51" s="228">
        <f>'C'!F102</f>
        <v>3170.1696000000002</v>
      </c>
      <c r="H51" s="405">
        <f>'C'!G102</f>
        <v>0.01</v>
      </c>
      <c r="I51" s="220">
        <f>'C'!H102</f>
        <v>2.9502823479370481</v>
      </c>
      <c r="J51" s="415">
        <f>'C'!I102</f>
        <v>31.666666666666664</v>
      </c>
      <c r="K51" s="235">
        <f>'C'!J102</f>
        <v>26.055555555555561</v>
      </c>
      <c r="L51" s="235">
        <f>'C'!K102</f>
        <v>18.600000000000001</v>
      </c>
      <c r="M51" s="417">
        <f>'C'!L102</f>
        <v>1.21E-2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41" t="s">
        <v>79</v>
      </c>
      <c r="C52" s="228">
        <f>'C'!B103</f>
        <v>7671</v>
      </c>
      <c r="D52" s="228">
        <f>'C'!C103</f>
        <v>751</v>
      </c>
      <c r="E52" s="231">
        <f>'C'!D103</f>
        <v>25387.149600000001</v>
      </c>
      <c r="F52" s="228">
        <f>'C'!E103</f>
        <v>22196.463</v>
      </c>
      <c r="G52" s="228">
        <f>'C'!F103</f>
        <v>3190.6866000000005</v>
      </c>
      <c r="H52" s="405">
        <f>'C'!G103</f>
        <v>9.7999999999999997E-3</v>
      </c>
      <c r="I52" s="220">
        <f>'C'!H103</f>
        <v>3.0143848966991214</v>
      </c>
      <c r="J52" s="415">
        <f>'C'!I103</f>
        <v>32.222222222222221</v>
      </c>
      <c r="K52" s="235">
        <f>'C'!J103</f>
        <v>26.111111111111114</v>
      </c>
      <c r="L52" s="235">
        <f>'C'!K103</f>
        <v>18.46</v>
      </c>
      <c r="M52" s="417">
        <f>'C'!L103</f>
        <v>1.1900000000000001E-2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41" t="s">
        <v>198</v>
      </c>
      <c r="C53" s="228">
        <f>'C'!B104</f>
        <v>8190</v>
      </c>
      <c r="D53" s="228">
        <f>'C'!C104</f>
        <v>800</v>
      </c>
      <c r="E53" s="231">
        <f>'C'!D104</f>
        <v>27581.003100000002</v>
      </c>
      <c r="F53" s="228">
        <f>'C'!E104</f>
        <v>22527.9591</v>
      </c>
      <c r="G53" s="228">
        <f>'C'!F104</f>
        <v>5053.0440000000008</v>
      </c>
      <c r="H53" s="405">
        <f>'C'!G104</f>
        <v>0.01</v>
      </c>
      <c r="I53" s="220">
        <f>'C'!H104</f>
        <v>3.0679647497219134</v>
      </c>
      <c r="J53" s="415">
        <f>'C'!I104</f>
        <v>32.222222222222221</v>
      </c>
      <c r="K53" s="235">
        <f>'C'!J104</f>
        <v>26.166666666666664</v>
      </c>
      <c r="L53" s="235">
        <f>'C'!K104</f>
        <v>18.84</v>
      </c>
      <c r="M53" s="417">
        <f>'C'!L104</f>
        <v>1.44E-2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41" t="s">
        <v>201</v>
      </c>
      <c r="C54" s="228">
        <f>'C'!B105</f>
        <v>5715</v>
      </c>
      <c r="D54" s="228">
        <f>'C'!C105</f>
        <v>561</v>
      </c>
      <c r="E54" s="231">
        <f>'C'!D105</f>
        <v>18204.734100000001</v>
      </c>
      <c r="F54" s="228">
        <f>'C'!E105</f>
        <v>13599.253800000002</v>
      </c>
      <c r="G54" s="228">
        <f>'C'!F105</f>
        <v>4605.4803000000002</v>
      </c>
      <c r="H54" s="405">
        <f>'C'!G105</f>
        <v>1.0699999999999999E-2</v>
      </c>
      <c r="I54" s="220">
        <f>'C'!H105</f>
        <v>2.9006905831739962</v>
      </c>
      <c r="J54" s="415">
        <f>'C'!I105</f>
        <v>31.666666666666664</v>
      </c>
      <c r="K54" s="235">
        <f>'C'!J105</f>
        <v>26.055555555555561</v>
      </c>
      <c r="L54" s="235">
        <f>'C'!K105</f>
        <v>19.350000000000001</v>
      </c>
      <c r="M54" s="417">
        <f>'C'!L105</f>
        <v>1.46E-2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41" t="s">
        <v>204</v>
      </c>
      <c r="C55" s="228">
        <f>'C'!B106</f>
        <v>5536</v>
      </c>
      <c r="D55" s="228">
        <f>'C'!C106</f>
        <v>544</v>
      </c>
      <c r="E55" s="231">
        <f>'C'!D106</f>
        <v>17933.323500000002</v>
      </c>
      <c r="F55" s="228">
        <f>'C'!E106</f>
        <v>12829.866300000002</v>
      </c>
      <c r="G55" s="228">
        <f>'C'!F106</f>
        <v>5103.4572000000007</v>
      </c>
      <c r="H55" s="405">
        <f>'C'!G106</f>
        <v>1.12E-2</v>
      </c>
      <c r="I55" s="220">
        <f>'C'!H106</f>
        <v>2.9495597861842109</v>
      </c>
      <c r="J55" s="415">
        <f>'C'!I106</f>
        <v>31.111111111111111</v>
      </c>
      <c r="K55" s="235">
        <f>'C'!J106</f>
        <v>25.944444444444446</v>
      </c>
      <c r="L55" s="235">
        <f>'C'!K106</f>
        <v>19.75</v>
      </c>
      <c r="M55" s="417">
        <f>'C'!L106</f>
        <v>1.5699999999999999E-2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41" t="s">
        <v>206</v>
      </c>
      <c r="C56" s="228">
        <f>'C'!B107</f>
        <v>4711</v>
      </c>
      <c r="D56" s="228">
        <f>'C'!C107</f>
        <v>481</v>
      </c>
      <c r="E56" s="231">
        <f>'C'!D107</f>
        <v>16012.053000000002</v>
      </c>
      <c r="F56" s="228">
        <f>'C'!E107</f>
        <v>11875.532700000002</v>
      </c>
      <c r="G56" s="228">
        <f>'C'!F107</f>
        <v>4136.5203000000001</v>
      </c>
      <c r="H56" s="405">
        <f>'C'!G107</f>
        <v>1.0999999999999999E-2</v>
      </c>
      <c r="I56" s="220">
        <f>'C'!H107</f>
        <v>3.0839855546995381</v>
      </c>
      <c r="J56" s="415">
        <f>'C'!I107</f>
        <v>28.333333333333332</v>
      </c>
      <c r="K56" s="235">
        <f>'C'!J107</f>
        <v>25.5</v>
      </c>
      <c r="L56" s="235">
        <f>'C'!K107</f>
        <v>19.32</v>
      </c>
      <c r="M56" s="417">
        <f>'C'!L107</f>
        <v>1.43E-2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41" t="s">
        <v>207</v>
      </c>
      <c r="C57" s="228">
        <f>'C'!B108</f>
        <v>4859</v>
      </c>
      <c r="D57" s="228">
        <f>'C'!C108</f>
        <v>504</v>
      </c>
      <c r="E57" s="231">
        <f>'C'!D108</f>
        <v>17082.161100000001</v>
      </c>
      <c r="F57" s="228">
        <f>'C'!E108</f>
        <v>11532.312600000001</v>
      </c>
      <c r="G57" s="228">
        <f>'C'!F108</f>
        <v>5549.848500000001</v>
      </c>
      <c r="H57" s="405">
        <f>'C'!G108</f>
        <v>1.14E-2</v>
      </c>
      <c r="I57" s="220">
        <f>'C'!H108</f>
        <v>3.1851876002237556</v>
      </c>
      <c r="J57" s="415">
        <f>'C'!I108</f>
        <v>27.222222222222221</v>
      </c>
      <c r="K57" s="235">
        <f>'C'!J108</f>
        <v>25.333333333333329</v>
      </c>
      <c r="L57" s="235">
        <f>'C'!K108</f>
        <v>19.760000000000002</v>
      </c>
      <c r="M57" s="417">
        <f>'C'!L108</f>
        <v>1.6400000000000001E-2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41" t="s">
        <v>208</v>
      </c>
      <c r="C58" s="228">
        <f>'C'!B109</f>
        <v>3913</v>
      </c>
      <c r="D58" s="228">
        <f>'C'!C109</f>
        <v>405</v>
      </c>
      <c r="E58" s="231">
        <f>'C'!D109</f>
        <v>13435.410900000001</v>
      </c>
      <c r="F58" s="228">
        <f>'C'!E109</f>
        <v>9302.4078000000009</v>
      </c>
      <c r="G58" s="228">
        <f>'C'!F109</f>
        <v>4133.0031000000008</v>
      </c>
      <c r="H58" s="405">
        <f>'C'!G109</f>
        <v>1.1299999999999999E-2</v>
      </c>
      <c r="I58" s="220">
        <f>'C'!H109</f>
        <v>3.1114893237610008</v>
      </c>
      <c r="J58" s="415">
        <f>'C'!I109</f>
        <v>27.222222222222221</v>
      </c>
      <c r="K58" s="235">
        <f>'C'!J109</f>
        <v>25.333333333333329</v>
      </c>
      <c r="L58" s="235">
        <f>'C'!K109</f>
        <v>19.760000000000002</v>
      </c>
      <c r="M58" s="417">
        <f>'C'!L109</f>
        <v>1.6400000000000001E-2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41" t="s">
        <v>209</v>
      </c>
      <c r="C59" s="228">
        <f>'C'!B110</f>
        <v>3825</v>
      </c>
      <c r="D59" s="228">
        <f>'C'!C110</f>
        <v>399</v>
      </c>
      <c r="E59" s="231">
        <f>'C'!D110</f>
        <v>13280.361000000001</v>
      </c>
      <c r="F59" s="228">
        <f>'C'!E110</f>
        <v>8973.5496000000003</v>
      </c>
      <c r="G59" s="228">
        <f>'C'!F110</f>
        <v>4306.8114000000005</v>
      </c>
      <c r="H59" s="405">
        <f>'C'!G110</f>
        <v>1.14E-2</v>
      </c>
      <c r="I59" s="220">
        <f>'C'!H110</f>
        <v>3.1440248579545456</v>
      </c>
      <c r="J59" s="415">
        <f>'C'!I110</f>
        <v>26.666666666666668</v>
      </c>
      <c r="K59" s="235">
        <f>'C'!J110</f>
        <v>25.222222222222225</v>
      </c>
      <c r="L59" s="235">
        <f>'C'!K110</f>
        <v>19.8</v>
      </c>
      <c r="M59" s="417">
        <f>'C'!L110</f>
        <v>1.67E-2</v>
      </c>
      <c r="N59" s="2"/>
      <c r="O59" s="2"/>
      <c r="P59" s="12"/>
      <c r="Q59" s="12"/>
      <c r="R59" s="12"/>
      <c r="S59" s="12"/>
      <c r="T59" s="2"/>
      <c r="U59" s="2"/>
      <c r="V59" s="2"/>
      <c r="W59" s="17"/>
      <c r="X59" s="2"/>
      <c r="Y59" s="2"/>
    </row>
    <row r="60" spans="2:25" ht="12" customHeight="1">
      <c r="B60" s="241" t="s">
        <v>210</v>
      </c>
      <c r="C60" s="228">
        <f>'C'!B111</f>
        <v>3750</v>
      </c>
      <c r="D60" s="228">
        <f>'C'!C111</f>
        <v>395</v>
      </c>
      <c r="E60" s="231">
        <f>'C'!D111</f>
        <v>13191.844800000001</v>
      </c>
      <c r="F60" s="228">
        <f>'C'!E111</f>
        <v>8787.4311000000016</v>
      </c>
      <c r="G60" s="228">
        <f>'C'!F111</f>
        <v>4404.4137000000001</v>
      </c>
      <c r="H60" s="405">
        <f>'C'!G111</f>
        <v>1.15E-2</v>
      </c>
      <c r="I60" s="220">
        <f>'C'!H111</f>
        <v>3.1825922316043429</v>
      </c>
      <c r="J60" s="415">
        <f>'C'!I111</f>
        <v>26.111111111111114</v>
      </c>
      <c r="K60" s="235">
        <f>'C'!J111</f>
        <v>25.111111111111111</v>
      </c>
      <c r="L60" s="235">
        <f>'C'!K111</f>
        <v>19.84</v>
      </c>
      <c r="M60" s="417">
        <f>'C'!L111</f>
        <v>1.6899999999999998E-2</v>
      </c>
      <c r="N60" s="2"/>
      <c r="O60" s="2"/>
      <c r="P60" s="2"/>
      <c r="Q60" s="2"/>
      <c r="R60" s="2"/>
      <c r="S60" s="2"/>
      <c r="T60" s="2"/>
      <c r="U60" s="2"/>
      <c r="V60" s="2"/>
      <c r="W60" s="17"/>
      <c r="X60" s="2"/>
      <c r="Y60" s="2"/>
    </row>
    <row r="61" spans="2:25" ht="12" customHeight="1" thickBot="1">
      <c r="B61" s="242" t="s">
        <v>211</v>
      </c>
      <c r="C61" s="243">
        <f>'C'!B112</f>
        <v>3880</v>
      </c>
      <c r="D61" s="166">
        <f>'C'!C112</f>
        <v>407</v>
      </c>
      <c r="E61" s="243">
        <f>'C'!D112</f>
        <v>13724.407500000001</v>
      </c>
      <c r="F61" s="166">
        <f>'C'!E112</f>
        <v>8799.1550999999999</v>
      </c>
      <c r="G61" s="166">
        <f>'C'!F112</f>
        <v>4925.2524000000003</v>
      </c>
      <c r="H61" s="406">
        <f>'C'!G112</f>
        <v>1.17E-2</v>
      </c>
      <c r="I61" s="221">
        <f>'C'!H112</f>
        <v>3.2014013296011199</v>
      </c>
      <c r="J61" s="418">
        <f>'C'!I112</f>
        <v>26.111111111111114</v>
      </c>
      <c r="K61" s="419">
        <f>'C'!J112</f>
        <v>25.111111111111111</v>
      </c>
      <c r="L61" s="419">
        <f>'C'!K112</f>
        <v>20.14</v>
      </c>
      <c r="M61" s="420">
        <f>'C'!L112</f>
        <v>1.78E-2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ht="12" customHeight="1" thickTop="1">
      <c r="B62" s="464"/>
      <c r="C62" s="228"/>
      <c r="D62" s="228"/>
      <c r="E62" s="228"/>
      <c r="F62" s="228"/>
      <c r="G62" s="376" t="s">
        <v>555</v>
      </c>
      <c r="H62" s="232"/>
      <c r="I62" s="220"/>
      <c r="J62" s="235"/>
      <c r="K62" s="235"/>
      <c r="L62" s="235"/>
      <c r="M62" s="23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ht="12" customHeight="1">
      <c r="B63" s="464"/>
      <c r="C63" s="228"/>
      <c r="D63" s="228"/>
      <c r="E63" s="228"/>
      <c r="F63" s="228"/>
      <c r="G63" s="228"/>
      <c r="H63" s="232"/>
      <c r="I63" s="220"/>
      <c r="J63" s="235"/>
      <c r="K63" s="235"/>
      <c r="L63" s="235"/>
      <c r="M63" s="23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ht="12" customHeight="1">
      <c r="B64" s="464"/>
      <c r="C64" s="228"/>
      <c r="D64" s="228"/>
      <c r="E64" s="228"/>
      <c r="F64" s="228"/>
      <c r="G64" s="228"/>
      <c r="H64" s="232"/>
      <c r="I64" s="220"/>
      <c r="J64" s="235"/>
      <c r="K64" s="235"/>
      <c r="L64" s="235"/>
      <c r="M64" s="23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ht="12" customHeight="1">
      <c r="B65" s="464"/>
      <c r="C65" s="228"/>
      <c r="D65" s="228"/>
      <c r="E65" s="228"/>
      <c r="F65" s="228"/>
      <c r="G65" s="228"/>
      <c r="H65" s="232"/>
      <c r="I65" s="220"/>
      <c r="J65" s="235"/>
      <c r="K65" s="235"/>
      <c r="L65" s="235"/>
      <c r="M65" s="23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5.75" customHeight="1">
      <c r="B66" s="464"/>
      <c r="C66" s="58" t="s">
        <v>438</v>
      </c>
      <c r="D66" s="228"/>
      <c r="E66" s="228"/>
      <c r="F66" s="228"/>
      <c r="G66" s="228"/>
      <c r="H66" s="232"/>
      <c r="I66" s="220"/>
      <c r="J66" s="235"/>
      <c r="K66" s="235"/>
      <c r="L66" s="235"/>
      <c r="M66" s="23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2" customHeight="1" thickBot="1">
      <c r="G67" s="350"/>
      <c r="H67" s="118"/>
      <c r="I67" s="119"/>
      <c r="J67" s="95"/>
      <c r="K67" s="95"/>
      <c r="M67" s="118"/>
      <c r="N67" s="2"/>
      <c r="O67" s="12"/>
      <c r="P67" s="12"/>
      <c r="Q67" s="12"/>
      <c r="R67" s="12"/>
      <c r="S67" s="12"/>
      <c r="T67" s="12"/>
      <c r="U67" s="12"/>
      <c r="V67" s="12"/>
      <c r="W67" s="17"/>
      <c r="X67" s="2"/>
      <c r="Y67" s="2"/>
    </row>
    <row r="68" spans="2:25" ht="14.25" customHeight="1" thickTop="1">
      <c r="B68" s="249" t="s">
        <v>354</v>
      </c>
      <c r="C68" s="237" t="s">
        <v>143</v>
      </c>
      <c r="D68" s="238"/>
      <c r="E68" s="237" t="s">
        <v>435</v>
      </c>
      <c r="F68" s="238"/>
      <c r="G68" s="401"/>
      <c r="H68" s="246" t="s">
        <v>437</v>
      </c>
      <c r="I68" s="409"/>
      <c r="J68" s="238"/>
      <c r="K68" s="238"/>
      <c r="L68" s="392"/>
      <c r="M68" s="412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2" customHeight="1">
      <c r="B69" s="248"/>
      <c r="C69" s="223" t="s">
        <v>5</v>
      </c>
      <c r="D69" s="225" t="s">
        <v>84</v>
      </c>
      <c r="E69" s="223" t="s">
        <v>4</v>
      </c>
      <c r="F69" s="225" t="s">
        <v>6</v>
      </c>
      <c r="G69" s="402" t="s">
        <v>7</v>
      </c>
      <c r="H69" s="407" t="s">
        <v>149</v>
      </c>
      <c r="I69" s="410" t="s">
        <v>150</v>
      </c>
      <c r="J69" s="225" t="s">
        <v>151</v>
      </c>
      <c r="K69" s="225" t="s">
        <v>152</v>
      </c>
      <c r="L69" s="225" t="s">
        <v>153</v>
      </c>
      <c r="M69" s="413" t="s">
        <v>223</v>
      </c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39" t="s">
        <v>78</v>
      </c>
      <c r="C70" s="226" t="s">
        <v>156</v>
      </c>
      <c r="D70" s="227" t="s">
        <v>156</v>
      </c>
      <c r="E70" s="226" t="s">
        <v>156</v>
      </c>
      <c r="F70" s="227" t="s">
        <v>156</v>
      </c>
      <c r="G70" s="403" t="s">
        <v>156</v>
      </c>
      <c r="H70" s="408" t="s">
        <v>157</v>
      </c>
      <c r="I70" s="411"/>
      <c r="J70" s="236" t="s">
        <v>11</v>
      </c>
      <c r="K70" s="227" t="s">
        <v>11</v>
      </c>
      <c r="L70" s="227" t="s">
        <v>11</v>
      </c>
      <c r="M70" s="424" t="s">
        <v>157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40" t="s">
        <v>159</v>
      </c>
      <c r="C71" s="228">
        <f>D!B89</f>
        <v>1894</v>
      </c>
      <c r="D71" s="228">
        <f>D!C89</f>
        <v>237</v>
      </c>
      <c r="E71" s="229">
        <f>D!D89</f>
        <v>7544.9802000000009</v>
      </c>
      <c r="F71" s="390">
        <f>D!E89</f>
        <v>5886.9135000000006</v>
      </c>
      <c r="G71" s="228">
        <f>D!F89</f>
        <v>1658.0667000000001</v>
      </c>
      <c r="H71" s="404">
        <f>D!G89</f>
        <v>9.4000000000000004E-3</v>
      </c>
      <c r="I71" s="220">
        <f>D!H89</f>
        <v>3.5405819802909435</v>
      </c>
      <c r="J71" s="421">
        <f>D!I89</f>
        <v>17.777777777777779</v>
      </c>
      <c r="K71" s="235">
        <f>D!J89</f>
        <v>23.833333333333336</v>
      </c>
      <c r="L71" s="155">
        <f>D!K89</f>
        <v>17.34</v>
      </c>
      <c r="M71" s="423">
        <f>D!L89</f>
        <v>1.14E-2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41" t="s">
        <v>166</v>
      </c>
      <c r="C72" s="228">
        <f>D!B90</f>
        <v>1941</v>
      </c>
      <c r="D72" s="228">
        <f>D!C90</f>
        <v>241</v>
      </c>
      <c r="E72" s="231">
        <f>D!D90</f>
        <v>7627.0482000000011</v>
      </c>
      <c r="F72" s="228">
        <f>D!E90</f>
        <v>6067.170000000001</v>
      </c>
      <c r="G72" s="228">
        <f>D!F90</f>
        <v>1559.8782000000001</v>
      </c>
      <c r="H72" s="405">
        <f>D!G90</f>
        <v>9.2999999999999992E-3</v>
      </c>
      <c r="I72" s="220">
        <f>D!H90</f>
        <v>3.4954391384051333</v>
      </c>
      <c r="J72" s="421">
        <f>D!I90</f>
        <v>18.333333333333332</v>
      </c>
      <c r="K72" s="235">
        <f>D!J90</f>
        <v>23.944444444444439</v>
      </c>
      <c r="L72" s="155">
        <f>D!K90</f>
        <v>17.29</v>
      </c>
      <c r="M72" s="399">
        <f>D!L90</f>
        <v>1.12E-2</v>
      </c>
    </row>
    <row r="73" spans="2:25" ht="12" customHeight="1">
      <c r="B73" s="241" t="s">
        <v>169</v>
      </c>
      <c r="C73" s="228">
        <f>D!B91</f>
        <v>1894</v>
      </c>
      <c r="D73" s="228">
        <f>D!C91</f>
        <v>237</v>
      </c>
      <c r="E73" s="231">
        <f>D!D91</f>
        <v>7546.1526000000003</v>
      </c>
      <c r="F73" s="228">
        <f>D!E91</f>
        <v>5878.1205</v>
      </c>
      <c r="G73" s="228">
        <f>D!F91</f>
        <v>1668.0321000000001</v>
      </c>
      <c r="H73" s="405">
        <f>D!G91</f>
        <v>9.4000000000000004E-3</v>
      </c>
      <c r="I73" s="220">
        <f>D!H91</f>
        <v>3.541132144533083</v>
      </c>
      <c r="J73" s="421">
        <f>D!I91</f>
        <v>17.777777777777779</v>
      </c>
      <c r="K73" s="235">
        <f>D!J91</f>
        <v>23.833333333333336</v>
      </c>
      <c r="L73" s="155">
        <f>D!K91</f>
        <v>17.37</v>
      </c>
      <c r="M73" s="399">
        <f>D!L91</f>
        <v>1.14E-2</v>
      </c>
    </row>
    <row r="74" spans="2:25" ht="12" customHeight="1">
      <c r="B74" s="241" t="s">
        <v>171</v>
      </c>
      <c r="C74" s="228">
        <f>D!B92</f>
        <v>1890</v>
      </c>
      <c r="D74" s="228">
        <f>D!C92</f>
        <v>236</v>
      </c>
      <c r="E74" s="231">
        <f>D!D92</f>
        <v>7528.2735000000011</v>
      </c>
      <c r="F74" s="228">
        <f>D!E92</f>
        <v>5873.4309000000012</v>
      </c>
      <c r="G74" s="228">
        <f>D!F92</f>
        <v>1654.8426000000002</v>
      </c>
      <c r="H74" s="405">
        <f>D!G92</f>
        <v>9.4000000000000004E-3</v>
      </c>
      <c r="I74" s="220">
        <f>D!H92</f>
        <v>3.5410505644402641</v>
      </c>
      <c r="J74" s="421">
        <f>D!I92</f>
        <v>17.777777777777779</v>
      </c>
      <c r="K74" s="235">
        <f>D!J92</f>
        <v>23.833333333333336</v>
      </c>
      <c r="L74" s="155">
        <f>D!K92</f>
        <v>17.37</v>
      </c>
      <c r="M74" s="399">
        <f>D!L92</f>
        <v>1.14E-2</v>
      </c>
    </row>
    <row r="75" spans="2:25" ht="12" customHeight="1">
      <c r="B75" s="241" t="s">
        <v>173</v>
      </c>
      <c r="C75" s="228">
        <f>D!B93</f>
        <v>1694</v>
      </c>
      <c r="D75" s="228">
        <f>D!C93</f>
        <v>215</v>
      </c>
      <c r="E75" s="231">
        <f>D!D93</f>
        <v>6753.0240000000003</v>
      </c>
      <c r="F75" s="228">
        <f>D!E93</f>
        <v>5671.7781000000004</v>
      </c>
      <c r="G75" s="228">
        <f>D!F93</f>
        <v>1081.2459000000001</v>
      </c>
      <c r="H75" s="405">
        <f>D!G93</f>
        <v>8.9999999999999993E-3</v>
      </c>
      <c r="I75" s="220">
        <f>D!H93</f>
        <v>3.5374667365112624</v>
      </c>
      <c r="J75" s="421">
        <f>D!I93</f>
        <v>17.222222222222221</v>
      </c>
      <c r="K75" s="235">
        <f>D!J93</f>
        <v>23.777777777777775</v>
      </c>
      <c r="L75" s="155">
        <f>D!K93</f>
        <v>16.940000000000001</v>
      </c>
      <c r="M75" s="399">
        <f>D!L93</f>
        <v>1.03E-2</v>
      </c>
    </row>
    <row r="76" spans="2:25" ht="12" customHeight="1">
      <c r="B76" s="241" t="s">
        <v>174</v>
      </c>
      <c r="C76" s="228">
        <f>D!B94</f>
        <v>2133</v>
      </c>
      <c r="D76" s="228">
        <f>D!C94</f>
        <v>259</v>
      </c>
      <c r="E76" s="231">
        <f>D!D94</f>
        <v>8185.1106000000009</v>
      </c>
      <c r="F76" s="228">
        <f>D!E94</f>
        <v>6438.5277000000006</v>
      </c>
      <c r="G76" s="228">
        <f>D!F94</f>
        <v>1746.5829000000001</v>
      </c>
      <c r="H76" s="405">
        <f>D!G94</f>
        <v>9.1999999999999998E-3</v>
      </c>
      <c r="I76" s="220">
        <f>D!H94</f>
        <v>3.4218689799331106</v>
      </c>
      <c r="J76" s="421">
        <f>D!I94</f>
        <v>19.444444444444446</v>
      </c>
      <c r="K76" s="235">
        <f>D!J94</f>
        <v>24.111111111111114</v>
      </c>
      <c r="L76" s="155">
        <f>D!K94</f>
        <v>17.3</v>
      </c>
      <c r="M76" s="399">
        <f>D!L94</f>
        <v>1.1299999999999999E-2</v>
      </c>
    </row>
    <row r="77" spans="2:25" ht="12" customHeight="1">
      <c r="B77" s="241" t="s">
        <v>176</v>
      </c>
      <c r="C77" s="228">
        <f>D!B95</f>
        <v>3223</v>
      </c>
      <c r="D77" s="228">
        <f>D!C95</f>
        <v>353</v>
      </c>
      <c r="E77" s="231">
        <f>D!D95</f>
        <v>11232.764400000002</v>
      </c>
      <c r="F77" s="228">
        <f>D!E95</f>
        <v>8347.781100000002</v>
      </c>
      <c r="G77" s="228">
        <f>D!F95</f>
        <v>2884.9833000000003</v>
      </c>
      <c r="H77" s="405">
        <f>D!G95</f>
        <v>9.7999999999999997E-3</v>
      </c>
      <c r="I77" s="220">
        <f>D!H95</f>
        <v>3.1411533557046987</v>
      </c>
      <c r="J77" s="421">
        <f>D!I95</f>
        <v>25</v>
      </c>
      <c r="K77" s="235">
        <f>D!J95</f>
        <v>24.944444444444446</v>
      </c>
      <c r="L77" s="155">
        <f>D!K95</f>
        <v>18.23</v>
      </c>
      <c r="M77" s="399">
        <f>D!L95</f>
        <v>1.3299999999999999E-2</v>
      </c>
    </row>
    <row r="78" spans="2:25" ht="12" customHeight="1">
      <c r="B78" s="241" t="s">
        <v>178</v>
      </c>
      <c r="C78" s="228">
        <f>D!B96</f>
        <v>3145</v>
      </c>
      <c r="D78" s="228">
        <f>D!C96</f>
        <v>335</v>
      </c>
      <c r="E78" s="231">
        <f>D!D96</f>
        <v>10271.6895</v>
      </c>
      <c r="F78" s="228">
        <f>D!E96</f>
        <v>9069.1002000000008</v>
      </c>
      <c r="G78" s="228">
        <f>D!F96</f>
        <v>1202.5893000000001</v>
      </c>
      <c r="H78" s="405">
        <f>D!G96</f>
        <v>9.4000000000000004E-3</v>
      </c>
      <c r="I78" s="220">
        <f>D!H96</f>
        <v>2.9516349137931037</v>
      </c>
      <c r="J78" s="421">
        <f>D!I96</f>
        <v>27.222222222222221</v>
      </c>
      <c r="K78" s="235">
        <f>D!J96</f>
        <v>25.277777777777779</v>
      </c>
      <c r="L78" s="155">
        <f>D!K96</f>
        <v>17.78</v>
      </c>
      <c r="M78" s="399">
        <f>D!L96</f>
        <v>1.09E-2</v>
      </c>
    </row>
    <row r="79" spans="2:25" ht="12" customHeight="1">
      <c r="B79" s="241" t="s">
        <v>180</v>
      </c>
      <c r="C79" s="228">
        <f>D!B97</f>
        <v>4526</v>
      </c>
      <c r="D79" s="228">
        <f>D!C97</f>
        <v>467</v>
      </c>
      <c r="E79" s="231">
        <f>D!D97</f>
        <v>14844.049500000001</v>
      </c>
      <c r="F79" s="228">
        <f>D!E97</f>
        <v>11875.239600000001</v>
      </c>
      <c r="G79" s="228">
        <f>D!F97</f>
        <v>2968.8099000000002</v>
      </c>
      <c r="H79" s="405">
        <f>D!G97</f>
        <v>9.9000000000000008E-3</v>
      </c>
      <c r="I79" s="220">
        <f>D!H97</f>
        <v>2.9729720608852395</v>
      </c>
      <c r="J79" s="421">
        <f>D!I97</f>
        <v>28.888888888888886</v>
      </c>
      <c r="K79" s="235">
        <f>D!J97</f>
        <v>25.555555555555554</v>
      </c>
      <c r="L79" s="155">
        <f>D!K97</f>
        <v>18.28</v>
      </c>
      <c r="M79" s="399">
        <f>D!L97</f>
        <v>1.17E-2</v>
      </c>
    </row>
    <row r="80" spans="2:25" ht="12" customHeight="1">
      <c r="B80" s="241" t="s">
        <v>183</v>
      </c>
      <c r="C80" s="228">
        <f>D!B98</f>
        <v>4655</v>
      </c>
      <c r="D80" s="228">
        <f>D!C98</f>
        <v>478</v>
      </c>
      <c r="E80" s="231">
        <f>D!D98</f>
        <v>15392.732700000002</v>
      </c>
      <c r="F80" s="228">
        <f>D!E98</f>
        <v>12041.134200000002</v>
      </c>
      <c r="G80" s="228">
        <f>D!F98</f>
        <v>3351.5985000000005</v>
      </c>
      <c r="H80" s="405">
        <f>D!G98</f>
        <v>1.0200000000000001E-2</v>
      </c>
      <c r="I80" s="220">
        <f>D!H98</f>
        <v>2.9987790181180602</v>
      </c>
      <c r="J80" s="421">
        <f>D!I98</f>
        <v>28.888888888888886</v>
      </c>
      <c r="K80" s="235">
        <f>D!J98</f>
        <v>25.555555555555554</v>
      </c>
      <c r="L80" s="155">
        <f>D!K98</f>
        <v>18.600000000000001</v>
      </c>
      <c r="M80" s="399">
        <f>D!L98</f>
        <v>1.2500000000000001E-2</v>
      </c>
    </row>
    <row r="81" spans="2:13" ht="12" customHeight="1">
      <c r="B81" s="241" t="s">
        <v>186</v>
      </c>
      <c r="C81" s="228">
        <f>D!B99</f>
        <v>5456</v>
      </c>
      <c r="D81" s="228">
        <f>D!C99</f>
        <v>536</v>
      </c>
      <c r="E81" s="231">
        <f>D!D99</f>
        <v>17605.051500000001</v>
      </c>
      <c r="F81" s="228">
        <f>D!E99</f>
        <v>12817.556100000002</v>
      </c>
      <c r="G81" s="228">
        <f>D!F99</f>
        <v>4787.4954000000007</v>
      </c>
      <c r="H81" s="405">
        <f>D!G99</f>
        <v>1.0699999999999999E-2</v>
      </c>
      <c r="I81" s="220">
        <f>D!H99</f>
        <v>2.9380927069425904</v>
      </c>
      <c r="J81" s="421">
        <f>D!I99</f>
        <v>31.111111111111111</v>
      </c>
      <c r="K81" s="235">
        <f>D!J99</f>
        <v>25.888888888888882</v>
      </c>
      <c r="L81" s="155">
        <f>D!K99</f>
        <v>19.329999999999998</v>
      </c>
      <c r="M81" s="399">
        <f>D!L99</f>
        <v>1.4800000000000001E-2</v>
      </c>
    </row>
    <row r="82" spans="2:13" ht="12" customHeight="1">
      <c r="B82" s="241" t="s">
        <v>187</v>
      </c>
      <c r="C82" s="228">
        <f>D!B100</f>
        <v>5015</v>
      </c>
      <c r="D82" s="228">
        <f>D!C100</f>
        <v>498</v>
      </c>
      <c r="E82" s="231">
        <f>D!D100</f>
        <v>16187.619900000002</v>
      </c>
      <c r="F82" s="228">
        <f>D!E100</f>
        <v>12610.920600000001</v>
      </c>
      <c r="G82" s="228">
        <f>D!F100</f>
        <v>3576.6993000000002</v>
      </c>
      <c r="H82" s="405">
        <f>D!G100</f>
        <v>1.0800000000000001E-2</v>
      </c>
      <c r="I82" s="220">
        <f>D!H100</f>
        <v>2.9362633593324872</v>
      </c>
      <c r="J82" s="421">
        <f>D!I100</f>
        <v>30.555555555555557</v>
      </c>
      <c r="K82" s="235">
        <f>D!J100</f>
        <v>25.833333333333336</v>
      </c>
      <c r="L82" s="155">
        <f>D!K100</f>
        <v>19.23</v>
      </c>
      <c r="M82" s="399">
        <f>D!L100</f>
        <v>1.34E-2</v>
      </c>
    </row>
    <row r="83" spans="2:13" ht="12" customHeight="1">
      <c r="B83" s="241" t="s">
        <v>191</v>
      </c>
      <c r="C83" s="228">
        <f>D!B101</f>
        <v>6036</v>
      </c>
      <c r="D83" s="228">
        <f>D!C101</f>
        <v>600</v>
      </c>
      <c r="E83" s="231">
        <f>D!D101</f>
        <v>19620.993300000002</v>
      </c>
      <c r="F83" s="228">
        <f>D!E101</f>
        <v>17135.212200000002</v>
      </c>
      <c r="G83" s="228">
        <f>D!F101</f>
        <v>2485.7811000000002</v>
      </c>
      <c r="H83" s="405">
        <f>D!G101</f>
        <v>1.0200000000000001E-2</v>
      </c>
      <c r="I83" s="220">
        <f>D!H101</f>
        <v>2.9567500452079569</v>
      </c>
      <c r="J83" s="421">
        <f>D!I101</f>
        <v>31.111111111111111</v>
      </c>
      <c r="K83" s="235">
        <f>D!J101</f>
        <v>25.944444444444446</v>
      </c>
      <c r="L83" s="155">
        <f>D!K101</f>
        <v>18.64</v>
      </c>
      <c r="M83" s="399">
        <f>D!L101</f>
        <v>1.15E-2</v>
      </c>
    </row>
    <row r="84" spans="2:13" ht="12" customHeight="1">
      <c r="B84" s="241" t="s">
        <v>194</v>
      </c>
      <c r="C84" s="228">
        <f>D!B102</f>
        <v>6429</v>
      </c>
      <c r="D84" s="228">
        <f>D!C102</f>
        <v>635</v>
      </c>
      <c r="E84" s="231">
        <f>D!D102</f>
        <v>20819.186100000003</v>
      </c>
      <c r="F84" s="228">
        <f>D!E102</f>
        <v>17639.051100000004</v>
      </c>
      <c r="G84" s="228">
        <f>D!F102</f>
        <v>3180.1350000000002</v>
      </c>
      <c r="H84" s="405">
        <f>D!G102</f>
        <v>0.01</v>
      </c>
      <c r="I84" s="220">
        <f>D!H102</f>
        <v>2.9472234003397513</v>
      </c>
      <c r="J84" s="421">
        <f>D!I102</f>
        <v>31.666666666666664</v>
      </c>
      <c r="K84" s="235">
        <f>D!J102</f>
        <v>26.055555555555561</v>
      </c>
      <c r="L84" s="155">
        <f>D!K102</f>
        <v>18.600000000000001</v>
      </c>
      <c r="M84" s="399">
        <f>D!L102</f>
        <v>1.21E-2</v>
      </c>
    </row>
    <row r="85" spans="2:13" ht="12" customHeight="1">
      <c r="B85" s="241" t="s">
        <v>79</v>
      </c>
      <c r="C85" s="228">
        <f>D!B103</f>
        <v>7683</v>
      </c>
      <c r="D85" s="228">
        <f>D!C103</f>
        <v>754</v>
      </c>
      <c r="E85" s="231">
        <f>D!D103</f>
        <v>25392.718500000003</v>
      </c>
      <c r="F85" s="228">
        <f>D!E103</f>
        <v>22196.756100000002</v>
      </c>
      <c r="G85" s="228">
        <f>D!F103</f>
        <v>3195.9624000000003</v>
      </c>
      <c r="H85" s="405">
        <f>D!G103</f>
        <v>9.7999999999999997E-3</v>
      </c>
      <c r="I85" s="220">
        <f>D!H103</f>
        <v>3.0096857295247128</v>
      </c>
      <c r="J85" s="421">
        <f>D!I103</f>
        <v>32.222222222222221</v>
      </c>
      <c r="K85" s="235">
        <f>D!J103</f>
        <v>26.111111111111114</v>
      </c>
      <c r="L85" s="155">
        <f>D!K103</f>
        <v>18.46</v>
      </c>
      <c r="M85" s="399">
        <f>D!L103</f>
        <v>1.1900000000000001E-2</v>
      </c>
    </row>
    <row r="86" spans="2:13" ht="12" customHeight="1">
      <c r="B86" s="241" t="s">
        <v>198</v>
      </c>
      <c r="C86" s="228">
        <f>D!B104</f>
        <v>8222</v>
      </c>
      <c r="D86" s="228">
        <f>D!C104</f>
        <v>803</v>
      </c>
      <c r="E86" s="231">
        <f>D!D104</f>
        <v>27721.104900000002</v>
      </c>
      <c r="F86" s="228">
        <f>D!E104</f>
        <v>22533.234900000003</v>
      </c>
      <c r="G86" s="228">
        <f>D!F104</f>
        <v>5187.8700000000008</v>
      </c>
      <c r="H86" s="405">
        <f>D!G104</f>
        <v>9.7999999999999997E-3</v>
      </c>
      <c r="I86" s="220">
        <f>D!H104</f>
        <v>3.0715905706371194</v>
      </c>
      <c r="J86" s="421">
        <f>D!I104</f>
        <v>32.222222222222221</v>
      </c>
      <c r="K86" s="235">
        <f>D!J104</f>
        <v>26.166666666666664</v>
      </c>
      <c r="L86" s="155">
        <f>D!K104</f>
        <v>18.760000000000002</v>
      </c>
      <c r="M86" s="399">
        <f>D!L104</f>
        <v>1.44E-2</v>
      </c>
    </row>
    <row r="87" spans="2:13" ht="12" customHeight="1">
      <c r="B87" s="241" t="s">
        <v>201</v>
      </c>
      <c r="C87" s="228">
        <f>D!B105</f>
        <v>5696</v>
      </c>
      <c r="D87" s="228">
        <f>D!C105</f>
        <v>556</v>
      </c>
      <c r="E87" s="231">
        <f>D!D105</f>
        <v>18244.595700000002</v>
      </c>
      <c r="F87" s="228">
        <f>D!E105</f>
        <v>13600.133100000001</v>
      </c>
      <c r="G87" s="228">
        <f>D!F105</f>
        <v>4644.4626000000007</v>
      </c>
      <c r="H87" s="405">
        <f>D!G105</f>
        <v>1.0699999999999999E-2</v>
      </c>
      <c r="I87" s="220">
        <f>D!H105</f>
        <v>2.9182014875239926</v>
      </c>
      <c r="J87" s="421">
        <f>D!I105</f>
        <v>31.666666666666664</v>
      </c>
      <c r="K87" s="235">
        <f>D!J105</f>
        <v>26.055555555555561</v>
      </c>
      <c r="L87" s="155">
        <f>D!K105</f>
        <v>19.350000000000001</v>
      </c>
      <c r="M87" s="399">
        <f>D!L105</f>
        <v>1.46E-2</v>
      </c>
    </row>
    <row r="88" spans="2:13" ht="12" customHeight="1">
      <c r="B88" s="241" t="s">
        <v>204</v>
      </c>
      <c r="C88" s="228">
        <f>D!B106</f>
        <v>5531</v>
      </c>
      <c r="D88" s="228">
        <f>D!C106</f>
        <v>541</v>
      </c>
      <c r="E88" s="231">
        <f>D!D106</f>
        <v>17977.8747</v>
      </c>
      <c r="F88" s="228">
        <f>D!E106</f>
        <v>12831.624899999999</v>
      </c>
      <c r="G88" s="228">
        <f>D!F106</f>
        <v>5146.2498000000005</v>
      </c>
      <c r="H88" s="405">
        <f>D!G106</f>
        <v>1.12E-2</v>
      </c>
      <c r="I88" s="220">
        <f>D!H106</f>
        <v>2.9607830533596839</v>
      </c>
      <c r="J88" s="421">
        <f>D!I106</f>
        <v>31.111111111111111</v>
      </c>
      <c r="K88" s="235">
        <f>D!J106</f>
        <v>25.944444444444446</v>
      </c>
      <c r="L88" s="155">
        <f>D!K106</f>
        <v>19.68</v>
      </c>
      <c r="M88" s="399">
        <f>D!L106</f>
        <v>1.5699999999999999E-2</v>
      </c>
    </row>
    <row r="89" spans="2:13" ht="12" customHeight="1">
      <c r="B89" s="241" t="s">
        <v>206</v>
      </c>
      <c r="C89" s="228">
        <f>D!B107</f>
        <v>4689</v>
      </c>
      <c r="D89" s="228">
        <f>D!C107</f>
        <v>479</v>
      </c>
      <c r="E89" s="231">
        <f>D!D107</f>
        <v>15914.450700000001</v>
      </c>
      <c r="F89" s="228">
        <f>D!E107</f>
        <v>11871.136200000001</v>
      </c>
      <c r="G89" s="228">
        <f>D!F107</f>
        <v>4043.3145000000004</v>
      </c>
      <c r="H89" s="405">
        <f>D!G107</f>
        <v>1.11E-2</v>
      </c>
      <c r="I89" s="220">
        <f>D!H107</f>
        <v>3.0794215750773994</v>
      </c>
      <c r="J89" s="421">
        <f>D!I107</f>
        <v>28.333333333333332</v>
      </c>
      <c r="K89" s="235">
        <f>D!J107</f>
        <v>25.5</v>
      </c>
      <c r="L89" s="155">
        <f>D!K107</f>
        <v>19.399999999999999</v>
      </c>
      <c r="M89" s="399">
        <f>D!L107</f>
        <v>1.43E-2</v>
      </c>
    </row>
    <row r="90" spans="2:13" ht="12" customHeight="1">
      <c r="B90" s="241" t="s">
        <v>207</v>
      </c>
      <c r="C90" s="228">
        <f>D!B108</f>
        <v>4855</v>
      </c>
      <c r="D90" s="228">
        <f>D!C108</f>
        <v>503</v>
      </c>
      <c r="E90" s="231">
        <f>D!D108</f>
        <v>17120.2641</v>
      </c>
      <c r="F90" s="228">
        <f>D!E108</f>
        <v>11534.071199999998</v>
      </c>
      <c r="G90" s="228">
        <f>D!F108</f>
        <v>5586.1929000000009</v>
      </c>
      <c r="H90" s="405">
        <f>D!G108</f>
        <v>1.1299999999999999E-2</v>
      </c>
      <c r="I90" s="220">
        <f>D!H108</f>
        <v>3.1952713885778277</v>
      </c>
      <c r="J90" s="421">
        <f>D!I108</f>
        <v>27.222222222222221</v>
      </c>
      <c r="K90" s="235">
        <f>D!J108</f>
        <v>25.333333333333329</v>
      </c>
      <c r="L90" s="155">
        <f>D!K108</f>
        <v>19.760000000000002</v>
      </c>
      <c r="M90" s="399">
        <f>D!L108</f>
        <v>1.6400000000000001E-2</v>
      </c>
    </row>
    <row r="91" spans="2:13" ht="12" customHeight="1">
      <c r="B91" s="241" t="s">
        <v>208</v>
      </c>
      <c r="C91" s="228">
        <f>D!B109</f>
        <v>3918</v>
      </c>
      <c r="D91" s="228">
        <f>D!C109</f>
        <v>406</v>
      </c>
      <c r="E91" s="231">
        <f>D!D109</f>
        <v>13445.083200000001</v>
      </c>
      <c r="F91" s="228">
        <f>D!E109</f>
        <v>9302.7008999999998</v>
      </c>
      <c r="G91" s="228">
        <f>D!F109</f>
        <v>4142.3823000000002</v>
      </c>
      <c r="H91" s="405">
        <f>D!G109</f>
        <v>1.1299999999999999E-2</v>
      </c>
      <c r="I91" s="220">
        <f>D!H109</f>
        <v>3.1094086956521743</v>
      </c>
      <c r="J91" s="421">
        <f>D!I109</f>
        <v>27.222222222222221</v>
      </c>
      <c r="K91" s="235">
        <f>D!J109</f>
        <v>25.333333333333329</v>
      </c>
      <c r="L91" s="155">
        <f>D!K109</f>
        <v>19.760000000000002</v>
      </c>
      <c r="M91" s="399">
        <f>D!L109</f>
        <v>1.6400000000000001E-2</v>
      </c>
    </row>
    <row r="92" spans="2:13" ht="12" customHeight="1">
      <c r="B92" s="241" t="s">
        <v>209</v>
      </c>
      <c r="C92" s="228">
        <f>D!B110</f>
        <v>3823</v>
      </c>
      <c r="D92" s="228">
        <f>D!C110</f>
        <v>399</v>
      </c>
      <c r="E92" s="231">
        <f>D!D110</f>
        <v>13285.0506</v>
      </c>
      <c r="F92" s="228">
        <f>D!E110</f>
        <v>8973.8427000000011</v>
      </c>
      <c r="G92" s="228">
        <f>D!F110</f>
        <v>4311.2079000000003</v>
      </c>
      <c r="H92" s="405">
        <f>D!G110</f>
        <v>1.14E-2</v>
      </c>
      <c r="I92" s="220">
        <f>D!H110</f>
        <v>3.1466249644718145</v>
      </c>
      <c r="J92" s="421">
        <f>D!I110</f>
        <v>26.666666666666668</v>
      </c>
      <c r="K92" s="235">
        <f>D!J110</f>
        <v>25.222222222222225</v>
      </c>
      <c r="L92" s="155">
        <f>D!K110</f>
        <v>19.8</v>
      </c>
      <c r="M92" s="399">
        <f>D!L110</f>
        <v>1.67E-2</v>
      </c>
    </row>
    <row r="93" spans="2:13" ht="12" customHeight="1">
      <c r="B93" s="241" t="s">
        <v>210</v>
      </c>
      <c r="C93" s="228">
        <f>D!B111</f>
        <v>3748</v>
      </c>
      <c r="D93" s="228">
        <f>D!C111</f>
        <v>394</v>
      </c>
      <c r="E93" s="231">
        <f>D!D111</f>
        <v>13192.137900000002</v>
      </c>
      <c r="F93" s="228">
        <f>D!E111</f>
        <v>8787.4311000000016</v>
      </c>
      <c r="G93" s="228">
        <f>D!F111</f>
        <v>4404.7068000000008</v>
      </c>
      <c r="H93" s="405">
        <f>D!G111</f>
        <v>1.15E-2</v>
      </c>
      <c r="I93" s="220">
        <f>D!H111</f>
        <v>3.1849681071945923</v>
      </c>
      <c r="J93" s="421">
        <f>D!I111</f>
        <v>26.111111111111114</v>
      </c>
      <c r="K93" s="235">
        <f>D!J111</f>
        <v>25.111111111111111</v>
      </c>
      <c r="L93" s="155">
        <f>D!K111</f>
        <v>19.84</v>
      </c>
      <c r="M93" s="399">
        <f>D!L111</f>
        <v>1.6899999999999998E-2</v>
      </c>
    </row>
    <row r="94" spans="2:13" ht="12" customHeight="1" thickBot="1">
      <c r="B94" s="242" t="s">
        <v>211</v>
      </c>
      <c r="C94" s="243">
        <f>D!B112</f>
        <v>3880</v>
      </c>
      <c r="D94" s="166">
        <f>D!C112</f>
        <v>407</v>
      </c>
      <c r="E94" s="243">
        <f>D!D112</f>
        <v>13754.3037</v>
      </c>
      <c r="F94" s="166">
        <f>D!E112</f>
        <v>8799.7412999999997</v>
      </c>
      <c r="G94" s="166">
        <f>D!F112</f>
        <v>4954.5624000000007</v>
      </c>
      <c r="H94" s="406">
        <f>D!G112</f>
        <v>1.17E-2</v>
      </c>
      <c r="I94" s="221">
        <f>D!H112</f>
        <v>3.2083750174947516</v>
      </c>
      <c r="J94" s="422">
        <f>D!I112</f>
        <v>26.111111111111114</v>
      </c>
      <c r="K94" s="156">
        <f>D!J112</f>
        <v>25.111111111111111</v>
      </c>
      <c r="L94" s="157">
        <f>D!K112</f>
        <v>20.059999999999999</v>
      </c>
      <c r="M94" s="400">
        <f>D!L112</f>
        <v>1.78E-2</v>
      </c>
    </row>
    <row r="95" spans="2:13" ht="12" customHeight="1" thickTop="1">
      <c r="H95" s="118"/>
      <c r="I95" s="119"/>
      <c r="M95" s="118"/>
    </row>
    <row r="96" spans="2:13" ht="12" customHeight="1">
      <c r="G96" s="376"/>
      <c r="H96" s="118"/>
      <c r="I96" s="119"/>
      <c r="M96" s="118"/>
    </row>
    <row r="97" spans="2:13" ht="12" customHeight="1" thickBot="1">
      <c r="G97" s="376"/>
      <c r="H97" s="118"/>
      <c r="I97" s="119"/>
      <c r="M97" s="118"/>
    </row>
    <row r="98" spans="2:13" ht="12" customHeight="1" thickTop="1">
      <c r="B98" s="249" t="s">
        <v>436</v>
      </c>
      <c r="C98" s="237" t="s">
        <v>143</v>
      </c>
      <c r="D98" s="238"/>
      <c r="E98" s="237" t="s">
        <v>435</v>
      </c>
      <c r="F98" s="238"/>
      <c r="G98" s="401"/>
      <c r="H98" s="246" t="s">
        <v>437</v>
      </c>
      <c r="I98" s="409"/>
      <c r="J98" s="238"/>
      <c r="K98" s="238"/>
      <c r="L98" s="392"/>
      <c r="M98" s="412"/>
    </row>
    <row r="99" spans="2:13" ht="12" customHeight="1">
      <c r="B99" s="248"/>
      <c r="C99" s="223" t="s">
        <v>5</v>
      </c>
      <c r="D99" s="225" t="s">
        <v>84</v>
      </c>
      <c r="E99" s="223" t="s">
        <v>4</v>
      </c>
      <c r="F99" s="225" t="s">
        <v>6</v>
      </c>
      <c r="G99" s="402" t="s">
        <v>7</v>
      </c>
      <c r="H99" s="407" t="s">
        <v>149</v>
      </c>
      <c r="I99" s="410" t="s">
        <v>150</v>
      </c>
      <c r="J99" s="225" t="s">
        <v>151</v>
      </c>
      <c r="K99" s="225" t="s">
        <v>152</v>
      </c>
      <c r="L99" s="225" t="s">
        <v>153</v>
      </c>
      <c r="M99" s="413" t="s">
        <v>223</v>
      </c>
    </row>
    <row r="100" spans="2:13" ht="12" customHeight="1">
      <c r="B100" s="239" t="s">
        <v>78</v>
      </c>
      <c r="C100" s="226" t="s">
        <v>156</v>
      </c>
      <c r="D100" s="227" t="s">
        <v>156</v>
      </c>
      <c r="E100" s="226" t="s">
        <v>156</v>
      </c>
      <c r="F100" s="227" t="s">
        <v>156</v>
      </c>
      <c r="G100" s="403" t="s">
        <v>156</v>
      </c>
      <c r="H100" s="408" t="s">
        <v>157</v>
      </c>
      <c r="I100" s="411"/>
      <c r="J100" s="236" t="s">
        <v>11</v>
      </c>
      <c r="K100" s="227" t="s">
        <v>11</v>
      </c>
      <c r="L100" s="227" t="s">
        <v>11</v>
      </c>
      <c r="M100" s="424" t="s">
        <v>157</v>
      </c>
    </row>
    <row r="101" spans="2:13" ht="12" customHeight="1">
      <c r="B101" s="240" t="s">
        <v>159</v>
      </c>
      <c r="C101" s="228">
        <f>E!B89</f>
        <v>2153.3475438412001</v>
      </c>
      <c r="D101" s="228" t="str">
        <f>E!C89</f>
        <v>Note 1</v>
      </c>
      <c r="E101" s="229">
        <f>E!D89</f>
        <v>7602.8745045605829</v>
      </c>
      <c r="F101" s="390">
        <f>E!E89</f>
        <v>5807.8572775113616</v>
      </c>
      <c r="G101" s="230">
        <f>E!F89</f>
        <v>1795.0172270492249</v>
      </c>
      <c r="H101" s="232">
        <f>E!G89</f>
        <v>9.25680878373163E-3</v>
      </c>
      <c r="I101" s="233">
        <f>E!H89</f>
        <v>3.5307233736168606</v>
      </c>
      <c r="J101" s="235">
        <f>E!I89</f>
        <v>17.987500000000001</v>
      </c>
      <c r="K101" s="235">
        <f>E!J89</f>
        <v>23.945048605625502</v>
      </c>
      <c r="L101" s="235">
        <f>E!K89</f>
        <v>0</v>
      </c>
      <c r="M101" s="423">
        <f>E!L89</f>
        <v>1.1201933285177801E-2</v>
      </c>
    </row>
    <row r="102" spans="2:13" ht="12" customHeight="1">
      <c r="B102" s="241" t="s">
        <v>166</v>
      </c>
      <c r="C102" s="228">
        <f>E!B90</f>
        <v>2166.99328596236</v>
      </c>
      <c r="D102" s="228" t="str">
        <f>E!C90</f>
        <v>Note 1</v>
      </c>
      <c r="E102" s="231">
        <f>E!D90</f>
        <v>7628.0998544260829</v>
      </c>
      <c r="F102" s="228">
        <f>E!E90</f>
        <v>5850.1562392488058</v>
      </c>
      <c r="G102" s="165">
        <f>E!F90</f>
        <v>1777.9436151772693</v>
      </c>
      <c r="H102" s="232">
        <f>E!G90</f>
        <v>9.2200831041787494E-3</v>
      </c>
      <c r="I102" s="234">
        <f>E!H90</f>
        <v>3.5201308208199871</v>
      </c>
      <c r="J102" s="235">
        <f>E!I90</f>
        <v>18.112500000000001</v>
      </c>
      <c r="K102" s="235">
        <f>E!J90</f>
        <v>23.963593094166001</v>
      </c>
      <c r="L102" s="235">
        <f>E!K90</f>
        <v>0</v>
      </c>
      <c r="M102" s="399">
        <f>E!L90</f>
        <v>1.12962217520776E-2</v>
      </c>
    </row>
    <row r="103" spans="2:13" ht="12" customHeight="1">
      <c r="B103" s="241" t="s">
        <v>169</v>
      </c>
      <c r="C103" s="228">
        <f>E!B91</f>
        <v>2147.8736165535802</v>
      </c>
      <c r="D103" s="228" t="str">
        <f>E!C91</f>
        <v>Note 1</v>
      </c>
      <c r="E103" s="231">
        <f>E!D91</f>
        <v>7579.462365873861</v>
      </c>
      <c r="F103" s="228">
        <f>E!E91</f>
        <v>5806.3856762322775</v>
      </c>
      <c r="G103" s="165">
        <f>E!F91</f>
        <v>1773.0766896415832</v>
      </c>
      <c r="H103" s="232">
        <f>E!G91</f>
        <v>9.2266597894061601E-3</v>
      </c>
      <c r="I103" s="234">
        <f>E!H91</f>
        <v>3.5288213922175089</v>
      </c>
      <c r="J103" s="235">
        <f>E!I91</f>
        <v>17.987500000000001</v>
      </c>
      <c r="K103" s="235">
        <f>E!J91</f>
        <v>23.945070840907501</v>
      </c>
      <c r="L103" s="235">
        <f>E!K91</f>
        <v>0</v>
      </c>
      <c r="M103" s="399">
        <f>E!L91</f>
        <v>1.11991806940512E-2</v>
      </c>
    </row>
    <row r="104" spans="2:13" ht="12" customHeight="1">
      <c r="B104" s="241" t="s">
        <v>171</v>
      </c>
      <c r="C104" s="228">
        <f>E!B92</f>
        <v>2109.75753045689</v>
      </c>
      <c r="D104" s="228" t="str">
        <f>E!C92</f>
        <v>Note 1</v>
      </c>
      <c r="E104" s="231">
        <f>E!D92</f>
        <v>7463.8070679280836</v>
      </c>
      <c r="F104" s="228">
        <f>E!E92</f>
        <v>5740.6566413451947</v>
      </c>
      <c r="G104" s="165">
        <f>E!F92</f>
        <v>1723.1504265828889</v>
      </c>
      <c r="H104" s="232">
        <f>E!G92</f>
        <v>9.16990585233542E-3</v>
      </c>
      <c r="I104" s="234">
        <f>E!H92</f>
        <v>3.5377558606517776</v>
      </c>
      <c r="J104" s="235">
        <f>E!I92</f>
        <v>17.8</v>
      </c>
      <c r="K104" s="235">
        <f>E!J92</f>
        <v>23.9168847690941</v>
      </c>
      <c r="L104" s="235">
        <f>E!K92</f>
        <v>0</v>
      </c>
      <c r="M104" s="399">
        <f>E!L92</f>
        <v>1.1060818557718E-2</v>
      </c>
    </row>
    <row r="105" spans="2:13" ht="12" customHeight="1">
      <c r="B105" s="241" t="s">
        <v>173</v>
      </c>
      <c r="C105" s="228">
        <f>E!B93</f>
        <v>2031.5835898856201</v>
      </c>
      <c r="D105" s="228" t="str">
        <f>E!C93</f>
        <v>Note 1</v>
      </c>
      <c r="E105" s="231">
        <f>E!D93</f>
        <v>7218.8770168482779</v>
      </c>
      <c r="F105" s="228">
        <f>E!E93</f>
        <v>5611.5023954924445</v>
      </c>
      <c r="G105" s="165">
        <f>E!F93</f>
        <v>1607.3746213558306</v>
      </c>
      <c r="H105" s="232">
        <f>E!G93</f>
        <v>9.0480182019803106E-3</v>
      </c>
      <c r="I105" s="234">
        <f>E!H93</f>
        <v>3.5533251266588084</v>
      </c>
      <c r="J105" s="235">
        <f>E!I93</f>
        <v>17.425000000000001</v>
      </c>
      <c r="K105" s="235">
        <f>E!J93</f>
        <v>23.861237332159501</v>
      </c>
      <c r="L105" s="235">
        <f>E!K93</f>
        <v>0</v>
      </c>
      <c r="M105" s="399">
        <f>E!L93</f>
        <v>1.04842823483673E-2</v>
      </c>
    </row>
    <row r="106" spans="2:13" ht="12" customHeight="1">
      <c r="B106" s="241" t="s">
        <v>174</v>
      </c>
      <c r="C106" s="228">
        <f>E!B94</f>
        <v>2181.6445776105602</v>
      </c>
      <c r="D106" s="228" t="str">
        <f>E!C94</f>
        <v>Note 1</v>
      </c>
      <c r="E106" s="231">
        <f>E!D94</f>
        <v>7563.2200937246662</v>
      </c>
      <c r="F106" s="228">
        <f>E!E94</f>
        <v>6012.3324781198617</v>
      </c>
      <c r="G106" s="165">
        <f>E!F94</f>
        <v>1550.8876156048027</v>
      </c>
      <c r="H106" s="232">
        <f>E!G94</f>
        <v>8.9017555358971694E-3</v>
      </c>
      <c r="I106" s="234">
        <f>E!H94</f>
        <v>3.4667517208546688</v>
      </c>
      <c r="J106" s="235">
        <f>E!I94</f>
        <v>18.574999999999999</v>
      </c>
      <c r="K106" s="235">
        <f>E!J94</f>
        <v>24.033478329596701</v>
      </c>
      <c r="L106" s="235">
        <f>E!K94</f>
        <v>0</v>
      </c>
      <c r="M106" s="399">
        <f>E!L94</f>
        <v>1.06478586232074E-2</v>
      </c>
    </row>
    <row r="107" spans="2:13" ht="12" customHeight="1">
      <c r="B107" s="241" t="s">
        <v>176</v>
      </c>
      <c r="C107" s="228">
        <f>E!B95</f>
        <v>2926.8471636776399</v>
      </c>
      <c r="D107" s="228" t="str">
        <f>E!C95</f>
        <v>Note 1</v>
      </c>
      <c r="E107" s="231">
        <f>E!D95</f>
        <v>9393.0409789234436</v>
      </c>
      <c r="F107" s="228">
        <f>E!E95</f>
        <v>7528.0124975351391</v>
      </c>
      <c r="G107" s="165">
        <f>E!F95</f>
        <v>1865.0284813883054</v>
      </c>
      <c r="H107" s="232">
        <f>E!G95</f>
        <v>9.1705903668304004E-3</v>
      </c>
      <c r="I107" s="234">
        <f>E!H95</f>
        <v>3.2092693788359301</v>
      </c>
      <c r="J107" s="235">
        <f>E!I95</f>
        <v>22.9</v>
      </c>
      <c r="K107" s="235">
        <f>E!J95</f>
        <v>24.684089817099601</v>
      </c>
      <c r="L107" s="235">
        <f>E!K95</f>
        <v>0</v>
      </c>
      <c r="M107" s="399">
        <f>E!L95</f>
        <v>1.2287852269615001E-2</v>
      </c>
    </row>
    <row r="108" spans="2:13" ht="12" customHeight="1">
      <c r="B108" s="241" t="s">
        <v>178</v>
      </c>
      <c r="C108" s="228">
        <f>E!B96</f>
        <v>3571.6614414431001</v>
      </c>
      <c r="D108" s="228" t="str">
        <f>E!C96</f>
        <v>Note 1</v>
      </c>
      <c r="E108" s="231">
        <f>E!D96</f>
        <v>10820.496240816723</v>
      </c>
      <c r="F108" s="228">
        <f>E!E96</f>
        <v>8751.3077372596945</v>
      </c>
      <c r="G108" s="165">
        <f>E!F96</f>
        <v>2069.1885035570167</v>
      </c>
      <c r="H108" s="232">
        <f>E!G96</f>
        <v>9.4817813913382603E-3</v>
      </c>
      <c r="I108" s="234">
        <f>E!H96</f>
        <v>3.0295414104100504</v>
      </c>
      <c r="J108" s="235">
        <f>E!I96</f>
        <v>26.375</v>
      </c>
      <c r="K108" s="235">
        <f>E!J96</f>
        <v>25.207966218252299</v>
      </c>
      <c r="L108" s="235">
        <f>E!K96</f>
        <v>0</v>
      </c>
      <c r="M108" s="399">
        <f>E!L96</f>
        <v>1.18487772332079E-2</v>
      </c>
    </row>
    <row r="109" spans="2:13" ht="12" customHeight="1">
      <c r="B109" s="241" t="s">
        <v>180</v>
      </c>
      <c r="C109" s="228">
        <f>E!B97</f>
        <v>4771.5974997405201</v>
      </c>
      <c r="D109" s="228" t="str">
        <f>E!C97</f>
        <v>Note 1</v>
      </c>
      <c r="E109" s="231">
        <f>E!D97</f>
        <v>14280.692328968584</v>
      </c>
      <c r="F109" s="228">
        <f>E!E97</f>
        <v>11758.267257308833</v>
      </c>
      <c r="G109" s="165">
        <f>E!F97</f>
        <v>2522.4250716597498</v>
      </c>
      <c r="H109" s="232">
        <f>E!G97</f>
        <v>9.6209138874267207E-3</v>
      </c>
      <c r="I109" s="234">
        <f>E!H97</f>
        <v>2.9928535107466985</v>
      </c>
      <c r="J109" s="235">
        <f>E!I97</f>
        <v>28.262499999999999</v>
      </c>
      <c r="K109" s="235">
        <f>E!J97</f>
        <v>25.490608308835998</v>
      </c>
      <c r="L109" s="235">
        <f>E!K97</f>
        <v>0</v>
      </c>
      <c r="M109" s="399">
        <f>E!L97</f>
        <v>1.1579938656585499E-2</v>
      </c>
    </row>
    <row r="110" spans="2:13" ht="12" customHeight="1">
      <c r="B110" s="241" t="s">
        <v>183</v>
      </c>
      <c r="C110" s="228">
        <f>E!B98</f>
        <v>5029.2701864095798</v>
      </c>
      <c r="D110" s="228" t="str">
        <f>E!C98</f>
        <v>Note 1</v>
      </c>
      <c r="E110" s="231">
        <f>E!D98</f>
        <v>15005.199916219666</v>
      </c>
      <c r="F110" s="228">
        <f>E!E98</f>
        <v>11985.639804307306</v>
      </c>
      <c r="G110" s="165">
        <f>E!F98</f>
        <v>3019.5601119123889</v>
      </c>
      <c r="H110" s="232">
        <f>E!G98</f>
        <v>9.9775130722175292E-3</v>
      </c>
      <c r="I110" s="234">
        <f>E!H98</f>
        <v>2.9835740296410584</v>
      </c>
      <c r="J110" s="235">
        <f>E!I98</f>
        <v>28.9</v>
      </c>
      <c r="K110" s="235">
        <f>E!J98</f>
        <v>25.586519385919601</v>
      </c>
      <c r="L110" s="235">
        <f>E!K98</f>
        <v>0</v>
      </c>
      <c r="M110" s="399">
        <f>E!L98</f>
        <v>1.2406033064600201E-2</v>
      </c>
    </row>
    <row r="111" spans="2:13" ht="12" customHeight="1">
      <c r="B111" s="241" t="s">
        <v>186</v>
      </c>
      <c r="C111" s="228">
        <f>E!B99</f>
        <v>5485.3257390101298</v>
      </c>
      <c r="D111" s="228" t="str">
        <f>E!C99</f>
        <v>Note 1</v>
      </c>
      <c r="E111" s="231">
        <f>E!D99</f>
        <v>16127.909397562278</v>
      </c>
      <c r="F111" s="228">
        <f>E!E99</f>
        <v>12473.86093382575</v>
      </c>
      <c r="G111" s="165">
        <f>E!F99</f>
        <v>3654.048463736528</v>
      </c>
      <c r="H111" s="232">
        <f>E!G99</f>
        <v>1.03919173834131E-2</v>
      </c>
      <c r="I111" s="234">
        <f>E!H99</f>
        <v>2.9401917342601949</v>
      </c>
      <c r="J111" s="235">
        <f>E!I99</f>
        <v>30.274999999999999</v>
      </c>
      <c r="K111" s="235">
        <f>E!J99</f>
        <v>25.795272957073099</v>
      </c>
      <c r="L111" s="235">
        <f>E!K99</f>
        <v>0</v>
      </c>
      <c r="M111" s="399">
        <f>E!L99</f>
        <v>1.39488986120056E-2</v>
      </c>
    </row>
    <row r="112" spans="2:13" ht="12" customHeight="1">
      <c r="B112" s="241" t="s">
        <v>187</v>
      </c>
      <c r="C112" s="228">
        <f>E!B100</f>
        <v>5708.5514700862404</v>
      </c>
      <c r="D112" s="228" t="str">
        <f>E!C100</f>
        <v>Note 1</v>
      </c>
      <c r="E112" s="231">
        <f>E!D100</f>
        <v>16742.459135557474</v>
      </c>
      <c r="F112" s="228">
        <f>E!E100</f>
        <v>12655.494386371805</v>
      </c>
      <c r="G112" s="165">
        <f>E!F100</f>
        <v>4086.9647491856945</v>
      </c>
      <c r="H112" s="232">
        <f>E!G100</f>
        <v>1.0700700073940399E-2</v>
      </c>
      <c r="I112" s="234">
        <f>E!H100</f>
        <v>2.9328734659380311</v>
      </c>
      <c r="J112" s="235">
        <f>E!I100</f>
        <v>30.787500000000001</v>
      </c>
      <c r="K112" s="235">
        <f>E!J100</f>
        <v>25.8718039469396</v>
      </c>
      <c r="L112" s="235">
        <f>E!K100</f>
        <v>0</v>
      </c>
      <c r="M112" s="399">
        <f>E!L100</f>
        <v>1.3760970538394901E-2</v>
      </c>
    </row>
    <row r="113" spans="2:13" ht="12" customHeight="1">
      <c r="B113" s="241" t="s">
        <v>191</v>
      </c>
      <c r="C113" s="228">
        <f>E!B101</f>
        <v>7233.0373681055298</v>
      </c>
      <c r="D113" s="228" t="str">
        <f>E!C101</f>
        <v>Note 1</v>
      </c>
      <c r="E113" s="231">
        <f>E!D101</f>
        <v>21873.959207030308</v>
      </c>
      <c r="F113" s="228">
        <f>E!E101</f>
        <v>17378.503168130694</v>
      </c>
      <c r="G113" s="165">
        <f>E!F101</f>
        <v>4495.4560388996115</v>
      </c>
      <c r="H113" s="232">
        <f>E!G101</f>
        <v>1.0128593692398101E-2</v>
      </c>
      <c r="I113" s="234">
        <f>E!H101</f>
        <v>3.0241733996128262</v>
      </c>
      <c r="J113" s="235">
        <f>E!I101</f>
        <v>30.912500000000001</v>
      </c>
      <c r="K113" s="235">
        <f>E!J101</f>
        <v>25.884948589870401</v>
      </c>
      <c r="L113" s="235">
        <f>E!K101</f>
        <v>0</v>
      </c>
      <c r="M113" s="399">
        <f>E!L101</f>
        <v>1.19992129124616E-2</v>
      </c>
    </row>
    <row r="114" spans="2:13" ht="12" customHeight="1">
      <c r="B114" s="241" t="s">
        <v>194</v>
      </c>
      <c r="C114" s="228">
        <f>E!B102</f>
        <v>7085.9570260006803</v>
      </c>
      <c r="D114" s="228" t="str">
        <f>E!C102</f>
        <v>Note 1</v>
      </c>
      <c r="E114" s="231">
        <f>E!D102</f>
        <v>20933.438479466553</v>
      </c>
      <c r="F114" s="228">
        <f>E!E102</f>
        <v>17574.609673320916</v>
      </c>
      <c r="G114" s="165">
        <f>E!F102</f>
        <v>3358.8288061456387</v>
      </c>
      <c r="H114" s="232">
        <f>E!G102</f>
        <v>9.6940294873933998E-3</v>
      </c>
      <c r="I114" s="234">
        <f>E!H102</f>
        <v>2.9542147098345306</v>
      </c>
      <c r="J114" s="235">
        <f>E!I102</f>
        <v>31.475000000000001</v>
      </c>
      <c r="K114" s="235">
        <f>E!J102</f>
        <v>25.968879907426501</v>
      </c>
      <c r="L114" s="235">
        <f>E!K102</f>
        <v>0</v>
      </c>
      <c r="M114" s="399">
        <f>E!L102</f>
        <v>1.1528114554116901E-2</v>
      </c>
    </row>
    <row r="115" spans="2:13" ht="12" customHeight="1">
      <c r="B115" s="241" t="s">
        <v>79</v>
      </c>
      <c r="C115" s="228">
        <f>E!B103</f>
        <v>8689.9560731824095</v>
      </c>
      <c r="D115" s="228" t="str">
        <f>E!C103</f>
        <v>Note 1</v>
      </c>
      <c r="E115" s="231">
        <f>E!D103</f>
        <v>26432.910889167943</v>
      </c>
      <c r="F115" s="228">
        <f>E!E103</f>
        <v>22454.456081304808</v>
      </c>
      <c r="G115" s="165">
        <f>E!F103</f>
        <v>3978.4548078631387</v>
      </c>
      <c r="H115" s="232">
        <f>E!G103</f>
        <v>9.5210421083314102E-3</v>
      </c>
      <c r="I115" s="234">
        <f>E!H103</f>
        <v>3.0417772732754171</v>
      </c>
      <c r="J115" s="235">
        <f>E!I103</f>
        <v>32.012500000000003</v>
      </c>
      <c r="K115" s="235">
        <f>E!J103</f>
        <v>26.0512583266162</v>
      </c>
      <c r="L115" s="235">
        <f>E!K103</f>
        <v>0</v>
      </c>
      <c r="M115" s="399">
        <f>E!L103</f>
        <v>1.2085903992729701E-2</v>
      </c>
    </row>
    <row r="116" spans="2:13" ht="12" customHeight="1">
      <c r="B116" s="241" t="s">
        <v>198</v>
      </c>
      <c r="C116" s="228">
        <f>E!B104</f>
        <v>8842.8175260246298</v>
      </c>
      <c r="D116" s="228" t="str">
        <f>E!C104</f>
        <v>Note 1</v>
      </c>
      <c r="E116" s="231">
        <f>E!D104</f>
        <v>26943.356813287304</v>
      </c>
      <c r="F116" s="228">
        <f>E!E104</f>
        <v>22527.669160985581</v>
      </c>
      <c r="G116" s="165">
        <f>E!F104</f>
        <v>4415.6876523017218</v>
      </c>
      <c r="H116" s="232">
        <f>E!G104</f>
        <v>9.6238289683823492E-3</v>
      </c>
      <c r="I116" s="234">
        <f>E!H104</f>
        <v>3.0469199137031091</v>
      </c>
      <c r="J116" s="235">
        <f>E!I104</f>
        <v>32.200000000000003</v>
      </c>
      <c r="K116" s="235">
        <f>E!J104</f>
        <v>26.082730952653399</v>
      </c>
      <c r="L116" s="235">
        <f>E!K104</f>
        <v>0</v>
      </c>
      <c r="M116" s="399">
        <f>E!L104</f>
        <v>1.34924504298861E-2</v>
      </c>
    </row>
    <row r="117" spans="2:13" ht="12" customHeight="1">
      <c r="B117" s="241" t="s">
        <v>201</v>
      </c>
      <c r="C117" s="228">
        <f>E!B105</f>
        <v>5791.0238691930899</v>
      </c>
      <c r="D117" s="228" t="str">
        <f>E!C105</f>
        <v>Note 1</v>
      </c>
      <c r="E117" s="231">
        <f>E!D105</f>
        <v>16525.760272665808</v>
      </c>
      <c r="F117" s="228">
        <f>E!E105</f>
        <v>13046.967162474944</v>
      </c>
      <c r="G117" s="165">
        <f>E!F105</f>
        <v>3478.7931101908612</v>
      </c>
      <c r="H117" s="232">
        <f>E!G105</f>
        <v>1.03613798071139E-2</v>
      </c>
      <c r="I117" s="234">
        <f>E!H105</f>
        <v>2.8536854010530051</v>
      </c>
      <c r="J117" s="235">
        <f>E!I105</f>
        <v>31.887499999999999</v>
      </c>
      <c r="K117" s="235">
        <f>E!J105</f>
        <v>26.039580610021801</v>
      </c>
      <c r="L117" s="235">
        <f>E!K105</f>
        <v>0</v>
      </c>
      <c r="M117" s="399">
        <f>E!L105</f>
        <v>1.45043822298757E-2</v>
      </c>
    </row>
    <row r="118" spans="2:13" ht="12" customHeight="1">
      <c r="B118" s="241" t="s">
        <v>204</v>
      </c>
      <c r="C118" s="228">
        <f>E!B106</f>
        <v>5952.6308606623797</v>
      </c>
      <c r="D118" s="228" t="str">
        <f>E!C106</f>
        <v>Note 1</v>
      </c>
      <c r="E118" s="231">
        <f>E!D106</f>
        <v>17405.561751073612</v>
      </c>
      <c r="F118" s="228">
        <f>E!E106</f>
        <v>12851.449546450694</v>
      </c>
      <c r="G118" s="165">
        <f>E!F106</f>
        <v>4554.1122046229166</v>
      </c>
      <c r="H118" s="232">
        <f>E!G106</f>
        <v>1.09244326891799E-2</v>
      </c>
      <c r="I118" s="234">
        <f>E!H106</f>
        <v>2.9240116107479923</v>
      </c>
      <c r="J118" s="235">
        <f>E!I106</f>
        <v>31.324999999999999</v>
      </c>
      <c r="K118" s="235">
        <f>E!J106</f>
        <v>25.9556105203703</v>
      </c>
      <c r="L118" s="235">
        <f>E!K106</f>
        <v>0</v>
      </c>
      <c r="M118" s="399">
        <f>E!L106</f>
        <v>1.52878756161443E-2</v>
      </c>
    </row>
    <row r="119" spans="2:13" ht="12" customHeight="1">
      <c r="B119" s="241" t="s">
        <v>206</v>
      </c>
      <c r="C119" s="228">
        <f>E!B107</f>
        <v>5617.7335677797</v>
      </c>
      <c r="D119" s="228" t="str">
        <f>E!C107</f>
        <v>Note 1</v>
      </c>
      <c r="E119" s="231">
        <f>E!D107</f>
        <v>17082.232335008779</v>
      </c>
      <c r="F119" s="228">
        <f>E!E107</f>
        <v>12151.736356827056</v>
      </c>
      <c r="G119" s="165">
        <f>E!F107</f>
        <v>4930.4959781817224</v>
      </c>
      <c r="H119" s="232">
        <f>E!G107</f>
        <v>1.1074776166459801E-2</v>
      </c>
      <c r="I119" s="234">
        <f>E!H107</f>
        <v>3.0407694008457931</v>
      </c>
      <c r="J119" s="235">
        <f>E!I107</f>
        <v>29.35</v>
      </c>
      <c r="K119" s="235">
        <f>E!J107</f>
        <v>25.655753439605501</v>
      </c>
      <c r="L119" s="235">
        <f>E!K107</f>
        <v>0</v>
      </c>
      <c r="M119" s="399">
        <f>E!L107</f>
        <v>1.49299954948694E-2</v>
      </c>
    </row>
    <row r="120" spans="2:13" ht="12" customHeight="1">
      <c r="B120" s="241" t="s">
        <v>207</v>
      </c>
      <c r="C120" s="228">
        <f>E!B108</f>
        <v>5315.9924434734903</v>
      </c>
      <c r="D120" s="228" t="str">
        <f>E!C108</f>
        <v>Note 1</v>
      </c>
      <c r="E120" s="231">
        <f>E!D108</f>
        <v>16742.994076383307</v>
      </c>
      <c r="F120" s="228">
        <f>E!E108</f>
        <v>11537.499229337138</v>
      </c>
      <c r="G120" s="165">
        <f>E!F108</f>
        <v>5205.494847046195</v>
      </c>
      <c r="H120" s="232">
        <f>E!G108</f>
        <v>1.1126333301216E-2</v>
      </c>
      <c r="I120" s="234">
        <f>E!H108</f>
        <v>3.1495518954205601</v>
      </c>
      <c r="J120" s="235">
        <f>E!I108</f>
        <v>27.612500000000001</v>
      </c>
      <c r="K120" s="235">
        <f>E!J108</f>
        <v>25.393392931581399</v>
      </c>
      <c r="L120" s="235">
        <f>E!K108</f>
        <v>0</v>
      </c>
      <c r="M120" s="399">
        <f>E!L108</f>
        <v>1.59700581987407E-2</v>
      </c>
    </row>
    <row r="121" spans="2:13" ht="12" customHeight="1">
      <c r="B121" s="241" t="s">
        <v>208</v>
      </c>
      <c r="C121" s="228">
        <f>E!B109</f>
        <v>4369.55146874007</v>
      </c>
      <c r="D121" s="228" t="str">
        <f>E!C109</f>
        <v>Note 1</v>
      </c>
      <c r="E121" s="231">
        <f>E!D109</f>
        <v>13611.423923589224</v>
      </c>
      <c r="F121" s="228">
        <f>E!E109</f>
        <v>9049.8698998548061</v>
      </c>
      <c r="G121" s="165">
        <f>E!F109</f>
        <v>4561.5540237343894</v>
      </c>
      <c r="H121" s="232">
        <f>E!G109</f>
        <v>1.1354563437724299E-2</v>
      </c>
      <c r="I121" s="234">
        <f>E!H109</f>
        <v>3.1150620426297402</v>
      </c>
      <c r="J121" s="235">
        <f>E!I109</f>
        <v>27.2</v>
      </c>
      <c r="K121" s="235">
        <f>E!J109</f>
        <v>25.3330402686227</v>
      </c>
      <c r="L121" s="235">
        <f>E!K109</f>
        <v>0</v>
      </c>
      <c r="M121" s="399">
        <f>E!L109</f>
        <v>1.68097357982845E-2</v>
      </c>
    </row>
    <row r="122" spans="2:13" ht="12" customHeight="1">
      <c r="B122" s="241" t="s">
        <v>209</v>
      </c>
      <c r="C122" s="228">
        <f>E!B110</f>
        <v>4323.8097400667903</v>
      </c>
      <c r="D122" s="228" t="str">
        <f>E!C110</f>
        <v>Note 1</v>
      </c>
      <c r="E122" s="231">
        <f>E!D110</f>
        <v>13561.302379942472</v>
      </c>
      <c r="F122" s="228">
        <f>E!E110</f>
        <v>8939.7425389421678</v>
      </c>
      <c r="G122" s="165">
        <f>E!F110</f>
        <v>4621.5598410003331</v>
      </c>
      <c r="H122" s="232">
        <f>E!G110</f>
        <v>1.1403373047196901E-2</v>
      </c>
      <c r="I122" s="234">
        <f>E!H110</f>
        <v>3.1364244023681276</v>
      </c>
      <c r="J122" s="235">
        <f>E!I110</f>
        <v>26.887499999999999</v>
      </c>
      <c r="K122" s="235">
        <f>E!J110</f>
        <v>25.286450951241498</v>
      </c>
      <c r="L122" s="235">
        <f>E!K110</f>
        <v>0</v>
      </c>
      <c r="M122" s="399">
        <f>E!L110</f>
        <v>1.6771127794541499E-2</v>
      </c>
    </row>
    <row r="123" spans="2:13" ht="12" customHeight="1">
      <c r="B123" s="241" t="s">
        <v>210</v>
      </c>
      <c r="C123" s="228">
        <f>E!B111</f>
        <v>4215.9980080012201</v>
      </c>
      <c r="D123" s="228" t="str">
        <f>E!C111</f>
        <v>Note 1</v>
      </c>
      <c r="E123" s="231">
        <f>E!D111</f>
        <v>13364.985006381361</v>
      </c>
      <c r="F123" s="228">
        <f>E!E111</f>
        <v>8740.967918290029</v>
      </c>
      <c r="G123" s="165">
        <f>E!F111</f>
        <v>4624.0170880913329</v>
      </c>
      <c r="H123" s="232">
        <f>E!G111</f>
        <v>1.14201747031373E-2</v>
      </c>
      <c r="I123" s="234">
        <f>E!H111</f>
        <v>3.1700643551104575</v>
      </c>
      <c r="J123" s="235">
        <f>E!I111</f>
        <v>26.324999999999999</v>
      </c>
      <c r="K123" s="235">
        <f>E!J111</f>
        <v>25.201337204379801</v>
      </c>
      <c r="L123" s="235">
        <f>E!K111</f>
        <v>0</v>
      </c>
      <c r="M123" s="399">
        <f>E!L111</f>
        <v>1.6784233128060998E-2</v>
      </c>
    </row>
    <row r="124" spans="2:13" ht="12" customHeight="1" thickBot="1">
      <c r="B124" s="242" t="s">
        <v>211</v>
      </c>
      <c r="C124" s="243">
        <f>E!B112</f>
        <v>4194.2432078709999</v>
      </c>
      <c r="D124" s="166" t="str">
        <f>E!C112</f>
        <v>Note 1</v>
      </c>
      <c r="E124" s="243">
        <f>E!D112</f>
        <v>13370.466508481557</v>
      </c>
      <c r="F124" s="166">
        <f>E!E112</f>
        <v>8661.2370787404452</v>
      </c>
      <c r="G124" s="168">
        <f>E!F112</f>
        <v>4709.2294297411108</v>
      </c>
      <c r="H124" s="161">
        <f>E!G112</f>
        <v>1.14762851267476E-2</v>
      </c>
      <c r="I124" s="244">
        <f>E!H112</f>
        <v>3.1878138309648509</v>
      </c>
      <c r="J124" s="156">
        <f>E!I112</f>
        <v>26.1</v>
      </c>
      <c r="K124" s="156">
        <f>E!J112</f>
        <v>25.167379966261201</v>
      </c>
      <c r="L124" s="156">
        <f>E!K112</f>
        <v>0</v>
      </c>
      <c r="M124" s="400">
        <f>E!L112</f>
        <v>1.7076690060884501E-2</v>
      </c>
    </row>
    <row r="125" spans="2:13" ht="12" customHeight="1" thickTop="1">
      <c r="B125" s="464"/>
      <c r="C125" s="228"/>
      <c r="D125" s="228"/>
      <c r="E125" s="228"/>
      <c r="F125" s="228"/>
      <c r="G125" s="376" t="s">
        <v>556</v>
      </c>
      <c r="H125" s="232"/>
      <c r="I125" s="220"/>
      <c r="J125" s="235"/>
      <c r="K125" s="235"/>
      <c r="L125" s="235"/>
      <c r="M125" s="232"/>
    </row>
    <row r="126" spans="2:13" ht="12" customHeight="1">
      <c r="B126" s="464"/>
      <c r="C126" s="228"/>
      <c r="D126" s="228"/>
      <c r="E126" s="228"/>
      <c r="F126" s="228"/>
      <c r="G126" s="228"/>
      <c r="H126" s="232"/>
      <c r="I126" s="220"/>
      <c r="J126" s="235"/>
      <c r="K126" s="235"/>
      <c r="L126" s="235"/>
      <c r="M126" s="232"/>
    </row>
    <row r="127" spans="2:13" ht="12" customHeight="1">
      <c r="B127" s="464"/>
      <c r="C127" s="228"/>
      <c r="D127" s="228"/>
      <c r="E127" s="228"/>
      <c r="F127" s="228"/>
      <c r="G127" s="228"/>
      <c r="H127" s="232"/>
      <c r="I127" s="220"/>
      <c r="J127" s="235"/>
      <c r="K127" s="235"/>
      <c r="L127" s="235"/>
      <c r="M127" s="232"/>
    </row>
    <row r="128" spans="2:13" ht="12" customHeight="1">
      <c r="B128" s="464"/>
      <c r="C128" s="228"/>
      <c r="D128" s="228"/>
      <c r="E128" s="228"/>
      <c r="F128" s="228"/>
      <c r="G128" s="228"/>
      <c r="H128" s="232"/>
      <c r="I128" s="220"/>
      <c r="J128" s="235"/>
      <c r="K128" s="235"/>
      <c r="L128" s="235"/>
      <c r="M128" s="232"/>
    </row>
    <row r="129" spans="2:13" ht="12" customHeight="1">
      <c r="B129" s="464"/>
      <c r="C129" s="228"/>
      <c r="D129" s="228"/>
      <c r="E129" s="228"/>
      <c r="F129" s="228"/>
      <c r="G129" s="228"/>
      <c r="H129" s="232"/>
      <c r="I129" s="220"/>
      <c r="J129" s="235"/>
      <c r="K129" s="235"/>
      <c r="L129" s="235"/>
      <c r="M129" s="232"/>
    </row>
    <row r="130" spans="2:13" ht="16.5" customHeight="1">
      <c r="B130" s="464"/>
      <c r="C130" s="58" t="s">
        <v>438</v>
      </c>
      <c r="D130" s="228"/>
      <c r="E130" s="228"/>
      <c r="F130" s="228"/>
      <c r="G130" s="228"/>
      <c r="H130" s="232"/>
      <c r="I130" s="220"/>
      <c r="J130" s="235"/>
      <c r="K130" s="235"/>
      <c r="L130" s="235"/>
      <c r="M130" s="232"/>
    </row>
    <row r="131" spans="2:13" ht="12" customHeight="1" thickBot="1">
      <c r="G131" s="116"/>
      <c r="H131" s="118"/>
      <c r="I131" s="119"/>
      <c r="J131" s="95"/>
      <c r="K131" s="95"/>
      <c r="L131" s="95"/>
      <c r="M131" s="118"/>
    </row>
    <row r="132" spans="2:13" ht="12" customHeight="1" thickTop="1">
      <c r="B132" s="249" t="s">
        <v>469</v>
      </c>
      <c r="C132" s="237" t="s">
        <v>143</v>
      </c>
      <c r="D132" s="238"/>
      <c r="E132" s="237" t="s">
        <v>435</v>
      </c>
      <c r="F132" s="238"/>
      <c r="G132" s="401"/>
      <c r="H132" s="246" t="s">
        <v>437</v>
      </c>
      <c r="I132" s="409"/>
      <c r="J132" s="459"/>
      <c r="K132" s="459"/>
      <c r="L132" s="460"/>
      <c r="M132" s="412"/>
    </row>
    <row r="133" spans="2:13" ht="12" customHeight="1">
      <c r="B133" s="248"/>
      <c r="C133" s="223" t="s">
        <v>5</v>
      </c>
      <c r="D133" s="225" t="s">
        <v>84</v>
      </c>
      <c r="E133" s="223" t="s">
        <v>4</v>
      </c>
      <c r="F133" s="223" t="s">
        <v>6</v>
      </c>
      <c r="G133" s="402" t="s">
        <v>7</v>
      </c>
      <c r="H133" s="407" t="s">
        <v>149</v>
      </c>
      <c r="I133" s="410" t="s">
        <v>150</v>
      </c>
      <c r="J133" s="461" t="s">
        <v>151</v>
      </c>
      <c r="K133" s="461" t="s">
        <v>152</v>
      </c>
      <c r="L133" s="461" t="s">
        <v>153</v>
      </c>
      <c r="M133" s="413" t="s">
        <v>223</v>
      </c>
    </row>
    <row r="134" spans="2:13" ht="12" customHeight="1">
      <c r="B134" s="239" t="s">
        <v>78</v>
      </c>
      <c r="C134" s="226" t="s">
        <v>156</v>
      </c>
      <c r="D134" s="227" t="s">
        <v>156</v>
      </c>
      <c r="E134" s="226" t="s">
        <v>156</v>
      </c>
      <c r="F134" s="227" t="s">
        <v>156</v>
      </c>
      <c r="G134" s="403" t="s">
        <v>156</v>
      </c>
      <c r="H134" s="408" t="s">
        <v>157</v>
      </c>
      <c r="I134" s="411"/>
      <c r="J134" s="462" t="s">
        <v>11</v>
      </c>
      <c r="K134" s="463" t="s">
        <v>11</v>
      </c>
      <c r="L134" s="463" t="s">
        <v>11</v>
      </c>
      <c r="M134" s="424" t="s">
        <v>157</v>
      </c>
    </row>
    <row r="135" spans="2:13" ht="12" customHeight="1">
      <c r="B135" s="240" t="s">
        <v>159</v>
      </c>
      <c r="C135" s="228">
        <f>F!B89</f>
        <v>1886</v>
      </c>
      <c r="D135" s="228">
        <f>F!C89</f>
        <v>237</v>
      </c>
      <c r="E135" s="229">
        <f>F!D89</f>
        <v>7472</v>
      </c>
      <c r="F135" s="390">
        <f>F!E89</f>
        <v>5788</v>
      </c>
      <c r="G135" s="230">
        <f>F!F89</f>
        <v>1684</v>
      </c>
      <c r="H135" s="232">
        <f>F!G89</f>
        <v>9.2759999999999995E-3</v>
      </c>
      <c r="I135" s="233">
        <f>F!H89</f>
        <v>3.5195478097032509</v>
      </c>
      <c r="J135" s="235">
        <f>F!I89</f>
        <v>17.8</v>
      </c>
      <c r="K135" s="235">
        <f>F!J89</f>
        <v>23.92</v>
      </c>
      <c r="L135" s="235">
        <f>F!K89</f>
        <v>17.155000000000001</v>
      </c>
      <c r="M135" s="423">
        <f>F!L89</f>
        <v>1.11E-2</v>
      </c>
    </row>
    <row r="136" spans="2:13" ht="12" customHeight="1">
      <c r="B136" s="241" t="s">
        <v>166</v>
      </c>
      <c r="C136" s="228">
        <f>F!B90</f>
        <v>1964</v>
      </c>
      <c r="D136" s="228">
        <f>F!C90</f>
        <v>244</v>
      </c>
      <c r="E136" s="231">
        <f>F!D90</f>
        <v>7707</v>
      </c>
      <c r="F136" s="228">
        <f>F!E90</f>
        <v>5961</v>
      </c>
      <c r="G136" s="165">
        <f>F!F90</f>
        <v>1747</v>
      </c>
      <c r="H136" s="232">
        <f>F!G90</f>
        <v>9.3019999999999995E-3</v>
      </c>
      <c r="I136" s="234">
        <f>F!H90</f>
        <v>3.4904891304347823</v>
      </c>
      <c r="J136" s="235">
        <f>F!I90</f>
        <v>18.3</v>
      </c>
      <c r="K136" s="235">
        <f>F!J90</f>
        <v>24</v>
      </c>
      <c r="L136" s="235">
        <f>F!K90</f>
        <v>17.238</v>
      </c>
      <c r="M136" s="399">
        <f>F!L90</f>
        <v>1.1462E-2</v>
      </c>
    </row>
    <row r="137" spans="2:13" ht="12" customHeight="1">
      <c r="B137" s="241" t="s">
        <v>169</v>
      </c>
      <c r="C137" s="228">
        <f>F!B91</f>
        <v>1881</v>
      </c>
      <c r="D137" s="228">
        <f>F!C91</f>
        <v>236</v>
      </c>
      <c r="E137" s="231">
        <f>F!D91</f>
        <v>7445</v>
      </c>
      <c r="F137" s="228">
        <f>F!E91</f>
        <v>5788</v>
      </c>
      <c r="G137" s="165">
        <f>F!F91</f>
        <v>1657</v>
      </c>
      <c r="H137" s="232">
        <f>F!G91</f>
        <v>9.2390000000000007E-3</v>
      </c>
      <c r="I137" s="234">
        <f>F!H91</f>
        <v>3.5167690127538971</v>
      </c>
      <c r="J137" s="235">
        <f>F!I91</f>
        <v>17.8</v>
      </c>
      <c r="K137" s="235">
        <f>F!J91</f>
        <v>23.92</v>
      </c>
      <c r="L137" s="235">
        <f>F!K91</f>
        <v>17.12</v>
      </c>
      <c r="M137" s="399">
        <f>F!L91</f>
        <v>1.11E-2</v>
      </c>
    </row>
    <row r="138" spans="2:13" ht="12" customHeight="1">
      <c r="B138" s="241" t="s">
        <v>171</v>
      </c>
      <c r="C138" s="228">
        <f>F!B92</f>
        <v>1878</v>
      </c>
      <c r="D138" s="228">
        <f>F!C92</f>
        <v>236</v>
      </c>
      <c r="E138" s="231">
        <f>F!D92</f>
        <v>7432</v>
      </c>
      <c r="F138" s="228">
        <f>F!E92</f>
        <v>5788</v>
      </c>
      <c r="G138" s="165">
        <f>F!F92</f>
        <v>1644</v>
      </c>
      <c r="H138" s="232">
        <f>F!G92</f>
        <v>9.2010000000000008E-3</v>
      </c>
      <c r="I138" s="234">
        <f>F!H92</f>
        <v>3.515610217596973</v>
      </c>
      <c r="J138" s="235">
        <f>F!I92</f>
        <v>17.8</v>
      </c>
      <c r="K138" s="235">
        <f>F!J92</f>
        <v>23.92</v>
      </c>
      <c r="L138" s="235">
        <f>F!K92</f>
        <v>17.102</v>
      </c>
      <c r="M138" s="399">
        <f>F!L92</f>
        <v>1.11E-2</v>
      </c>
    </row>
    <row r="139" spans="2:13" ht="12" customHeight="1">
      <c r="B139" s="241" t="s">
        <v>173</v>
      </c>
      <c r="C139" s="228">
        <f>F!B93</f>
        <v>1756</v>
      </c>
      <c r="D139" s="228">
        <f>F!C93</f>
        <v>224</v>
      </c>
      <c r="E139" s="231">
        <f>F!D93</f>
        <v>7000</v>
      </c>
      <c r="F139" s="228">
        <f>F!E93</f>
        <v>5580</v>
      </c>
      <c r="G139" s="165">
        <f>F!F93</f>
        <v>1420</v>
      </c>
      <c r="H139" s="232">
        <f>F!G93</f>
        <v>8.9689999999999995E-3</v>
      </c>
      <c r="I139" s="234">
        <f>F!H93</f>
        <v>3.5353535353535355</v>
      </c>
      <c r="J139" s="235">
        <f>F!I93</f>
        <v>17.2</v>
      </c>
      <c r="K139" s="235">
        <f>F!J93</f>
        <v>23.83</v>
      </c>
      <c r="L139" s="235">
        <f>F!K93</f>
        <v>16.786999999999999</v>
      </c>
      <c r="M139" s="399">
        <f>F!L93</f>
        <v>1.018E-2</v>
      </c>
    </row>
    <row r="140" spans="2:13" ht="12" customHeight="1">
      <c r="B140" s="241" t="s">
        <v>174</v>
      </c>
      <c r="C140" s="228">
        <f>F!B94</f>
        <v>2075</v>
      </c>
      <c r="D140" s="228">
        <f>F!C94</f>
        <v>253</v>
      </c>
      <c r="E140" s="231">
        <f>F!D94</f>
        <v>7915</v>
      </c>
      <c r="F140" s="228">
        <f>F!E94</f>
        <v>6341</v>
      </c>
      <c r="G140" s="165">
        <f>F!F94</f>
        <v>1574</v>
      </c>
      <c r="H140" s="232">
        <f>F!G94</f>
        <v>9.0119999999999992E-3</v>
      </c>
      <c r="I140" s="234">
        <f>F!H94</f>
        <v>3.3999140893470785</v>
      </c>
      <c r="J140" s="235">
        <f>F!I94</f>
        <v>19.399999999999999</v>
      </c>
      <c r="K140" s="235">
        <f>F!J94</f>
        <v>24.16</v>
      </c>
      <c r="L140" s="235">
        <f>F!K94</f>
        <v>17.032</v>
      </c>
      <c r="M140" s="399">
        <f>F!L94</f>
        <v>1.1001E-2</v>
      </c>
    </row>
    <row r="141" spans="2:13" ht="12" customHeight="1">
      <c r="B141" s="241" t="s">
        <v>176</v>
      </c>
      <c r="C141" s="228">
        <f>F!B95</f>
        <v>3035</v>
      </c>
      <c r="D141" s="228">
        <f>F!C95</f>
        <v>334</v>
      </c>
      <c r="E141" s="231">
        <f>F!D95</f>
        <v>10450</v>
      </c>
      <c r="F141" s="228">
        <f>F!E95</f>
        <v>8277</v>
      </c>
      <c r="G141" s="165">
        <f>F!F95</f>
        <v>2173</v>
      </c>
      <c r="H141" s="232">
        <f>F!G95</f>
        <v>9.4900000000000002E-3</v>
      </c>
      <c r="I141" s="234">
        <f>F!H95</f>
        <v>3.1018106262986045</v>
      </c>
      <c r="J141" s="235">
        <f>F!I95</f>
        <v>25</v>
      </c>
      <c r="K141" s="235">
        <f>F!J95</f>
        <v>25</v>
      </c>
      <c r="L141" s="235">
        <f>F!K95</f>
        <v>17.911000000000001</v>
      </c>
      <c r="M141" s="399">
        <f>F!L95</f>
        <v>1.3140000000000001E-2</v>
      </c>
    </row>
    <row r="142" spans="2:13" ht="12" customHeight="1">
      <c r="B142" s="241" t="s">
        <v>178</v>
      </c>
      <c r="C142" s="228">
        <f>F!B96</f>
        <v>3303</v>
      </c>
      <c r="D142" s="228">
        <f>F!C96</f>
        <v>352</v>
      </c>
      <c r="E142" s="231">
        <f>F!D96</f>
        <v>10813</v>
      </c>
      <c r="F142" s="228">
        <f>F!E96</f>
        <v>9038</v>
      </c>
      <c r="G142" s="165">
        <f>F!F96</f>
        <v>1775</v>
      </c>
      <c r="H142" s="232">
        <f>F!G96</f>
        <v>9.3139999999999994E-3</v>
      </c>
      <c r="I142" s="234">
        <f>F!H96</f>
        <v>2.9584131326949388</v>
      </c>
      <c r="J142" s="235">
        <f>F!I96</f>
        <v>27.2</v>
      </c>
      <c r="K142" s="235">
        <f>F!J96</f>
        <v>25.33</v>
      </c>
      <c r="L142" s="235">
        <f>F!K96</f>
        <v>17.646000000000001</v>
      </c>
      <c r="M142" s="399">
        <f>F!L96</f>
        <v>1.1075E-2</v>
      </c>
    </row>
    <row r="143" spans="2:13" ht="12" customHeight="1">
      <c r="B143" s="241" t="s">
        <v>180</v>
      </c>
      <c r="C143" s="228">
        <f>F!B97</f>
        <v>4483</v>
      </c>
      <c r="D143" s="228">
        <f>F!C97</f>
        <v>463</v>
      </c>
      <c r="E143" s="231">
        <f>F!D97</f>
        <v>14631</v>
      </c>
      <c r="F143" s="228">
        <f>F!E97</f>
        <v>11971</v>
      </c>
      <c r="G143" s="165">
        <f>F!F97</f>
        <v>2660</v>
      </c>
      <c r="H143" s="232">
        <f>F!G97</f>
        <v>9.7079999999999996E-3</v>
      </c>
      <c r="I143" s="234">
        <f>F!H97</f>
        <v>2.9581479983825316</v>
      </c>
      <c r="J143" s="235">
        <f>F!I97</f>
        <v>28.9</v>
      </c>
      <c r="K143" s="235">
        <f>F!J97</f>
        <v>25.59</v>
      </c>
      <c r="L143" s="235">
        <f>F!K97</f>
        <v>18.117999999999999</v>
      </c>
      <c r="M143" s="399">
        <f>F!L97</f>
        <v>1.1995E-2</v>
      </c>
    </row>
    <row r="144" spans="2:13" ht="12" customHeight="1">
      <c r="B144" s="241" t="s">
        <v>183</v>
      </c>
      <c r="C144" s="228">
        <f>F!B98</f>
        <v>4594</v>
      </c>
      <c r="D144" s="228">
        <f>F!C98</f>
        <v>472</v>
      </c>
      <c r="E144" s="231">
        <f>F!D98</f>
        <v>15099</v>
      </c>
      <c r="F144" s="228">
        <f>F!E98</f>
        <v>11971</v>
      </c>
      <c r="G144" s="165">
        <f>F!F98</f>
        <v>3128</v>
      </c>
      <c r="H144" s="232">
        <f>F!G98</f>
        <v>1.0041E-2</v>
      </c>
      <c r="I144" s="234">
        <f>F!H98</f>
        <v>2.980457954994078</v>
      </c>
      <c r="J144" s="235">
        <f>F!I98</f>
        <v>28.9</v>
      </c>
      <c r="K144" s="235">
        <f>F!J98</f>
        <v>25.59</v>
      </c>
      <c r="L144" s="235">
        <f>F!K98</f>
        <v>18.442</v>
      </c>
      <c r="M144" s="399">
        <f>F!L98</f>
        <v>1.2760000000000001E-2</v>
      </c>
    </row>
    <row r="145" spans="2:13" ht="12" customHeight="1">
      <c r="B145" s="241" t="s">
        <v>186</v>
      </c>
      <c r="C145" s="228">
        <f>F!B99</f>
        <v>5238</v>
      </c>
      <c r="D145" s="228">
        <f>F!C99</f>
        <v>516</v>
      </c>
      <c r="E145" s="231">
        <f>F!D99</f>
        <v>16722</v>
      </c>
      <c r="F145" s="228">
        <f>F!E99</f>
        <v>12731</v>
      </c>
      <c r="G145" s="165">
        <f>F!F99</f>
        <v>3991</v>
      </c>
      <c r="H145" s="232">
        <f>F!G99</f>
        <v>1.0588E-2</v>
      </c>
      <c r="I145" s="234">
        <f>F!H99</f>
        <v>2.9061522419186652</v>
      </c>
      <c r="J145" s="235">
        <f>F!I99</f>
        <v>31.1</v>
      </c>
      <c r="K145" s="235">
        <f>F!J99</f>
        <v>25.91</v>
      </c>
      <c r="L145" s="235">
        <f>F!K99</f>
        <v>19.141999999999999</v>
      </c>
      <c r="M145" s="399">
        <f>F!L99</f>
        <v>1.4808999999999999E-2</v>
      </c>
    </row>
    <row r="146" spans="2:13" ht="12" customHeight="1">
      <c r="B146" s="241" t="s">
        <v>187</v>
      </c>
      <c r="C146" s="228">
        <f>F!B100</f>
        <v>5066</v>
      </c>
      <c r="D146" s="228">
        <f>F!C100</f>
        <v>504</v>
      </c>
      <c r="E146" s="231">
        <f>F!D100</f>
        <v>16258</v>
      </c>
      <c r="F146" s="228">
        <f>F!E100</f>
        <v>12559</v>
      </c>
      <c r="G146" s="165">
        <f>F!F100</f>
        <v>3699</v>
      </c>
      <c r="H146" s="232">
        <f>F!G100</f>
        <v>1.0580000000000001E-2</v>
      </c>
      <c r="I146" s="234">
        <f>F!H100</f>
        <v>2.9188509874326747</v>
      </c>
      <c r="J146" s="235">
        <f>F!I100</f>
        <v>30.6</v>
      </c>
      <c r="K146" s="235">
        <f>F!J100</f>
        <v>25.84</v>
      </c>
      <c r="L146" s="235">
        <f>F!K100</f>
        <v>18.934999999999999</v>
      </c>
      <c r="M146" s="399">
        <f>F!L100</f>
        <v>1.3252999999999999E-2</v>
      </c>
    </row>
    <row r="147" spans="2:13" ht="12" customHeight="1">
      <c r="B147" s="241" t="s">
        <v>191</v>
      </c>
      <c r="C147" s="228">
        <f>F!B101</f>
        <v>6442</v>
      </c>
      <c r="D147" s="228">
        <f>F!C101</f>
        <v>642</v>
      </c>
      <c r="E147" s="231">
        <f>F!D101</f>
        <v>21090</v>
      </c>
      <c r="F147" s="228">
        <f>F!E101</f>
        <v>17422</v>
      </c>
      <c r="G147" s="165">
        <f>F!F101</f>
        <v>3669</v>
      </c>
      <c r="H147" s="232">
        <f>F!G101</f>
        <v>9.9749999999999995E-3</v>
      </c>
      <c r="I147" s="234">
        <f>F!H101</f>
        <v>2.9771315640880855</v>
      </c>
      <c r="J147" s="235">
        <f>F!I101</f>
        <v>31.1</v>
      </c>
      <c r="K147" s="235">
        <f>F!J101</f>
        <v>25.91</v>
      </c>
      <c r="L147" s="235">
        <f>F!K101</f>
        <v>18.326000000000001</v>
      </c>
      <c r="M147" s="399">
        <f>F!L101</f>
        <v>1.1329000000000001E-2</v>
      </c>
    </row>
    <row r="148" spans="2:13" ht="12" customHeight="1">
      <c r="B148" s="241" t="s">
        <v>194</v>
      </c>
      <c r="C148" s="228">
        <f>F!B102</f>
        <v>6523</v>
      </c>
      <c r="D148" s="228">
        <f>F!C102</f>
        <v>645</v>
      </c>
      <c r="E148" s="231">
        <f>F!D102</f>
        <v>21067</v>
      </c>
      <c r="F148" s="228">
        <f>F!E102</f>
        <v>17629</v>
      </c>
      <c r="G148" s="165">
        <f>F!F102</f>
        <v>3438</v>
      </c>
      <c r="H148" s="232">
        <f>F!G102</f>
        <v>9.7780000000000002E-3</v>
      </c>
      <c r="I148" s="234">
        <f>F!H102</f>
        <v>2.939034598214286</v>
      </c>
      <c r="J148" s="235">
        <f>F!I102</f>
        <v>31.7</v>
      </c>
      <c r="K148" s="235">
        <f>F!J102</f>
        <v>26</v>
      </c>
      <c r="L148" s="235">
        <f>F!K102</f>
        <v>18.268999999999998</v>
      </c>
      <c r="M148" s="399">
        <f>F!L102</f>
        <v>1.1729E-2</v>
      </c>
    </row>
    <row r="149" spans="2:13" ht="12" customHeight="1">
      <c r="B149" s="241" t="s">
        <v>79</v>
      </c>
      <c r="C149" s="228">
        <f>F!B103</f>
        <v>8000</v>
      </c>
      <c r="D149" s="228">
        <f>F!C103</f>
        <v>785</v>
      </c>
      <c r="E149" s="231">
        <f>F!D103</f>
        <v>26636</v>
      </c>
      <c r="F149" s="228">
        <f>F!E103</f>
        <v>22491</v>
      </c>
      <c r="G149" s="165">
        <f>F!F103</f>
        <v>4145</v>
      </c>
      <c r="H149" s="232">
        <f>F!G103</f>
        <v>9.5790000000000007E-3</v>
      </c>
      <c r="I149" s="234">
        <f>F!H103</f>
        <v>3.0319863403528742</v>
      </c>
      <c r="J149" s="235">
        <f>F!I103</f>
        <v>32.200000000000003</v>
      </c>
      <c r="K149" s="235">
        <f>F!J103</f>
        <v>26.08</v>
      </c>
      <c r="L149" s="235">
        <f>F!K103</f>
        <v>18.239000000000001</v>
      </c>
      <c r="M149" s="399">
        <f>F!L103</f>
        <v>1.2378999999999999E-2</v>
      </c>
    </row>
    <row r="150" spans="2:13" ht="12" customHeight="1">
      <c r="B150" s="241" t="s">
        <v>198</v>
      </c>
      <c r="C150" s="228">
        <f>F!B104</f>
        <v>8169</v>
      </c>
      <c r="D150" s="228">
        <f>F!C104</f>
        <v>799</v>
      </c>
      <c r="E150" s="231">
        <f>F!D104</f>
        <v>27416</v>
      </c>
      <c r="F150" s="228">
        <f>F!E104</f>
        <v>22491</v>
      </c>
      <c r="G150" s="165">
        <f>F!F104</f>
        <v>4925</v>
      </c>
      <c r="H150" s="232">
        <f>F!G104</f>
        <v>9.7330000000000003E-3</v>
      </c>
      <c r="I150" s="234">
        <f>F!H104</f>
        <v>3.0570918822479931</v>
      </c>
      <c r="J150" s="235">
        <f>F!I104</f>
        <v>32.200000000000003</v>
      </c>
      <c r="K150" s="235">
        <f>F!J104</f>
        <v>26.08</v>
      </c>
      <c r="L150" s="235">
        <f>F!K104</f>
        <v>18.556999999999999</v>
      </c>
      <c r="M150" s="399">
        <f>F!L104</f>
        <v>1.4232E-2</v>
      </c>
    </row>
    <row r="151" spans="2:13" ht="12" customHeight="1">
      <c r="B151" s="241" t="s">
        <v>201</v>
      </c>
      <c r="C151" s="228">
        <f>F!B105</f>
        <v>5306</v>
      </c>
      <c r="D151" s="228">
        <f>F!C105</f>
        <v>519</v>
      </c>
      <c r="E151" s="231">
        <f>F!D105</f>
        <v>16702</v>
      </c>
      <c r="F151" s="228">
        <f>F!E105</f>
        <v>12939</v>
      </c>
      <c r="G151" s="165">
        <f>F!F105</f>
        <v>3763</v>
      </c>
      <c r="H151" s="232">
        <f>F!G105</f>
        <v>1.044E-2</v>
      </c>
      <c r="I151" s="234">
        <f>F!H105</f>
        <v>2.8672961373390562</v>
      </c>
      <c r="J151" s="235">
        <f>F!I105</f>
        <v>31.7</v>
      </c>
      <c r="K151" s="235">
        <f>F!J105</f>
        <v>26</v>
      </c>
      <c r="L151" s="235">
        <f>F!K105</f>
        <v>19.062999999999999</v>
      </c>
      <c r="M151" s="399">
        <f>F!L105</f>
        <v>1.473E-2</v>
      </c>
    </row>
    <row r="152" spans="2:13" ht="12" customHeight="1">
      <c r="B152" s="241" t="s">
        <v>204</v>
      </c>
      <c r="C152" s="228">
        <f>F!B106</f>
        <v>5381</v>
      </c>
      <c r="D152" s="228">
        <f>F!C106</f>
        <v>528</v>
      </c>
      <c r="E152" s="231">
        <f>F!D106</f>
        <v>17312</v>
      </c>
      <c r="F152" s="228">
        <f>F!E106</f>
        <v>12729</v>
      </c>
      <c r="G152" s="165">
        <f>F!F106</f>
        <v>4582</v>
      </c>
      <c r="H152" s="232">
        <f>F!G106</f>
        <v>1.0912E-2</v>
      </c>
      <c r="I152" s="234">
        <f>F!H106</f>
        <v>2.929768150279235</v>
      </c>
      <c r="J152" s="235">
        <f>F!I106</f>
        <v>31.1</v>
      </c>
      <c r="K152" s="235">
        <f>F!J106</f>
        <v>25.91</v>
      </c>
      <c r="L152" s="235">
        <f>F!K106</f>
        <v>19.457999999999998</v>
      </c>
      <c r="M152" s="399">
        <f>F!L106</f>
        <v>1.5684E-2</v>
      </c>
    </row>
    <row r="153" spans="2:13" ht="12" customHeight="1">
      <c r="B153" s="241" t="s">
        <v>206</v>
      </c>
      <c r="C153" s="228">
        <f>F!B107</f>
        <v>4791</v>
      </c>
      <c r="D153" s="228">
        <f>F!C107</f>
        <v>492</v>
      </c>
      <c r="E153" s="231">
        <f>F!D107</f>
        <v>16232</v>
      </c>
      <c r="F153" s="228">
        <f>F!E107</f>
        <v>11761</v>
      </c>
      <c r="G153" s="165">
        <f>F!F107</f>
        <v>4470</v>
      </c>
      <c r="H153" s="232">
        <f>F!G107</f>
        <v>1.0914E-2</v>
      </c>
      <c r="I153" s="234">
        <f>F!H107</f>
        <v>3.0724966874881692</v>
      </c>
      <c r="J153" s="235">
        <f>F!I107</f>
        <v>28.3</v>
      </c>
      <c r="K153" s="235">
        <f>F!J107</f>
        <v>25.5</v>
      </c>
      <c r="L153" s="235">
        <f>F!K107</f>
        <v>19.199000000000002</v>
      </c>
      <c r="M153" s="399">
        <f>F!L107</f>
        <v>1.4539E-2</v>
      </c>
    </row>
    <row r="154" spans="2:13" ht="12" customHeight="1">
      <c r="B154" s="241" t="s">
        <v>207</v>
      </c>
      <c r="C154" s="228">
        <f>F!B108</f>
        <v>4809</v>
      </c>
      <c r="D154" s="228">
        <f>F!C108</f>
        <v>498</v>
      </c>
      <c r="E154" s="231">
        <f>F!D108</f>
        <v>16867</v>
      </c>
      <c r="F154" s="228">
        <f>F!E108</f>
        <v>11381</v>
      </c>
      <c r="G154" s="165">
        <f>F!F108</f>
        <v>5486</v>
      </c>
      <c r="H154" s="232">
        <f>F!G108</f>
        <v>1.1269E-2</v>
      </c>
      <c r="I154" s="234">
        <f>F!H108</f>
        <v>3.1782551347277179</v>
      </c>
      <c r="J154" s="235">
        <f>F!I108</f>
        <v>27.2</v>
      </c>
      <c r="K154" s="235">
        <f>F!J108</f>
        <v>25.33</v>
      </c>
      <c r="L154" s="235">
        <f>F!K108</f>
        <v>19.649999999999999</v>
      </c>
      <c r="M154" s="399">
        <f>F!L108</f>
        <v>1.6878000000000001E-2</v>
      </c>
    </row>
    <row r="155" spans="2:13" ht="12" customHeight="1">
      <c r="B155" s="241" t="s">
        <v>208</v>
      </c>
      <c r="C155" s="228">
        <f>F!B109</f>
        <v>3939</v>
      </c>
      <c r="D155" s="228">
        <f>F!C109</f>
        <v>408</v>
      </c>
      <c r="E155" s="231">
        <f>F!D109</f>
        <v>13484</v>
      </c>
      <c r="F155" s="228">
        <f>F!E109</f>
        <v>9036</v>
      </c>
      <c r="G155" s="165">
        <f>F!F109</f>
        <v>4447</v>
      </c>
      <c r="H155" s="232">
        <f>F!G109</f>
        <v>1.1348E-2</v>
      </c>
      <c r="I155" s="234">
        <f>F!H109</f>
        <v>3.1019093627789278</v>
      </c>
      <c r="J155" s="235">
        <f>F!I109</f>
        <v>27.2</v>
      </c>
      <c r="K155" s="235">
        <f>F!J109</f>
        <v>25.33</v>
      </c>
      <c r="L155" s="235">
        <f>F!K109</f>
        <v>19.706</v>
      </c>
      <c r="M155" s="399">
        <f>F!L109</f>
        <v>1.6878000000000001E-2</v>
      </c>
    </row>
    <row r="156" spans="2:13" ht="12" customHeight="1">
      <c r="B156" s="241" t="s">
        <v>209</v>
      </c>
      <c r="C156" s="228">
        <f>F!B110</f>
        <v>3852</v>
      </c>
      <c r="D156" s="228">
        <f>F!C110</f>
        <v>402</v>
      </c>
      <c r="E156" s="231">
        <f>F!D110</f>
        <v>13322</v>
      </c>
      <c r="F156" s="228">
        <f>F!E110</f>
        <v>8864</v>
      </c>
      <c r="G156" s="165">
        <f>F!F110</f>
        <v>4459</v>
      </c>
      <c r="H156" s="232">
        <f>F!G110</f>
        <v>1.1383000000000001E-2</v>
      </c>
      <c r="I156" s="234">
        <f>F!H110</f>
        <v>3.131640808650682</v>
      </c>
      <c r="J156" s="235">
        <f>F!I110</f>
        <v>26.7</v>
      </c>
      <c r="K156" s="235">
        <f>F!J110</f>
        <v>25.25</v>
      </c>
      <c r="L156" s="235">
        <f>F!K110</f>
        <v>19.696999999999999</v>
      </c>
      <c r="M156" s="399">
        <f>F!L110</f>
        <v>1.6832E-2</v>
      </c>
    </row>
    <row r="157" spans="2:13" ht="12" customHeight="1">
      <c r="B157" s="241" t="s">
        <v>210</v>
      </c>
      <c r="C157" s="228">
        <f>F!B111</f>
        <v>3752</v>
      </c>
      <c r="D157" s="228">
        <f>F!C111</f>
        <v>395</v>
      </c>
      <c r="E157" s="231">
        <f>F!D111</f>
        <v>13139</v>
      </c>
      <c r="F157" s="228">
        <f>F!E111</f>
        <v>8656</v>
      </c>
      <c r="G157" s="165">
        <f>F!F111</f>
        <v>4482</v>
      </c>
      <c r="H157" s="232">
        <f>F!G111</f>
        <v>1.1416000000000001E-2</v>
      </c>
      <c r="I157" s="234">
        <f>F!H111</f>
        <v>3.168314444176513</v>
      </c>
      <c r="J157" s="235">
        <f>F!I111</f>
        <v>26.1</v>
      </c>
      <c r="K157" s="235">
        <f>F!J111</f>
        <v>25.16</v>
      </c>
      <c r="L157" s="235">
        <f>F!K111</f>
        <v>19.693999999999999</v>
      </c>
      <c r="M157" s="399">
        <f>F!L111</f>
        <v>1.6889000000000001E-2</v>
      </c>
    </row>
    <row r="158" spans="2:13" ht="12" customHeight="1" thickBot="1">
      <c r="B158" s="242" t="s">
        <v>211</v>
      </c>
      <c r="C158" s="243">
        <f>F!B112</f>
        <v>3794</v>
      </c>
      <c r="D158" s="166">
        <f>F!C112</f>
        <v>399</v>
      </c>
      <c r="E158" s="243">
        <f>F!D112</f>
        <v>13323</v>
      </c>
      <c r="F158" s="166">
        <f>F!E112</f>
        <v>8656</v>
      </c>
      <c r="G158" s="168">
        <f>F!F112</f>
        <v>4666</v>
      </c>
      <c r="H158" s="161">
        <f>F!G112</f>
        <v>1.1507E-2</v>
      </c>
      <c r="I158" s="244">
        <f>F!H112</f>
        <v>3.1774385881230627</v>
      </c>
      <c r="J158" s="156">
        <f>F!I112</f>
        <v>26.1</v>
      </c>
      <c r="K158" s="156">
        <f>F!J112</f>
        <v>25.16</v>
      </c>
      <c r="L158" s="156">
        <f>F!K112</f>
        <v>19.805</v>
      </c>
      <c r="M158" s="400">
        <f>F!L112</f>
        <v>1.7329000000000001E-2</v>
      </c>
    </row>
    <row r="159" spans="2:13" ht="12" customHeight="1" thickTop="1">
      <c r="G159" s="116"/>
      <c r="I159" s="119"/>
      <c r="J159" s="95"/>
      <c r="K159" s="95"/>
      <c r="L159" s="95"/>
      <c r="M159" s="118"/>
    </row>
    <row r="160" spans="2:13" ht="12" customHeight="1">
      <c r="B160" s="58"/>
      <c r="G160" s="116"/>
      <c r="H160" s="376"/>
      <c r="I160" s="119"/>
      <c r="J160" s="95"/>
      <c r="K160" s="95"/>
      <c r="L160" s="95"/>
      <c r="M160" s="118"/>
    </row>
    <row r="161" spans="2:13" ht="12" customHeight="1" thickBot="1">
      <c r="G161" s="116"/>
      <c r="H161" s="376"/>
      <c r="I161" s="119"/>
      <c r="J161" s="95"/>
      <c r="K161" s="95"/>
      <c r="L161" s="95"/>
      <c r="M161" s="118"/>
    </row>
    <row r="162" spans="2:13" ht="12" customHeight="1" thickTop="1">
      <c r="B162" s="249" t="s">
        <v>482</v>
      </c>
      <c r="C162" s="237" t="s">
        <v>143</v>
      </c>
      <c r="D162" s="238"/>
      <c r="E162" s="237" t="s">
        <v>435</v>
      </c>
      <c r="F162" s="238"/>
      <c r="G162" s="401"/>
      <c r="H162" s="246" t="s">
        <v>437</v>
      </c>
      <c r="I162" s="409"/>
      <c r="J162" s="459"/>
      <c r="K162" s="459"/>
      <c r="L162" s="460"/>
      <c r="M162" s="412"/>
    </row>
    <row r="163" spans="2:13" ht="12" customHeight="1">
      <c r="B163" s="248"/>
      <c r="C163" s="223" t="s">
        <v>5</v>
      </c>
      <c r="D163" s="225" t="s">
        <v>84</v>
      </c>
      <c r="E163" s="223" t="s">
        <v>4</v>
      </c>
      <c r="F163" s="225" t="s">
        <v>6</v>
      </c>
      <c r="G163" s="402" t="s">
        <v>7</v>
      </c>
      <c r="H163" s="407" t="s">
        <v>149</v>
      </c>
      <c r="I163" s="410" t="s">
        <v>150</v>
      </c>
      <c r="J163" s="461" t="s">
        <v>151</v>
      </c>
      <c r="K163" s="461" t="s">
        <v>152</v>
      </c>
      <c r="L163" s="461" t="s">
        <v>153</v>
      </c>
      <c r="M163" s="413" t="s">
        <v>223</v>
      </c>
    </row>
    <row r="164" spans="2:13" ht="12" customHeight="1">
      <c r="B164" s="239" t="s">
        <v>78</v>
      </c>
      <c r="C164" s="226" t="s">
        <v>156</v>
      </c>
      <c r="D164" s="227" t="s">
        <v>156</v>
      </c>
      <c r="E164" s="226" t="s">
        <v>156</v>
      </c>
      <c r="F164" s="227" t="s">
        <v>156</v>
      </c>
      <c r="G164" s="403" t="s">
        <v>156</v>
      </c>
      <c r="H164" s="408" t="s">
        <v>157</v>
      </c>
      <c r="I164" s="411"/>
      <c r="J164" s="462" t="s">
        <v>11</v>
      </c>
      <c r="K164" s="463" t="s">
        <v>11</v>
      </c>
      <c r="L164" s="463" t="s">
        <v>11</v>
      </c>
      <c r="M164" s="424" t="s">
        <v>157</v>
      </c>
    </row>
    <row r="165" spans="2:13" ht="12" customHeight="1">
      <c r="B165" s="240" t="s">
        <v>159</v>
      </c>
      <c r="C165" s="228">
        <f>G!B89</f>
        <v>1942.81</v>
      </c>
      <c r="D165" s="228">
        <f>G!C89</f>
        <v>240.93799999999999</v>
      </c>
      <c r="E165" s="229">
        <f>G!D89</f>
        <v>7667.56</v>
      </c>
      <c r="F165" s="390">
        <f>G!E89</f>
        <v>5870.06</v>
      </c>
      <c r="G165" s="230">
        <f>G!F89</f>
        <v>1797.5</v>
      </c>
      <c r="H165" s="232">
        <f>G!G89</f>
        <v>9.2501500000000004E-3</v>
      </c>
      <c r="I165" s="233">
        <f>G!H89</f>
        <v>3.5112000000000001</v>
      </c>
      <c r="J165" s="235">
        <f>G!I89</f>
        <v>17.8</v>
      </c>
      <c r="K165" s="235">
        <f>G!J89</f>
        <v>23.936699999999998</v>
      </c>
      <c r="L165" s="235">
        <f>G!K89</f>
        <v>17.304200000000002</v>
      </c>
      <c r="M165" s="423">
        <f>G!L89</f>
        <v>1.1071715500000001E-2</v>
      </c>
    </row>
    <row r="166" spans="2:13" ht="12" customHeight="1">
      <c r="B166" s="241" t="s">
        <v>166</v>
      </c>
      <c r="C166" s="228">
        <f>G!B90</f>
        <v>1950.53</v>
      </c>
      <c r="D166" s="228">
        <f>G!C90</f>
        <v>241.10400000000001</v>
      </c>
      <c r="E166" s="231">
        <f>G!D90</f>
        <v>7674.46</v>
      </c>
      <c r="F166" s="228">
        <f>G!E90</f>
        <v>5871.7</v>
      </c>
      <c r="G166" s="165">
        <f>G!F90</f>
        <v>1802.77</v>
      </c>
      <c r="H166" s="232">
        <f>G!G90</f>
        <v>9.2582099999999994E-3</v>
      </c>
      <c r="I166" s="234">
        <f>G!H90</f>
        <v>3.5017</v>
      </c>
      <c r="J166" s="235">
        <f>G!I90</f>
        <v>18.3</v>
      </c>
      <c r="K166" s="235">
        <f>G!J90</f>
        <v>23.936699999999998</v>
      </c>
      <c r="L166" s="235">
        <f>G!K90</f>
        <v>17.309999999999999</v>
      </c>
      <c r="M166" s="399">
        <f>G!L90</f>
        <v>1.1431797E-2</v>
      </c>
    </row>
    <row r="167" spans="2:13" ht="12" customHeight="1">
      <c r="B167" s="241" t="s">
        <v>169</v>
      </c>
      <c r="C167" s="228">
        <f>G!B91</f>
        <v>1902.33</v>
      </c>
      <c r="D167" s="228">
        <f>G!C91</f>
        <v>236.85</v>
      </c>
      <c r="E167" s="231">
        <f>G!D91</f>
        <v>7527.94</v>
      </c>
      <c r="F167" s="228">
        <f>G!E91</f>
        <v>5782.88</v>
      </c>
      <c r="G167" s="165">
        <f>G!F91</f>
        <v>1745.07</v>
      </c>
      <c r="H167" s="232">
        <f>G!G91</f>
        <v>9.2067699999999995E-3</v>
      </c>
      <c r="I167" s="234">
        <f>G!H91</f>
        <v>3.5190899999999998</v>
      </c>
      <c r="J167" s="235">
        <f>G!I91</f>
        <v>17.8</v>
      </c>
      <c r="K167" s="235">
        <f>G!J91</f>
        <v>23.895800000000001</v>
      </c>
      <c r="L167" s="235">
        <f>G!K91</f>
        <v>17.236699999999999</v>
      </c>
      <c r="M167" s="399">
        <f>G!L91</f>
        <v>1.1071715500000001E-2</v>
      </c>
    </row>
    <row r="168" spans="2:13" ht="12" customHeight="1">
      <c r="B168" s="241" t="s">
        <v>171</v>
      </c>
      <c r="C168" s="228">
        <f>G!B92</f>
        <v>1845.43</v>
      </c>
      <c r="D168" s="228">
        <f>G!C92</f>
        <v>231.11799999999999</v>
      </c>
      <c r="E168" s="231">
        <f>G!D92</f>
        <v>7317.22</v>
      </c>
      <c r="F168" s="228">
        <f>G!E92</f>
        <v>5683.06</v>
      </c>
      <c r="G168" s="165">
        <f>G!F92</f>
        <v>1634.17</v>
      </c>
      <c r="H168" s="232">
        <f>G!G92</f>
        <v>9.1047200000000002E-3</v>
      </c>
      <c r="I168" s="234">
        <f>G!H92</f>
        <v>3.5237500000000002</v>
      </c>
      <c r="J168" s="235">
        <f>G!I92</f>
        <v>17.8</v>
      </c>
      <c r="K168" s="235">
        <f>G!J92</f>
        <v>23.837499999999999</v>
      </c>
      <c r="L168" s="235">
        <f>G!K92</f>
        <v>17.078499999999998</v>
      </c>
      <c r="M168" s="399">
        <f>G!L92</f>
        <v>1.1071715500000001E-2</v>
      </c>
    </row>
    <row r="169" spans="2:13" ht="12" customHeight="1">
      <c r="B169" s="241" t="s">
        <v>173</v>
      </c>
      <c r="C169" s="228">
        <f>G!B93</f>
        <v>1914.46</v>
      </c>
      <c r="D169" s="228">
        <f>G!C93</f>
        <v>238.68700000000001</v>
      </c>
      <c r="E169" s="231">
        <f>G!D93</f>
        <v>7514.35</v>
      </c>
      <c r="F169" s="228">
        <f>G!E93</f>
        <v>5955.01</v>
      </c>
      <c r="G169" s="165">
        <f>G!F93</f>
        <v>1559.34</v>
      </c>
      <c r="H169" s="232">
        <f>G!G93</f>
        <v>8.9519200000000004E-3</v>
      </c>
      <c r="I169" s="234">
        <f>G!H93</f>
        <v>3.4899399999999998</v>
      </c>
      <c r="J169" s="235">
        <f>G!I93</f>
        <v>17.2</v>
      </c>
      <c r="K169" s="235">
        <f>G!J93</f>
        <v>23.9757</v>
      </c>
      <c r="L169" s="235">
        <f>G!K93</f>
        <v>17.0075</v>
      </c>
      <c r="M169" s="399">
        <f>G!L93</f>
        <v>1.0155272999999999E-2</v>
      </c>
    </row>
    <row r="170" spans="2:13" ht="12" customHeight="1">
      <c r="B170" s="241" t="s">
        <v>174</v>
      </c>
      <c r="C170" s="228">
        <f>G!B94</f>
        <v>2506.5700000000002</v>
      </c>
      <c r="D170" s="228">
        <f>G!C94</f>
        <v>292.58800000000002</v>
      </c>
      <c r="E170" s="231">
        <f>G!D94</f>
        <v>9222.93</v>
      </c>
      <c r="F170" s="228">
        <f>G!E94</f>
        <v>7311.79</v>
      </c>
      <c r="G170" s="165">
        <f>G!F94</f>
        <v>1911.15</v>
      </c>
      <c r="H170" s="232">
        <f>G!G94</f>
        <v>9.1582799999999995E-3</v>
      </c>
      <c r="I170" s="234">
        <f>G!H94</f>
        <v>3.2949000000000002</v>
      </c>
      <c r="J170" s="235">
        <f>G!I94</f>
        <v>19.399999999999999</v>
      </c>
      <c r="K170" s="235">
        <f>G!J94</f>
        <v>24.575600000000001</v>
      </c>
      <c r="L170" s="235">
        <f>G!K94</f>
        <v>17.5412</v>
      </c>
      <c r="M170" s="399">
        <f>G!L94</f>
        <v>1.0970428000000001E-2</v>
      </c>
    </row>
    <row r="171" spans="2:13" ht="12" customHeight="1">
      <c r="B171" s="241" t="s">
        <v>176</v>
      </c>
      <c r="C171" s="228">
        <f>G!B95</f>
        <v>3170.95</v>
      </c>
      <c r="D171" s="228">
        <f>G!C95</f>
        <v>342.96899999999999</v>
      </c>
      <c r="E171" s="231">
        <f>G!D95</f>
        <v>10769.5</v>
      </c>
      <c r="F171" s="228">
        <f>G!E95</f>
        <v>8646.8700000000008</v>
      </c>
      <c r="G171" s="165">
        <f>G!F95</f>
        <v>2122.59</v>
      </c>
      <c r="H171" s="232">
        <f>G!G95</f>
        <v>9.4778299999999996E-3</v>
      </c>
      <c r="I171" s="234">
        <f>G!H95</f>
        <v>3.0648</v>
      </c>
      <c r="J171" s="235">
        <f>G!I95</f>
        <v>25</v>
      </c>
      <c r="K171" s="235">
        <f>G!J95</f>
        <v>25.164300000000001</v>
      </c>
      <c r="L171" s="235">
        <f>G!K95</f>
        <v>17.992599999999999</v>
      </c>
      <c r="M171" s="399">
        <f>G!L95</f>
        <v>1.3098754000000001E-2</v>
      </c>
    </row>
    <row r="172" spans="2:13" ht="12" customHeight="1">
      <c r="B172" s="241" t="s">
        <v>178</v>
      </c>
      <c r="C172" s="228">
        <f>G!B96</f>
        <v>3433.96</v>
      </c>
      <c r="D172" s="228">
        <f>G!C96</f>
        <v>360.59800000000001</v>
      </c>
      <c r="E172" s="231">
        <f>G!D96</f>
        <v>11186.4</v>
      </c>
      <c r="F172" s="228">
        <f>G!E96</f>
        <v>9298.6299999999992</v>
      </c>
      <c r="G172" s="165">
        <f>G!F96</f>
        <v>1887.81</v>
      </c>
      <c r="H172" s="232">
        <f>G!G96</f>
        <v>9.3737100000000004E-3</v>
      </c>
      <c r="I172" s="234">
        <f>G!H96</f>
        <v>2.9480200000000001</v>
      </c>
      <c r="J172" s="235">
        <f>G!I96</f>
        <v>27.2</v>
      </c>
      <c r="K172" s="235">
        <f>G!J96</f>
        <v>25.453299999999999</v>
      </c>
      <c r="L172" s="235">
        <f>G!K96</f>
        <v>17.959099999999999</v>
      </c>
      <c r="M172" s="399">
        <f>G!L96</f>
        <v>1.1039306E-2</v>
      </c>
    </row>
    <row r="173" spans="2:13" ht="12" customHeight="1">
      <c r="B173" s="241" t="s">
        <v>180</v>
      </c>
      <c r="C173" s="228">
        <f>G!B97</f>
        <v>4489.1499999999996</v>
      </c>
      <c r="D173" s="228">
        <f>G!C97</f>
        <v>460.78800000000001</v>
      </c>
      <c r="E173" s="231">
        <f>G!D97</f>
        <v>14744.4</v>
      </c>
      <c r="F173" s="228">
        <f>G!E97</f>
        <v>11923.2</v>
      </c>
      <c r="G173" s="165">
        <f>G!F97</f>
        <v>2821.19</v>
      </c>
      <c r="H173" s="232">
        <f>G!G97</f>
        <v>9.7160500000000004E-3</v>
      </c>
      <c r="I173" s="234">
        <f>G!H97</f>
        <v>2.9786999999999999</v>
      </c>
      <c r="J173" s="235">
        <f>G!I97</f>
        <v>28.9</v>
      </c>
      <c r="K173" s="235">
        <f>G!J97</f>
        <v>25.578499999999998</v>
      </c>
      <c r="L173" s="235">
        <f>G!K97</f>
        <v>18.325099999999999</v>
      </c>
      <c r="M173" s="399">
        <f>G!L97</f>
        <v>1.1956723000000001E-2</v>
      </c>
    </row>
    <row r="174" spans="2:13" ht="12" customHeight="1">
      <c r="B174" s="241" t="s">
        <v>183</v>
      </c>
      <c r="C174" s="228">
        <f>G!B98</f>
        <v>4853.28</v>
      </c>
      <c r="D174" s="228">
        <f>G!C98</f>
        <v>489.45499999999998</v>
      </c>
      <c r="E174" s="231">
        <f>G!D98</f>
        <v>15882.1</v>
      </c>
      <c r="F174" s="228">
        <f>G!E98</f>
        <v>12287.1</v>
      </c>
      <c r="G174" s="165">
        <f>G!F98</f>
        <v>3595.03</v>
      </c>
      <c r="H174" s="232">
        <f>G!G98</f>
        <v>1.02366E-2</v>
      </c>
      <c r="I174" s="234">
        <f>G!H98</f>
        <v>2.9726499999999998</v>
      </c>
      <c r="J174" s="235">
        <f>G!I98</f>
        <v>28.9</v>
      </c>
      <c r="K174" s="235">
        <f>G!J98</f>
        <v>25.7393</v>
      </c>
      <c r="L174" s="235">
        <f>G!K98</f>
        <v>18.854299999999999</v>
      </c>
      <c r="M174" s="399">
        <f>G!L98</f>
        <v>1.2719301000000001E-2</v>
      </c>
    </row>
    <row r="175" spans="2:13" ht="12" customHeight="1">
      <c r="B175" s="241" t="s">
        <v>186</v>
      </c>
      <c r="C175" s="228">
        <f>G!B99</f>
        <v>5164.22</v>
      </c>
      <c r="D175" s="228">
        <f>G!C99</f>
        <v>508.21800000000002</v>
      </c>
      <c r="E175" s="231">
        <f>G!D99</f>
        <v>16614.5</v>
      </c>
      <c r="F175" s="228">
        <f>G!E99</f>
        <v>12561.8</v>
      </c>
      <c r="G175" s="165">
        <f>G!F99</f>
        <v>4052.76</v>
      </c>
      <c r="H175" s="232">
        <f>G!G99</f>
        <v>1.0622400000000001E-2</v>
      </c>
      <c r="I175" s="234">
        <f>G!H99</f>
        <v>2.9289900000000002</v>
      </c>
      <c r="J175" s="235">
        <f>G!I99</f>
        <v>31.1</v>
      </c>
      <c r="K175" s="235">
        <f>G!J99</f>
        <v>25.863099999999999</v>
      </c>
      <c r="L175" s="235">
        <f>G!K99</f>
        <v>19.1876</v>
      </c>
      <c r="M175" s="399">
        <f>G!L99</f>
        <v>1.4761318000000001E-2</v>
      </c>
    </row>
    <row r="176" spans="2:13" ht="12" customHeight="1">
      <c r="B176" s="241" t="s">
        <v>187</v>
      </c>
      <c r="C176" s="228">
        <f>G!B100</f>
        <v>5004.96</v>
      </c>
      <c r="D176" s="228">
        <f>G!C100</f>
        <v>496.50400000000002</v>
      </c>
      <c r="E176" s="231">
        <f>G!D100</f>
        <v>16029.6</v>
      </c>
      <c r="F176" s="228">
        <f>G!E100</f>
        <v>12561.3</v>
      </c>
      <c r="G176" s="165">
        <f>G!F100</f>
        <v>3468.23</v>
      </c>
      <c r="H176" s="232">
        <f>G!G100</f>
        <v>1.04329E-2</v>
      </c>
      <c r="I176" s="234">
        <f>G!H100</f>
        <v>2.9136899999999999</v>
      </c>
      <c r="J176" s="235">
        <f>G!I100</f>
        <v>30.6</v>
      </c>
      <c r="K176" s="235">
        <f>G!J100</f>
        <v>25.8628</v>
      </c>
      <c r="L176" s="235">
        <f>G!K100</f>
        <v>18.867100000000001</v>
      </c>
      <c r="M176" s="399">
        <f>G!L100</f>
        <v>1.3210559E-2</v>
      </c>
    </row>
    <row r="177" spans="2:13" ht="12" customHeight="1">
      <c r="B177" s="241" t="s">
        <v>191</v>
      </c>
      <c r="C177" s="228">
        <f>G!B101</f>
        <v>6454.59</v>
      </c>
      <c r="D177" s="228">
        <f>G!C101</f>
        <v>639.274</v>
      </c>
      <c r="E177" s="231">
        <f>G!D101</f>
        <v>21179.7</v>
      </c>
      <c r="F177" s="228">
        <f>G!E101</f>
        <v>17430.7</v>
      </c>
      <c r="G177" s="165">
        <f>G!F101</f>
        <v>3749.01</v>
      </c>
      <c r="H177" s="232">
        <f>G!G101</f>
        <v>9.9714899999999995E-3</v>
      </c>
      <c r="I177" s="234">
        <f>G!H101</f>
        <v>2.98563</v>
      </c>
      <c r="J177" s="235">
        <f>G!I101</f>
        <v>31.1</v>
      </c>
      <c r="K177" s="235">
        <f>G!J101</f>
        <v>25.942399999999999</v>
      </c>
      <c r="L177" s="235">
        <f>G!K101</f>
        <v>18.518000000000001</v>
      </c>
      <c r="M177" s="399">
        <f>G!L101</f>
        <v>1.1293012E-2</v>
      </c>
    </row>
    <row r="178" spans="2:13" ht="12" customHeight="1">
      <c r="B178" s="241" t="s">
        <v>194</v>
      </c>
      <c r="C178" s="228">
        <f>G!B102</f>
        <v>6503.4</v>
      </c>
      <c r="D178" s="228">
        <f>G!C102</f>
        <v>639.95299999999997</v>
      </c>
      <c r="E178" s="231">
        <f>G!D102</f>
        <v>21055.4</v>
      </c>
      <c r="F178" s="228">
        <f>G!E102</f>
        <v>17608.599999999999</v>
      </c>
      <c r="G178" s="165">
        <f>G!F102</f>
        <v>3446.79</v>
      </c>
      <c r="H178" s="232">
        <f>G!G102</f>
        <v>9.7435999999999998E-3</v>
      </c>
      <c r="I178" s="234">
        <f>G!H102</f>
        <v>2.9475600000000002</v>
      </c>
      <c r="J178" s="235">
        <f>G!I102</f>
        <v>31.7</v>
      </c>
      <c r="K178" s="235">
        <f>G!J102</f>
        <v>26.021999999999998</v>
      </c>
      <c r="L178" s="235">
        <f>G!K102</f>
        <v>18.4421</v>
      </c>
      <c r="M178" s="399">
        <f>G!L102</f>
        <v>1.1691814E-2</v>
      </c>
    </row>
    <row r="179" spans="2:13" ht="12" customHeight="1">
      <c r="B179" s="241" t="s">
        <v>79</v>
      </c>
      <c r="C179" s="228">
        <f>G!B103</f>
        <v>8040.55</v>
      </c>
      <c r="D179" s="228">
        <f>G!C103</f>
        <v>784.90499999999997</v>
      </c>
      <c r="E179" s="231">
        <f>G!D103</f>
        <v>27069.8</v>
      </c>
      <c r="F179" s="228">
        <f>G!E103</f>
        <v>22350.400000000001</v>
      </c>
      <c r="G179" s="165">
        <f>G!F103</f>
        <v>4719.45</v>
      </c>
      <c r="H179" s="232">
        <f>G!G103</f>
        <v>9.7833899999999994E-3</v>
      </c>
      <c r="I179" s="234">
        <f>G!H103</f>
        <v>3.06724</v>
      </c>
      <c r="J179" s="235">
        <f>G!I103</f>
        <v>32.200000000000003</v>
      </c>
      <c r="K179" s="235">
        <f>G!J103</f>
        <v>26.1296</v>
      </c>
      <c r="L179" s="235">
        <f>G!K103</f>
        <v>18.647099999999998</v>
      </c>
      <c r="M179" s="399">
        <f>G!L103</f>
        <v>1.2340472999999999E-2</v>
      </c>
    </row>
    <row r="180" spans="2:13" ht="12" customHeight="1">
      <c r="B180" s="241" t="s">
        <v>198</v>
      </c>
      <c r="C180" s="228">
        <f>G!B104</f>
        <v>8133.59</v>
      </c>
      <c r="D180" s="228">
        <f>G!C104</f>
        <v>793.61</v>
      </c>
      <c r="E180" s="231">
        <f>G!D104</f>
        <v>27623.3</v>
      </c>
      <c r="F180" s="228">
        <f>G!E104</f>
        <v>22292</v>
      </c>
      <c r="G180" s="165">
        <f>G!F104</f>
        <v>5331.25</v>
      </c>
      <c r="H180" s="232">
        <f>G!G104</f>
        <v>9.8255200000000008E-3</v>
      </c>
      <c r="I180" s="234">
        <f>G!H104</f>
        <v>3.0942799999999999</v>
      </c>
      <c r="J180" s="235">
        <f>G!I104</f>
        <v>32.200000000000003</v>
      </c>
      <c r="K180" s="235">
        <f>G!J104</f>
        <v>26.032299999999999</v>
      </c>
      <c r="L180" s="235">
        <f>G!K104</f>
        <v>18.796500000000002</v>
      </c>
      <c r="M180" s="399">
        <f>G!L104</f>
        <v>1.4187589E-2</v>
      </c>
    </row>
    <row r="181" spans="2:13" ht="12" customHeight="1">
      <c r="B181" s="241" t="s">
        <v>201</v>
      </c>
      <c r="C181" s="228">
        <f>G!B105</f>
        <v>5211.79</v>
      </c>
      <c r="D181" s="228">
        <f>G!C105</f>
        <v>509.58100000000002</v>
      </c>
      <c r="E181" s="231">
        <f>G!D105</f>
        <v>16551</v>
      </c>
      <c r="F181" s="228">
        <f>G!E105</f>
        <v>12739.1</v>
      </c>
      <c r="G181" s="165">
        <f>G!F105</f>
        <v>3811.95</v>
      </c>
      <c r="H181" s="232">
        <f>G!G105</f>
        <v>1.0257199999999999E-2</v>
      </c>
      <c r="I181" s="234">
        <f>G!H105</f>
        <v>2.8928400000000001</v>
      </c>
      <c r="J181" s="235">
        <f>G!I105</f>
        <v>31.7</v>
      </c>
      <c r="K181" s="235">
        <f>G!J105</f>
        <v>25.943000000000001</v>
      </c>
      <c r="L181" s="235">
        <f>G!K105</f>
        <v>19.110399999999998</v>
      </c>
      <c r="M181" s="399">
        <f>G!L105</f>
        <v>1.4683774E-2</v>
      </c>
    </row>
    <row r="182" spans="2:13" ht="12" customHeight="1">
      <c r="B182" s="241" t="s">
        <v>204</v>
      </c>
      <c r="C182" s="228">
        <f>G!B106</f>
        <v>5122.29</v>
      </c>
      <c r="D182" s="228">
        <f>G!C106</f>
        <v>506.95600000000002</v>
      </c>
      <c r="E182" s="231">
        <f>G!D106</f>
        <v>16829.599999999999</v>
      </c>
      <c r="F182" s="228">
        <f>G!E106</f>
        <v>12180.9</v>
      </c>
      <c r="G182" s="165">
        <f>G!F106</f>
        <v>4648.7700000000004</v>
      </c>
      <c r="H182" s="232">
        <f>G!G106</f>
        <v>1.0859199999999999E-2</v>
      </c>
      <c r="I182" s="234">
        <f>G!H106</f>
        <v>2.9896799999999999</v>
      </c>
      <c r="J182" s="235">
        <f>G!I106</f>
        <v>31.1</v>
      </c>
      <c r="K182" s="235">
        <f>G!J106</f>
        <v>25.695499999999999</v>
      </c>
      <c r="L182" s="235">
        <f>G!K106</f>
        <v>19.393599999999999</v>
      </c>
      <c r="M182" s="399">
        <f>G!L106</f>
        <v>1.563434E-2</v>
      </c>
    </row>
    <row r="183" spans="2:13" ht="12" customHeight="1">
      <c r="B183" s="241" t="s">
        <v>206</v>
      </c>
      <c r="C183" s="228">
        <f>G!B107</f>
        <v>4831.72</v>
      </c>
      <c r="D183" s="228">
        <f>G!C107</f>
        <v>492.97</v>
      </c>
      <c r="E183" s="231">
        <f>G!D107</f>
        <v>16635.3</v>
      </c>
      <c r="F183" s="228">
        <f>G!E107</f>
        <v>11540.7</v>
      </c>
      <c r="G183" s="165">
        <f>G!F107</f>
        <v>5094.59</v>
      </c>
      <c r="H183" s="232">
        <f>G!G107</f>
        <v>1.10239E-2</v>
      </c>
      <c r="I183" s="234">
        <f>G!H107</f>
        <v>3.12418</v>
      </c>
      <c r="J183" s="235">
        <f>G!I107</f>
        <v>28.3</v>
      </c>
      <c r="K183" s="235">
        <f>G!J107</f>
        <v>25.409300000000002</v>
      </c>
      <c r="L183" s="235">
        <f>G!K107</f>
        <v>19.532299999999999</v>
      </c>
      <c r="M183" s="399">
        <f>G!L107</f>
        <v>1.4492502000000001E-2</v>
      </c>
    </row>
    <row r="184" spans="2:13" ht="12" customHeight="1">
      <c r="B184" s="241" t="s">
        <v>207</v>
      </c>
      <c r="C184" s="228">
        <f>G!B108</f>
        <v>4874.8500000000004</v>
      </c>
      <c r="D184" s="228">
        <f>G!C108</f>
        <v>501.23899999999998</v>
      </c>
      <c r="E184" s="231">
        <f>G!D108</f>
        <v>17131.099999999999</v>
      </c>
      <c r="F184" s="228">
        <f>G!E108</f>
        <v>11359.2</v>
      </c>
      <c r="G184" s="165">
        <f>G!F108</f>
        <v>5771.92</v>
      </c>
      <c r="H184" s="232">
        <f>G!G108</f>
        <v>1.13569E-2</v>
      </c>
      <c r="I184" s="234">
        <f>G!H108</f>
        <v>3.1865399999999999</v>
      </c>
      <c r="J184" s="235">
        <f>G!I108</f>
        <v>27.2</v>
      </c>
      <c r="K184" s="235">
        <f>G!J108</f>
        <v>25.328099999999999</v>
      </c>
      <c r="L184" s="235">
        <f>G!K108</f>
        <v>19.743099999999998</v>
      </c>
      <c r="M184" s="399">
        <f>G!L108</f>
        <v>1.6823952999999999E-2</v>
      </c>
    </row>
    <row r="185" spans="2:13" ht="12" customHeight="1">
      <c r="B185" s="241" t="s">
        <v>208</v>
      </c>
      <c r="C185" s="228">
        <f>G!B109</f>
        <v>3935.62</v>
      </c>
      <c r="D185" s="228">
        <f>G!C109</f>
        <v>405.54300000000001</v>
      </c>
      <c r="E185" s="231">
        <f>G!D109</f>
        <v>13524.8</v>
      </c>
      <c r="F185" s="228">
        <f>G!E109</f>
        <v>8931.39</v>
      </c>
      <c r="G185" s="165">
        <f>G!F109</f>
        <v>4593.42</v>
      </c>
      <c r="H185" s="232">
        <f>G!G109</f>
        <v>1.1378299999999999E-2</v>
      </c>
      <c r="I185" s="234">
        <f>G!H109</f>
        <v>3.1154799999999998</v>
      </c>
      <c r="J185" s="235">
        <f>G!I109</f>
        <v>27.2</v>
      </c>
      <c r="K185" s="235">
        <f>G!J109</f>
        <v>25.291</v>
      </c>
      <c r="L185" s="235">
        <f>G!K109</f>
        <v>19.7437</v>
      </c>
      <c r="M185" s="399">
        <f>G!L109</f>
        <v>1.6823952999999999E-2</v>
      </c>
    </row>
    <row r="186" spans="2:13" ht="12" customHeight="1">
      <c r="B186" s="241" t="s">
        <v>209</v>
      </c>
      <c r="C186" s="228">
        <f>G!B110</f>
        <v>3844.33</v>
      </c>
      <c r="D186" s="228">
        <f>G!C110</f>
        <v>398.93900000000002</v>
      </c>
      <c r="E186" s="231">
        <f>G!D110</f>
        <v>13355.8</v>
      </c>
      <c r="F186" s="228">
        <f>G!E110</f>
        <v>8747.2199999999993</v>
      </c>
      <c r="G186" s="165">
        <f>G!F110</f>
        <v>4608.6000000000004</v>
      </c>
      <c r="H186" s="232">
        <f>G!G110</f>
        <v>1.1398E-2</v>
      </c>
      <c r="I186" s="234">
        <f>G!H110</f>
        <v>3.1475300000000002</v>
      </c>
      <c r="J186" s="235">
        <f>G!I110</f>
        <v>26.7</v>
      </c>
      <c r="K186" s="235">
        <f>G!J110</f>
        <v>25.209199999999999</v>
      </c>
      <c r="L186" s="235">
        <f>G!K110</f>
        <v>19.788699999999999</v>
      </c>
      <c r="M186" s="399">
        <f>G!L110</f>
        <v>1.6777486000000001E-2</v>
      </c>
    </row>
    <row r="187" spans="2:13" ht="12" customHeight="1">
      <c r="B187" s="241" t="s">
        <v>210</v>
      </c>
      <c r="C187" s="228">
        <f>G!B111</f>
        <v>3807.46</v>
      </c>
      <c r="D187" s="228">
        <f>G!C111</f>
        <v>397.27499999999998</v>
      </c>
      <c r="E187" s="231">
        <f>G!D111</f>
        <v>13343.3</v>
      </c>
      <c r="F187" s="228">
        <f>G!E111</f>
        <v>8646.75</v>
      </c>
      <c r="G187" s="165">
        <f>G!F111</f>
        <v>4696.5600000000004</v>
      </c>
      <c r="H187" s="232">
        <f>G!G111</f>
        <v>1.1449900000000001E-2</v>
      </c>
      <c r="I187" s="234">
        <f>G!H111</f>
        <v>3.1734</v>
      </c>
      <c r="J187" s="235">
        <f>G!I111</f>
        <v>26.1</v>
      </c>
      <c r="K187" s="235">
        <f>G!J111</f>
        <v>25.1645</v>
      </c>
      <c r="L187" s="235">
        <f>G!K111</f>
        <v>19.8355</v>
      </c>
      <c r="M187" s="399">
        <f>G!L111</f>
        <v>1.6835019999999999E-2</v>
      </c>
    </row>
    <row r="188" spans="2:13" ht="12" customHeight="1" thickBot="1">
      <c r="B188" s="242" t="s">
        <v>211</v>
      </c>
      <c r="C188" s="243">
        <f>G!B112</f>
        <v>3664.17</v>
      </c>
      <c r="D188" s="166">
        <f>G!C112</f>
        <v>385.64</v>
      </c>
      <c r="E188" s="243">
        <f>G!D112</f>
        <v>12972.7</v>
      </c>
      <c r="F188" s="166">
        <f>G!E112</f>
        <v>8359.6</v>
      </c>
      <c r="G188" s="168">
        <f>G!F112</f>
        <v>4613.0600000000004</v>
      </c>
      <c r="H188" s="161">
        <f>G!G112</f>
        <v>1.1461900000000001E-2</v>
      </c>
      <c r="I188" s="244">
        <f>G!H112</f>
        <v>3.2032699999999998</v>
      </c>
      <c r="J188" s="156">
        <f>G!I112</f>
        <v>26.1</v>
      </c>
      <c r="K188" s="156">
        <f>G!J112</f>
        <v>25.037400000000002</v>
      </c>
      <c r="L188" s="157">
        <f>G!K112</f>
        <v>19.767800000000001</v>
      </c>
      <c r="M188" s="400">
        <f>G!L112</f>
        <v>1.727306E-2</v>
      </c>
    </row>
    <row r="189" spans="2:13" ht="12" customHeight="1" thickTop="1">
      <c r="B189" s="464"/>
      <c r="C189" s="228"/>
      <c r="D189" s="228"/>
      <c r="E189" s="228"/>
      <c r="F189" s="228"/>
      <c r="G189" s="228"/>
      <c r="H189" s="376" t="s">
        <v>533</v>
      </c>
      <c r="I189" s="220"/>
      <c r="J189" s="235"/>
      <c r="K189" s="235"/>
      <c r="L189" s="235"/>
      <c r="M189" s="232"/>
    </row>
    <row r="190" spans="2:13" ht="12" customHeight="1">
      <c r="B190" s="464"/>
      <c r="C190" s="228"/>
      <c r="D190" s="228"/>
      <c r="E190" s="228"/>
      <c r="F190" s="228"/>
      <c r="G190" s="228"/>
      <c r="H190" s="232"/>
      <c r="I190" s="220"/>
      <c r="J190" s="235"/>
      <c r="K190" s="235"/>
      <c r="L190" s="235"/>
      <c r="M190" s="232"/>
    </row>
    <row r="191" spans="2:13" ht="12" customHeight="1">
      <c r="B191" s="464"/>
      <c r="C191" s="228"/>
      <c r="D191" s="228"/>
      <c r="E191" s="228"/>
      <c r="F191" s="228"/>
      <c r="G191" s="228"/>
      <c r="H191" s="232"/>
      <c r="I191" s="220"/>
      <c r="J191" s="235"/>
      <c r="K191" s="235"/>
      <c r="L191" s="235"/>
      <c r="M191" s="232"/>
    </row>
    <row r="192" spans="2:13" ht="12" customHeight="1">
      <c r="B192" s="464"/>
      <c r="C192" s="228"/>
      <c r="D192" s="228"/>
      <c r="E192" s="228"/>
      <c r="F192" s="228"/>
      <c r="G192" s="228"/>
      <c r="H192" s="232"/>
      <c r="I192" s="220"/>
      <c r="J192" s="235"/>
      <c r="K192" s="235"/>
      <c r="L192" s="235"/>
      <c r="M192" s="232"/>
    </row>
    <row r="193" spans="2:13" ht="12" customHeight="1">
      <c r="B193" s="464" t="s">
        <v>522</v>
      </c>
      <c r="C193" s="228"/>
      <c r="D193" s="228"/>
      <c r="E193" s="228"/>
      <c r="F193" s="228"/>
      <c r="G193" s="228"/>
      <c r="H193" s="232"/>
      <c r="I193" s="220"/>
      <c r="J193" s="235"/>
      <c r="K193" s="235"/>
      <c r="L193" s="235"/>
      <c r="M193" s="232"/>
    </row>
    <row r="194" spans="2:13" ht="12" customHeight="1" thickBot="1">
      <c r="G194" s="118"/>
      <c r="H194" s="118"/>
      <c r="I194" s="119"/>
      <c r="J194" s="95"/>
      <c r="K194" s="95"/>
      <c r="L194" s="95"/>
      <c r="M194" s="118"/>
    </row>
    <row r="195" spans="2:13" ht="12" customHeight="1" thickTop="1">
      <c r="B195" s="249" t="s">
        <v>450</v>
      </c>
      <c r="C195" s="237" t="s">
        <v>143</v>
      </c>
      <c r="D195" s="238"/>
      <c r="E195" s="237" t="s">
        <v>435</v>
      </c>
      <c r="F195" s="238"/>
      <c r="G195" s="401"/>
      <c r="H195" s="458" t="s">
        <v>437</v>
      </c>
      <c r="I195" s="409"/>
      <c r="J195" s="459"/>
      <c r="K195" s="459"/>
      <c r="L195" s="460"/>
      <c r="M195" s="412"/>
    </row>
    <row r="196" spans="2:13" ht="12" customHeight="1">
      <c r="B196" s="248"/>
      <c r="C196" s="223" t="s">
        <v>5</v>
      </c>
      <c r="D196" s="225" t="s">
        <v>84</v>
      </c>
      <c r="E196" s="223" t="s">
        <v>4</v>
      </c>
      <c r="F196" s="225" t="s">
        <v>6</v>
      </c>
      <c r="G196" s="402" t="s">
        <v>7</v>
      </c>
      <c r="H196" s="407" t="s">
        <v>149</v>
      </c>
      <c r="I196" s="410" t="s">
        <v>150</v>
      </c>
      <c r="J196" s="461" t="s">
        <v>151</v>
      </c>
      <c r="K196" s="461" t="s">
        <v>152</v>
      </c>
      <c r="L196" s="461" t="s">
        <v>153</v>
      </c>
      <c r="M196" s="413" t="s">
        <v>223</v>
      </c>
    </row>
    <row r="197" spans="2:13" ht="12" customHeight="1">
      <c r="B197" s="239" t="s">
        <v>78</v>
      </c>
      <c r="C197" s="226" t="s">
        <v>156</v>
      </c>
      <c r="D197" s="227" t="s">
        <v>156</v>
      </c>
      <c r="E197" s="226" t="s">
        <v>156</v>
      </c>
      <c r="F197" s="227" t="s">
        <v>156</v>
      </c>
      <c r="G197" s="403" t="s">
        <v>156</v>
      </c>
      <c r="H197" s="408" t="s">
        <v>157</v>
      </c>
      <c r="I197" s="411"/>
      <c r="J197" s="462" t="s">
        <v>11</v>
      </c>
      <c r="K197" s="463" t="s">
        <v>11</v>
      </c>
      <c r="L197" s="463" t="s">
        <v>11</v>
      </c>
      <c r="M197" s="424" t="s">
        <v>157</v>
      </c>
    </row>
    <row r="198" spans="2:13" ht="12" customHeight="1">
      <c r="B198" s="240" t="s">
        <v>159</v>
      </c>
      <c r="C198" s="228">
        <f>YD!B89</f>
        <v>0</v>
      </c>
      <c r="D198" s="228">
        <f>YD!C89</f>
        <v>0</v>
      </c>
      <c r="E198" s="229">
        <f>YD!D89</f>
        <v>0</v>
      </c>
      <c r="F198" s="390">
        <f>YD!E89</f>
        <v>0</v>
      </c>
      <c r="G198" s="230">
        <f>YD!F89</f>
        <v>0</v>
      </c>
      <c r="H198" s="232">
        <f>YD!G89</f>
        <v>0</v>
      </c>
      <c r="I198" s="233">
        <f>YD!H89</f>
        <v>0</v>
      </c>
      <c r="J198" s="235">
        <f>YD!I89</f>
        <v>0</v>
      </c>
      <c r="K198" s="235">
        <f>YD!J89</f>
        <v>0</v>
      </c>
      <c r="L198" s="235">
        <f>YD!K89</f>
        <v>0</v>
      </c>
      <c r="M198" s="423">
        <f>YD!L89</f>
        <v>0</v>
      </c>
    </row>
    <row r="199" spans="2:13" ht="12" customHeight="1">
      <c r="B199" s="241" t="s">
        <v>166</v>
      </c>
      <c r="C199" s="228">
        <f>YD!B90</f>
        <v>0</v>
      </c>
      <c r="D199" s="228">
        <f>YD!C90</f>
        <v>0</v>
      </c>
      <c r="E199" s="231">
        <f>YD!D90</f>
        <v>0</v>
      </c>
      <c r="F199" s="228">
        <f>YD!E90</f>
        <v>0</v>
      </c>
      <c r="G199" s="165">
        <f>YD!F90</f>
        <v>0</v>
      </c>
      <c r="H199" s="232">
        <f>YD!G90</f>
        <v>0</v>
      </c>
      <c r="I199" s="234">
        <f>YD!H90</f>
        <v>0</v>
      </c>
      <c r="J199" s="235">
        <f>YD!I90</f>
        <v>0</v>
      </c>
      <c r="K199" s="235">
        <f>YD!J90</f>
        <v>0</v>
      </c>
      <c r="L199" s="235">
        <f>YD!K90</f>
        <v>0</v>
      </c>
      <c r="M199" s="399">
        <f>YD!L90</f>
        <v>0</v>
      </c>
    </row>
    <row r="200" spans="2:13" ht="12" customHeight="1">
      <c r="B200" s="241" t="s">
        <v>169</v>
      </c>
      <c r="C200" s="228">
        <f>YD!B91</f>
        <v>0</v>
      </c>
      <c r="D200" s="228">
        <f>YD!C91</f>
        <v>0</v>
      </c>
      <c r="E200" s="231">
        <f>YD!D91</f>
        <v>0</v>
      </c>
      <c r="F200" s="228">
        <f>YD!E91</f>
        <v>0</v>
      </c>
      <c r="G200" s="165">
        <f>YD!F91</f>
        <v>0</v>
      </c>
      <c r="H200" s="232">
        <f>YD!G91</f>
        <v>0</v>
      </c>
      <c r="I200" s="234">
        <f>YD!H91</f>
        <v>0</v>
      </c>
      <c r="J200" s="235">
        <f>YD!I91</f>
        <v>0</v>
      </c>
      <c r="K200" s="235">
        <f>YD!J91</f>
        <v>0</v>
      </c>
      <c r="L200" s="235">
        <f>YD!K91</f>
        <v>0</v>
      </c>
      <c r="M200" s="399">
        <f>YD!L91</f>
        <v>0</v>
      </c>
    </row>
    <row r="201" spans="2:13" ht="12" customHeight="1">
      <c r="B201" s="241" t="s">
        <v>171</v>
      </c>
      <c r="C201" s="228">
        <f>YD!B92</f>
        <v>0</v>
      </c>
      <c r="D201" s="228">
        <f>YD!C92</f>
        <v>0</v>
      </c>
      <c r="E201" s="231">
        <f>YD!D92</f>
        <v>0</v>
      </c>
      <c r="F201" s="228">
        <f>YD!E92</f>
        <v>0</v>
      </c>
      <c r="G201" s="165">
        <f>YD!F92</f>
        <v>0</v>
      </c>
      <c r="H201" s="232">
        <f>YD!G92</f>
        <v>0</v>
      </c>
      <c r="I201" s="234">
        <f>YD!H92</f>
        <v>0</v>
      </c>
      <c r="J201" s="235">
        <f>YD!I92</f>
        <v>0</v>
      </c>
      <c r="K201" s="235">
        <f>YD!J92</f>
        <v>0</v>
      </c>
      <c r="L201" s="235">
        <f>YD!K92</f>
        <v>0</v>
      </c>
      <c r="M201" s="399">
        <f>YD!L92</f>
        <v>0</v>
      </c>
    </row>
    <row r="202" spans="2:13" ht="12" customHeight="1">
      <c r="B202" s="241" t="s">
        <v>173</v>
      </c>
      <c r="C202" s="228">
        <f>YD!B93</f>
        <v>0</v>
      </c>
      <c r="D202" s="228">
        <f>YD!C93</f>
        <v>0</v>
      </c>
      <c r="E202" s="231">
        <f>YD!D93</f>
        <v>0</v>
      </c>
      <c r="F202" s="228">
        <f>YD!E93</f>
        <v>0</v>
      </c>
      <c r="G202" s="165">
        <f>YD!F93</f>
        <v>0</v>
      </c>
      <c r="H202" s="232">
        <f>YD!G93</f>
        <v>0</v>
      </c>
      <c r="I202" s="234">
        <f>YD!H93</f>
        <v>0</v>
      </c>
      <c r="J202" s="235">
        <f>YD!I93</f>
        <v>0</v>
      </c>
      <c r="K202" s="235">
        <f>YD!J93</f>
        <v>0</v>
      </c>
      <c r="L202" s="235">
        <f>YD!K93</f>
        <v>0</v>
      </c>
      <c r="M202" s="399">
        <f>YD!L93</f>
        <v>0</v>
      </c>
    </row>
    <row r="203" spans="2:13" ht="12" customHeight="1">
      <c r="B203" s="241" t="s">
        <v>174</v>
      </c>
      <c r="C203" s="228">
        <f>YD!B94</f>
        <v>0</v>
      </c>
      <c r="D203" s="228">
        <f>YD!C94</f>
        <v>0</v>
      </c>
      <c r="E203" s="231">
        <f>YD!D94</f>
        <v>0</v>
      </c>
      <c r="F203" s="228">
        <f>YD!E94</f>
        <v>0</v>
      </c>
      <c r="G203" s="165">
        <f>YD!F94</f>
        <v>0</v>
      </c>
      <c r="H203" s="232">
        <f>YD!G94</f>
        <v>0</v>
      </c>
      <c r="I203" s="234">
        <f>YD!H94</f>
        <v>0</v>
      </c>
      <c r="J203" s="235">
        <f>YD!I94</f>
        <v>0</v>
      </c>
      <c r="K203" s="235">
        <f>YD!J94</f>
        <v>0</v>
      </c>
      <c r="L203" s="235">
        <f>YD!K94</f>
        <v>0</v>
      </c>
      <c r="M203" s="399">
        <f>YD!L94</f>
        <v>0</v>
      </c>
    </row>
    <row r="204" spans="2:13" ht="12" customHeight="1">
      <c r="B204" s="241" t="s">
        <v>176</v>
      </c>
      <c r="C204" s="228">
        <f>YD!B95</f>
        <v>0</v>
      </c>
      <c r="D204" s="228">
        <f>YD!C95</f>
        <v>0</v>
      </c>
      <c r="E204" s="231">
        <f>YD!D95</f>
        <v>0</v>
      </c>
      <c r="F204" s="228">
        <f>YD!E95</f>
        <v>0</v>
      </c>
      <c r="G204" s="165">
        <f>YD!F95</f>
        <v>0</v>
      </c>
      <c r="H204" s="232">
        <f>YD!G95</f>
        <v>0</v>
      </c>
      <c r="I204" s="234">
        <f>YD!H95</f>
        <v>0</v>
      </c>
      <c r="J204" s="235">
        <f>YD!I95</f>
        <v>0</v>
      </c>
      <c r="K204" s="235">
        <f>YD!J95</f>
        <v>0</v>
      </c>
      <c r="L204" s="235">
        <f>YD!K95</f>
        <v>0</v>
      </c>
      <c r="M204" s="399">
        <f>YD!L95</f>
        <v>0</v>
      </c>
    </row>
    <row r="205" spans="2:13" ht="12" customHeight="1">
      <c r="B205" s="241" t="s">
        <v>178</v>
      </c>
      <c r="C205" s="228">
        <f>YD!B96</f>
        <v>0</v>
      </c>
      <c r="D205" s="228">
        <f>YD!C96</f>
        <v>0</v>
      </c>
      <c r="E205" s="231">
        <f>YD!D96</f>
        <v>0</v>
      </c>
      <c r="F205" s="228">
        <f>YD!E96</f>
        <v>0</v>
      </c>
      <c r="G205" s="165">
        <f>YD!F96</f>
        <v>0</v>
      </c>
      <c r="H205" s="232">
        <f>YD!G96</f>
        <v>0</v>
      </c>
      <c r="I205" s="234">
        <f>YD!H96</f>
        <v>0</v>
      </c>
      <c r="J205" s="235">
        <f>YD!I96</f>
        <v>0</v>
      </c>
      <c r="K205" s="235">
        <f>YD!J96</f>
        <v>0</v>
      </c>
      <c r="L205" s="235">
        <f>YD!K96</f>
        <v>0</v>
      </c>
      <c r="M205" s="399">
        <f>YD!L96</f>
        <v>0</v>
      </c>
    </row>
    <row r="206" spans="2:13" ht="12" customHeight="1">
      <c r="B206" s="241" t="s">
        <v>180</v>
      </c>
      <c r="C206" s="228">
        <f>YD!B97</f>
        <v>0</v>
      </c>
      <c r="D206" s="228">
        <f>YD!C97</f>
        <v>0</v>
      </c>
      <c r="E206" s="231">
        <f>YD!D97</f>
        <v>0</v>
      </c>
      <c r="F206" s="228">
        <f>YD!E97</f>
        <v>0</v>
      </c>
      <c r="G206" s="165">
        <f>YD!F97</f>
        <v>0</v>
      </c>
      <c r="H206" s="232">
        <f>YD!G97</f>
        <v>0</v>
      </c>
      <c r="I206" s="234">
        <f>YD!H97</f>
        <v>0</v>
      </c>
      <c r="J206" s="235">
        <f>YD!I97</f>
        <v>0</v>
      </c>
      <c r="K206" s="235">
        <f>YD!J97</f>
        <v>0</v>
      </c>
      <c r="L206" s="235">
        <f>YD!K97</f>
        <v>0</v>
      </c>
      <c r="M206" s="399">
        <f>YD!L97</f>
        <v>0</v>
      </c>
    </row>
    <row r="207" spans="2:13" ht="12" customHeight="1">
      <c r="B207" s="241" t="s">
        <v>183</v>
      </c>
      <c r="C207" s="228">
        <f>YD!B98</f>
        <v>0</v>
      </c>
      <c r="D207" s="228">
        <f>YD!C98</f>
        <v>0</v>
      </c>
      <c r="E207" s="231">
        <f>YD!D98</f>
        <v>0</v>
      </c>
      <c r="F207" s="228">
        <f>YD!E98</f>
        <v>0</v>
      </c>
      <c r="G207" s="165">
        <f>YD!F98</f>
        <v>0</v>
      </c>
      <c r="H207" s="232">
        <f>YD!G98</f>
        <v>0</v>
      </c>
      <c r="I207" s="234">
        <f>YD!H98</f>
        <v>0</v>
      </c>
      <c r="J207" s="235">
        <f>YD!I98</f>
        <v>0</v>
      </c>
      <c r="K207" s="235">
        <f>YD!J98</f>
        <v>0</v>
      </c>
      <c r="L207" s="235">
        <f>YD!K98</f>
        <v>0</v>
      </c>
      <c r="M207" s="399">
        <f>YD!L98</f>
        <v>0</v>
      </c>
    </row>
    <row r="208" spans="2:13" ht="12" customHeight="1">
      <c r="B208" s="241" t="s">
        <v>186</v>
      </c>
      <c r="C208" s="228">
        <f>YD!B99</f>
        <v>0</v>
      </c>
      <c r="D208" s="228">
        <f>YD!C99</f>
        <v>0</v>
      </c>
      <c r="E208" s="231">
        <f>YD!D99</f>
        <v>0</v>
      </c>
      <c r="F208" s="228">
        <f>YD!E99</f>
        <v>0</v>
      </c>
      <c r="G208" s="165">
        <f>YD!F99</f>
        <v>0</v>
      </c>
      <c r="H208" s="232">
        <f>YD!G99</f>
        <v>0</v>
      </c>
      <c r="I208" s="234">
        <f>YD!H99</f>
        <v>0</v>
      </c>
      <c r="J208" s="235">
        <f>YD!I99</f>
        <v>0</v>
      </c>
      <c r="K208" s="235">
        <f>YD!J99</f>
        <v>0</v>
      </c>
      <c r="L208" s="235">
        <f>YD!K99</f>
        <v>0</v>
      </c>
      <c r="M208" s="399">
        <f>YD!L99</f>
        <v>0</v>
      </c>
    </row>
    <row r="209" spans="2:13" ht="12" customHeight="1">
      <c r="B209" s="241" t="s">
        <v>187</v>
      </c>
      <c r="C209" s="228">
        <f>YD!B100</f>
        <v>0</v>
      </c>
      <c r="D209" s="228">
        <f>YD!C100</f>
        <v>0</v>
      </c>
      <c r="E209" s="231">
        <f>YD!D100</f>
        <v>0</v>
      </c>
      <c r="F209" s="228">
        <f>YD!E100</f>
        <v>0</v>
      </c>
      <c r="G209" s="165">
        <f>YD!F100</f>
        <v>0</v>
      </c>
      <c r="H209" s="232">
        <f>YD!G100</f>
        <v>0</v>
      </c>
      <c r="I209" s="234">
        <f>YD!H100</f>
        <v>0</v>
      </c>
      <c r="J209" s="235">
        <f>YD!I100</f>
        <v>0</v>
      </c>
      <c r="K209" s="235">
        <f>YD!J100</f>
        <v>0</v>
      </c>
      <c r="L209" s="235">
        <f>YD!K100</f>
        <v>0</v>
      </c>
      <c r="M209" s="399">
        <f>YD!L100</f>
        <v>0</v>
      </c>
    </row>
    <row r="210" spans="2:13" ht="12" customHeight="1">
      <c r="B210" s="241" t="s">
        <v>191</v>
      </c>
      <c r="C210" s="228">
        <f>YD!B101</f>
        <v>0</v>
      </c>
      <c r="D210" s="228">
        <f>YD!C101</f>
        <v>0</v>
      </c>
      <c r="E210" s="231">
        <f>YD!D101</f>
        <v>0</v>
      </c>
      <c r="F210" s="228">
        <f>YD!E101</f>
        <v>0</v>
      </c>
      <c r="G210" s="165">
        <f>YD!F101</f>
        <v>0</v>
      </c>
      <c r="H210" s="232">
        <f>YD!G101</f>
        <v>0</v>
      </c>
      <c r="I210" s="234">
        <f>YD!H101</f>
        <v>0</v>
      </c>
      <c r="J210" s="235">
        <f>YD!I101</f>
        <v>0</v>
      </c>
      <c r="K210" s="235">
        <f>YD!J101</f>
        <v>0</v>
      </c>
      <c r="L210" s="235">
        <f>YD!K101</f>
        <v>0</v>
      </c>
      <c r="M210" s="399">
        <f>YD!L101</f>
        <v>0</v>
      </c>
    </row>
    <row r="211" spans="2:13" ht="12" customHeight="1">
      <c r="B211" s="241" t="s">
        <v>194</v>
      </c>
      <c r="C211" s="228">
        <f>YD!B102</f>
        <v>0</v>
      </c>
      <c r="D211" s="228">
        <f>YD!C102</f>
        <v>0</v>
      </c>
      <c r="E211" s="231">
        <f>YD!D102</f>
        <v>0</v>
      </c>
      <c r="F211" s="228">
        <f>YD!E102</f>
        <v>0</v>
      </c>
      <c r="G211" s="165">
        <f>YD!F102</f>
        <v>0</v>
      </c>
      <c r="H211" s="232">
        <f>YD!G102</f>
        <v>0</v>
      </c>
      <c r="I211" s="234">
        <f>YD!H102</f>
        <v>0</v>
      </c>
      <c r="J211" s="235">
        <f>YD!I102</f>
        <v>0</v>
      </c>
      <c r="K211" s="235">
        <f>YD!J102</f>
        <v>0</v>
      </c>
      <c r="L211" s="235">
        <f>YD!K102</f>
        <v>0</v>
      </c>
      <c r="M211" s="399">
        <f>YD!L102</f>
        <v>0</v>
      </c>
    </row>
    <row r="212" spans="2:13" ht="12" customHeight="1">
      <c r="B212" s="241" t="s">
        <v>79</v>
      </c>
      <c r="C212" s="228">
        <f>YD!B103</f>
        <v>0</v>
      </c>
      <c r="D212" s="228">
        <f>YD!C103</f>
        <v>0</v>
      </c>
      <c r="E212" s="231">
        <f>YD!D103</f>
        <v>0</v>
      </c>
      <c r="F212" s="228">
        <f>YD!E103</f>
        <v>0</v>
      </c>
      <c r="G212" s="165">
        <f>YD!F103</f>
        <v>0</v>
      </c>
      <c r="H212" s="232">
        <f>YD!G103</f>
        <v>0</v>
      </c>
      <c r="I212" s="234">
        <f>YD!H103</f>
        <v>0</v>
      </c>
      <c r="J212" s="235">
        <f>YD!I103</f>
        <v>0</v>
      </c>
      <c r="K212" s="235">
        <f>YD!J103</f>
        <v>0</v>
      </c>
      <c r="L212" s="235">
        <f>YD!K103</f>
        <v>0</v>
      </c>
      <c r="M212" s="399">
        <f>YD!L103</f>
        <v>0</v>
      </c>
    </row>
    <row r="213" spans="2:13" ht="12" customHeight="1">
      <c r="B213" s="241" t="s">
        <v>198</v>
      </c>
      <c r="C213" s="228">
        <f>YD!B104</f>
        <v>0</v>
      </c>
      <c r="D213" s="228">
        <f>YD!C104</f>
        <v>0</v>
      </c>
      <c r="E213" s="231">
        <f>YD!D104</f>
        <v>0</v>
      </c>
      <c r="F213" s="228">
        <f>YD!E104</f>
        <v>0</v>
      </c>
      <c r="G213" s="165">
        <f>YD!F104</f>
        <v>0</v>
      </c>
      <c r="H213" s="232">
        <f>YD!G104</f>
        <v>0</v>
      </c>
      <c r="I213" s="234">
        <f>YD!H104</f>
        <v>0</v>
      </c>
      <c r="J213" s="235">
        <f>YD!I104</f>
        <v>0</v>
      </c>
      <c r="K213" s="235">
        <f>YD!J104</f>
        <v>0</v>
      </c>
      <c r="L213" s="235">
        <f>YD!K104</f>
        <v>0</v>
      </c>
      <c r="M213" s="399">
        <f>YD!L104</f>
        <v>0</v>
      </c>
    </row>
    <row r="214" spans="2:13" ht="12" customHeight="1">
      <c r="B214" s="241" t="s">
        <v>201</v>
      </c>
      <c r="C214" s="228">
        <f>YD!B105</f>
        <v>0</v>
      </c>
      <c r="D214" s="228">
        <f>YD!C105</f>
        <v>0</v>
      </c>
      <c r="E214" s="231">
        <f>YD!D105</f>
        <v>0</v>
      </c>
      <c r="F214" s="228">
        <f>YD!E105</f>
        <v>0</v>
      </c>
      <c r="G214" s="165">
        <f>YD!F105</f>
        <v>0</v>
      </c>
      <c r="H214" s="232">
        <f>YD!G105</f>
        <v>0</v>
      </c>
      <c r="I214" s="234">
        <f>YD!H105</f>
        <v>0</v>
      </c>
      <c r="J214" s="235">
        <f>YD!I105</f>
        <v>0</v>
      </c>
      <c r="K214" s="235">
        <f>YD!J105</f>
        <v>0</v>
      </c>
      <c r="L214" s="235">
        <f>YD!K105</f>
        <v>0</v>
      </c>
      <c r="M214" s="399">
        <f>YD!L105</f>
        <v>0</v>
      </c>
    </row>
    <row r="215" spans="2:13" ht="12" customHeight="1">
      <c r="B215" s="241" t="s">
        <v>204</v>
      </c>
      <c r="C215" s="228">
        <f>YD!B106</f>
        <v>0</v>
      </c>
      <c r="D215" s="228">
        <f>YD!C106</f>
        <v>0</v>
      </c>
      <c r="E215" s="231">
        <f>YD!D106</f>
        <v>0</v>
      </c>
      <c r="F215" s="228">
        <f>YD!E106</f>
        <v>0</v>
      </c>
      <c r="G215" s="165">
        <f>YD!F106</f>
        <v>0</v>
      </c>
      <c r="H215" s="232">
        <f>YD!G106</f>
        <v>0</v>
      </c>
      <c r="I215" s="234">
        <f>YD!H106</f>
        <v>0</v>
      </c>
      <c r="J215" s="235">
        <f>YD!I106</f>
        <v>0</v>
      </c>
      <c r="K215" s="235">
        <f>YD!J106</f>
        <v>0</v>
      </c>
      <c r="L215" s="235">
        <f>YD!K106</f>
        <v>0</v>
      </c>
      <c r="M215" s="399">
        <f>YD!L106</f>
        <v>0</v>
      </c>
    </row>
    <row r="216" spans="2:13" ht="12" customHeight="1">
      <c r="B216" s="241" t="s">
        <v>206</v>
      </c>
      <c r="C216" s="228">
        <f>YD!B107</f>
        <v>0</v>
      </c>
      <c r="D216" s="228">
        <f>YD!C107</f>
        <v>0</v>
      </c>
      <c r="E216" s="231">
        <f>YD!D107</f>
        <v>0</v>
      </c>
      <c r="F216" s="228">
        <f>YD!E107</f>
        <v>0</v>
      </c>
      <c r="G216" s="165">
        <f>YD!F107</f>
        <v>0</v>
      </c>
      <c r="H216" s="232">
        <f>YD!G107</f>
        <v>0</v>
      </c>
      <c r="I216" s="234">
        <f>YD!H107</f>
        <v>0</v>
      </c>
      <c r="J216" s="235">
        <f>YD!I107</f>
        <v>0</v>
      </c>
      <c r="K216" s="235">
        <f>YD!J107</f>
        <v>0</v>
      </c>
      <c r="L216" s="235">
        <f>YD!K107</f>
        <v>0</v>
      </c>
      <c r="M216" s="399">
        <f>YD!L107</f>
        <v>0</v>
      </c>
    </row>
    <row r="217" spans="2:13" ht="12" customHeight="1">
      <c r="B217" s="241" t="s">
        <v>207</v>
      </c>
      <c r="C217" s="228">
        <f>YD!B108</f>
        <v>0</v>
      </c>
      <c r="D217" s="228">
        <f>YD!C108</f>
        <v>0</v>
      </c>
      <c r="E217" s="231">
        <f>YD!D108</f>
        <v>0</v>
      </c>
      <c r="F217" s="228">
        <f>YD!E108</f>
        <v>0</v>
      </c>
      <c r="G217" s="165">
        <f>YD!F108</f>
        <v>0</v>
      </c>
      <c r="H217" s="232">
        <f>YD!G108</f>
        <v>0</v>
      </c>
      <c r="I217" s="234">
        <f>YD!H108</f>
        <v>0</v>
      </c>
      <c r="J217" s="235">
        <f>YD!I108</f>
        <v>0</v>
      </c>
      <c r="K217" s="235">
        <f>YD!J108</f>
        <v>0</v>
      </c>
      <c r="L217" s="235">
        <f>YD!K108</f>
        <v>0</v>
      </c>
      <c r="M217" s="399">
        <f>YD!L108</f>
        <v>0</v>
      </c>
    </row>
    <row r="218" spans="2:13" ht="12" customHeight="1">
      <c r="B218" s="241" t="s">
        <v>208</v>
      </c>
      <c r="C218" s="228">
        <f>YD!B109</f>
        <v>0</v>
      </c>
      <c r="D218" s="228">
        <f>YD!C109</f>
        <v>0</v>
      </c>
      <c r="E218" s="231">
        <f>YD!D109</f>
        <v>0</v>
      </c>
      <c r="F218" s="228">
        <f>YD!E109</f>
        <v>0</v>
      </c>
      <c r="G218" s="165">
        <f>YD!F109</f>
        <v>0</v>
      </c>
      <c r="H218" s="232">
        <f>YD!G109</f>
        <v>0</v>
      </c>
      <c r="I218" s="234">
        <f>YD!H109</f>
        <v>0</v>
      </c>
      <c r="J218" s="235">
        <f>YD!I109</f>
        <v>0</v>
      </c>
      <c r="K218" s="235">
        <f>YD!J109</f>
        <v>0</v>
      </c>
      <c r="L218" s="235">
        <f>YD!K109</f>
        <v>0</v>
      </c>
      <c r="M218" s="399">
        <f>YD!L109</f>
        <v>0</v>
      </c>
    </row>
    <row r="219" spans="2:13" ht="12" customHeight="1">
      <c r="B219" s="241" t="s">
        <v>209</v>
      </c>
      <c r="C219" s="228">
        <f>YD!B110</f>
        <v>0</v>
      </c>
      <c r="D219" s="228">
        <f>YD!C110</f>
        <v>0</v>
      </c>
      <c r="E219" s="231">
        <f>YD!D110</f>
        <v>0</v>
      </c>
      <c r="F219" s="228">
        <f>YD!E110</f>
        <v>0</v>
      </c>
      <c r="G219" s="165">
        <f>YD!F110</f>
        <v>0</v>
      </c>
      <c r="H219" s="232">
        <f>YD!G110</f>
        <v>0</v>
      </c>
      <c r="I219" s="234">
        <f>YD!H110</f>
        <v>0</v>
      </c>
      <c r="J219" s="235">
        <f>YD!I110</f>
        <v>0</v>
      </c>
      <c r="K219" s="235">
        <f>YD!J110</f>
        <v>0</v>
      </c>
      <c r="L219" s="235">
        <f>YD!K110</f>
        <v>0</v>
      </c>
      <c r="M219" s="399">
        <f>YD!L110</f>
        <v>0</v>
      </c>
    </row>
    <row r="220" spans="2:13" ht="12" customHeight="1">
      <c r="B220" s="241" t="s">
        <v>210</v>
      </c>
      <c r="C220" s="228">
        <f>YD!B111</f>
        <v>0</v>
      </c>
      <c r="D220" s="228">
        <f>YD!C111</f>
        <v>0</v>
      </c>
      <c r="E220" s="231">
        <f>YD!D111</f>
        <v>0</v>
      </c>
      <c r="F220" s="228">
        <f>YD!E111</f>
        <v>0</v>
      </c>
      <c r="G220" s="165">
        <f>YD!F111</f>
        <v>0</v>
      </c>
      <c r="H220" s="232">
        <f>YD!G111</f>
        <v>0</v>
      </c>
      <c r="I220" s="234">
        <f>YD!H111</f>
        <v>0</v>
      </c>
      <c r="J220" s="235">
        <f>YD!I111</f>
        <v>0</v>
      </c>
      <c r="K220" s="235">
        <f>YD!J111</f>
        <v>0</v>
      </c>
      <c r="L220" s="235">
        <f>YD!K111</f>
        <v>0</v>
      </c>
      <c r="M220" s="399">
        <f>YD!L111</f>
        <v>0</v>
      </c>
    </row>
    <row r="221" spans="2:13" ht="12" customHeight="1" thickBot="1">
      <c r="B221" s="242" t="s">
        <v>211</v>
      </c>
      <c r="C221" s="243">
        <f>YD!B112</f>
        <v>0</v>
      </c>
      <c r="D221" s="166">
        <f>YD!C112</f>
        <v>0</v>
      </c>
      <c r="E221" s="243">
        <f>YD!D112</f>
        <v>0</v>
      </c>
      <c r="F221" s="166">
        <f>YD!E112</f>
        <v>0</v>
      </c>
      <c r="G221" s="168">
        <f>YD!F112</f>
        <v>0</v>
      </c>
      <c r="H221" s="161">
        <f>YD!G112</f>
        <v>0</v>
      </c>
      <c r="I221" s="244">
        <f>YD!H112</f>
        <v>0</v>
      </c>
      <c r="J221" s="156">
        <f>YD!I112</f>
        <v>0</v>
      </c>
      <c r="K221" s="156">
        <f>YD!J112</f>
        <v>0</v>
      </c>
      <c r="L221" s="157">
        <f>YD!K112</f>
        <v>0</v>
      </c>
      <c r="M221" s="400">
        <f>YD!L112</f>
        <v>0</v>
      </c>
    </row>
    <row r="222" spans="2:13" ht="12" customHeight="1" thickTop="1">
      <c r="G222" s="118"/>
      <c r="H222" s="118"/>
    </row>
    <row r="223" spans="2:13">
      <c r="G223" s="118"/>
      <c r="H223" s="118"/>
    </row>
    <row r="224" spans="2:13">
      <c r="G224" s="118"/>
      <c r="H224" s="118"/>
    </row>
    <row r="225" spans="7:8">
      <c r="G225" s="118"/>
      <c r="H225" s="118"/>
    </row>
    <row r="226" spans="7:8">
      <c r="G226" s="118"/>
      <c r="H226" s="118"/>
    </row>
    <row r="227" spans="7:8">
      <c r="G227" s="118"/>
      <c r="H227" s="118"/>
    </row>
    <row r="228" spans="7:8">
      <c r="G228" s="118"/>
      <c r="H228" s="118"/>
    </row>
    <row r="229" spans="7:8">
      <c r="G229" s="118"/>
      <c r="H229" s="118"/>
    </row>
    <row r="230" spans="7:8">
      <c r="G230" s="118"/>
      <c r="H230" s="118"/>
    </row>
    <row r="231" spans="7:8">
      <c r="G231" s="118"/>
      <c r="H231" s="118"/>
    </row>
    <row r="232" spans="7:8">
      <c r="G232" s="118"/>
      <c r="H232" s="118"/>
    </row>
    <row r="233" spans="7:8">
      <c r="G233" s="118"/>
      <c r="H233" s="118"/>
    </row>
    <row r="234" spans="7:8">
      <c r="G234" s="118"/>
      <c r="H234" s="118"/>
    </row>
    <row r="235" spans="7:8">
      <c r="G235" s="118"/>
      <c r="H235" s="118"/>
    </row>
    <row r="236" spans="7:8">
      <c r="G236" s="118"/>
      <c r="H236" s="118"/>
    </row>
    <row r="237" spans="7:8">
      <c r="G237" s="118"/>
      <c r="H237" s="118"/>
    </row>
    <row r="238" spans="7:8">
      <c r="G238" s="118"/>
      <c r="H238" s="118"/>
    </row>
    <row r="239" spans="7:8">
      <c r="G239" s="118"/>
      <c r="H239" s="118"/>
    </row>
    <row r="240" spans="7:8">
      <c r="G240" s="118"/>
      <c r="H240" s="118"/>
    </row>
    <row r="241" spans="7:8">
      <c r="G241" s="118"/>
      <c r="H241" s="118"/>
    </row>
    <row r="242" spans="7:8">
      <c r="G242" s="118"/>
      <c r="H242" s="118"/>
    </row>
    <row r="243" spans="7:8">
      <c r="G243" s="118"/>
      <c r="H243" s="118"/>
    </row>
    <row r="244" spans="7:8">
      <c r="G244" s="118"/>
      <c r="H244" s="118"/>
    </row>
    <row r="245" spans="7:8">
      <c r="G245" s="118"/>
      <c r="H245" s="118"/>
    </row>
    <row r="246" spans="7:8">
      <c r="G246" s="118"/>
      <c r="H246" s="118"/>
    </row>
    <row r="247" spans="7:8">
      <c r="G247" s="118"/>
      <c r="H247" s="118"/>
    </row>
    <row r="248" spans="7:8">
      <c r="G248" s="118"/>
      <c r="H248" s="118"/>
    </row>
    <row r="249" spans="7:8">
      <c r="G249" s="118"/>
      <c r="H249" s="118"/>
    </row>
    <row r="250" spans="7:8">
      <c r="G250" s="118"/>
      <c r="H250" s="118"/>
    </row>
    <row r="251" spans="7:8">
      <c r="G251" s="118"/>
      <c r="H251" s="118"/>
    </row>
    <row r="252" spans="7:8">
      <c r="G252" s="118"/>
      <c r="H252" s="118"/>
    </row>
    <row r="253" spans="7:8">
      <c r="G253" s="118"/>
      <c r="H253" s="118"/>
    </row>
    <row r="254" spans="7:8">
      <c r="G254" s="118"/>
      <c r="H254" s="118"/>
    </row>
    <row r="255" spans="7:8">
      <c r="G255" s="118"/>
      <c r="H255" s="118"/>
    </row>
    <row r="256" spans="7:8">
      <c r="G256" s="118"/>
      <c r="H256" s="118"/>
    </row>
    <row r="257" spans="7:8">
      <c r="G257" s="118"/>
      <c r="H257" s="118"/>
    </row>
    <row r="258" spans="7:8">
      <c r="G258" s="118"/>
      <c r="H258" s="118"/>
    </row>
    <row r="259" spans="7:8">
      <c r="G259" s="118"/>
      <c r="H259" s="118"/>
    </row>
    <row r="260" spans="7:8">
      <c r="G260" s="118"/>
      <c r="H260" s="118"/>
    </row>
    <row r="261" spans="7:8">
      <c r="G261" s="118"/>
      <c r="H261" s="118"/>
    </row>
    <row r="262" spans="7:8">
      <c r="G262" s="118"/>
      <c r="H262" s="118"/>
    </row>
    <row r="263" spans="7:8">
      <c r="G263" s="118"/>
      <c r="H263" s="118"/>
    </row>
    <row r="264" spans="7:8">
      <c r="G264" s="118"/>
      <c r="H264" s="118"/>
    </row>
    <row r="265" spans="7:8">
      <c r="G265" s="118"/>
      <c r="H265" s="118"/>
    </row>
    <row r="266" spans="7:8">
      <c r="G266" s="118"/>
      <c r="H266" s="118"/>
    </row>
    <row r="267" spans="7:8">
      <c r="G267" s="118"/>
      <c r="H267" s="118"/>
    </row>
    <row r="268" spans="7:8">
      <c r="G268" s="118"/>
      <c r="H268" s="118"/>
    </row>
    <row r="269" spans="7:8">
      <c r="G269" s="118"/>
      <c r="H269" s="118"/>
    </row>
    <row r="270" spans="7:8">
      <c r="G270" s="118"/>
      <c r="H270" s="118"/>
    </row>
    <row r="271" spans="7:8">
      <c r="G271" s="118"/>
      <c r="H271" s="118"/>
    </row>
    <row r="272" spans="7:8">
      <c r="G272" s="118"/>
      <c r="H272" s="118"/>
    </row>
    <row r="273" spans="7:8">
      <c r="G273" s="118"/>
      <c r="H273" s="118"/>
    </row>
    <row r="274" spans="7:8">
      <c r="G274" s="118"/>
      <c r="H274" s="118"/>
    </row>
    <row r="275" spans="7:8">
      <c r="G275" s="118"/>
      <c r="H275" s="118"/>
    </row>
    <row r="276" spans="7:8">
      <c r="G276" s="118"/>
      <c r="H276" s="118"/>
    </row>
    <row r="277" spans="7:8">
      <c r="G277" s="118"/>
      <c r="H277" s="118"/>
    </row>
    <row r="278" spans="7:8">
      <c r="G278" s="118"/>
      <c r="H278" s="118"/>
    </row>
    <row r="279" spans="7:8">
      <c r="G279" s="118"/>
      <c r="H279" s="118"/>
    </row>
    <row r="280" spans="7:8">
      <c r="G280" s="118"/>
      <c r="H280" s="118"/>
    </row>
    <row r="281" spans="7:8">
      <c r="G281" s="118"/>
      <c r="H281" s="118"/>
    </row>
    <row r="282" spans="7:8">
      <c r="G282" s="118"/>
      <c r="H282" s="118"/>
    </row>
    <row r="283" spans="7:8">
      <c r="G283" s="118"/>
    </row>
    <row r="284" spans="7:8">
      <c r="G284" s="118"/>
    </row>
    <row r="285" spans="7:8">
      <c r="G285" s="118"/>
    </row>
    <row r="286" spans="7:8">
      <c r="G286" s="118"/>
    </row>
    <row r="287" spans="7:8">
      <c r="G287" s="118"/>
    </row>
    <row r="288" spans="7:8">
      <c r="G288" s="118"/>
    </row>
    <row r="289" spans="7:7">
      <c r="G289" s="118"/>
    </row>
    <row r="290" spans="7:7">
      <c r="G290" s="118"/>
    </row>
    <row r="291" spans="7:7">
      <c r="G291" s="118"/>
    </row>
    <row r="292" spans="7:7">
      <c r="G292" s="118"/>
    </row>
    <row r="293" spans="7:7">
      <c r="G293" s="118"/>
    </row>
    <row r="294" spans="7:7">
      <c r="G294" s="118"/>
    </row>
    <row r="295" spans="7:7">
      <c r="G295" s="118"/>
    </row>
    <row r="296" spans="7:7">
      <c r="G296" s="118"/>
    </row>
    <row r="297" spans="7:7">
      <c r="G297" s="118"/>
    </row>
    <row r="298" spans="7:7">
      <c r="G298" s="118"/>
    </row>
    <row r="299" spans="7:7">
      <c r="G299" s="118"/>
    </row>
    <row r="300" spans="7:7">
      <c r="G300" s="118"/>
    </row>
    <row r="301" spans="7:7">
      <c r="G301" s="118"/>
    </row>
    <row r="302" spans="7:7">
      <c r="G302" s="118"/>
    </row>
    <row r="303" spans="7:7">
      <c r="G303" s="118"/>
    </row>
    <row r="304" spans="7:7">
      <c r="G304" s="118"/>
    </row>
    <row r="305" spans="7:7">
      <c r="G305" s="118"/>
    </row>
    <row r="306" spans="7:7">
      <c r="G306" s="118"/>
    </row>
    <row r="307" spans="7:7">
      <c r="G307" s="118"/>
    </row>
    <row r="308" spans="7:7">
      <c r="G308" s="118"/>
    </row>
    <row r="309" spans="7:7">
      <c r="G309" s="118"/>
    </row>
    <row r="310" spans="7:7">
      <c r="G310" s="118"/>
    </row>
    <row r="311" spans="7:7">
      <c r="G311" s="118"/>
    </row>
    <row r="312" spans="7:7">
      <c r="G312" s="118"/>
    </row>
    <row r="313" spans="7:7">
      <c r="G313" s="118"/>
    </row>
    <row r="314" spans="7:7">
      <c r="G314" s="118"/>
    </row>
    <row r="315" spans="7:7">
      <c r="G315" s="118"/>
    </row>
    <row r="316" spans="7:7">
      <c r="G316" s="118"/>
    </row>
    <row r="317" spans="7:7">
      <c r="G317" s="118"/>
    </row>
    <row r="318" spans="7:7">
      <c r="G318" s="118"/>
    </row>
    <row r="319" spans="7:7">
      <c r="G319" s="118"/>
    </row>
    <row r="320" spans="7:7">
      <c r="G320" s="118"/>
    </row>
    <row r="321" spans="7:7">
      <c r="G321" s="118"/>
    </row>
    <row r="322" spans="7:7">
      <c r="G322" s="118"/>
    </row>
    <row r="323" spans="7:7">
      <c r="G323" s="118"/>
    </row>
    <row r="324" spans="7:7">
      <c r="G324" s="118"/>
    </row>
    <row r="325" spans="7:7">
      <c r="G325" s="118"/>
    </row>
    <row r="326" spans="7:7">
      <c r="G326" s="118"/>
    </row>
    <row r="327" spans="7:7">
      <c r="G327" s="118"/>
    </row>
    <row r="328" spans="7:7">
      <c r="G328" s="118"/>
    </row>
    <row r="329" spans="7:7">
      <c r="G329" s="118"/>
    </row>
    <row r="330" spans="7:7">
      <c r="G330" s="118"/>
    </row>
    <row r="331" spans="7:7">
      <c r="G331" s="118"/>
    </row>
    <row r="332" spans="7:7">
      <c r="G332" s="118"/>
    </row>
    <row r="333" spans="7:7">
      <c r="G333" s="118"/>
    </row>
    <row r="334" spans="7:7">
      <c r="G334" s="118"/>
    </row>
    <row r="335" spans="7:7">
      <c r="G335" s="118"/>
    </row>
    <row r="336" spans="7:7">
      <c r="G336" s="118"/>
    </row>
    <row r="337" spans="7:7">
      <c r="G337" s="118"/>
    </row>
    <row r="338" spans="7:7">
      <c r="G338" s="118"/>
    </row>
    <row r="339" spans="7:7">
      <c r="G339" s="118"/>
    </row>
    <row r="340" spans="7:7">
      <c r="G340" s="118"/>
    </row>
    <row r="341" spans="7:7">
      <c r="G341" s="118"/>
    </row>
    <row r="342" spans="7:7">
      <c r="G342" s="118"/>
    </row>
    <row r="343" spans="7:7">
      <c r="G343" s="118"/>
    </row>
    <row r="344" spans="7:7">
      <c r="G344" s="118"/>
    </row>
    <row r="345" spans="7:7">
      <c r="G345" s="118"/>
    </row>
    <row r="346" spans="7:7">
      <c r="G346" s="118"/>
    </row>
    <row r="347" spans="7:7">
      <c r="G347" s="118"/>
    </row>
    <row r="348" spans="7:7">
      <c r="G348" s="118"/>
    </row>
    <row r="349" spans="7:7">
      <c r="G349" s="118"/>
    </row>
    <row r="350" spans="7:7">
      <c r="G350" s="118"/>
    </row>
    <row r="351" spans="7:7">
      <c r="G351" s="118"/>
    </row>
    <row r="352" spans="7:7">
      <c r="G352" s="118"/>
    </row>
    <row r="353" spans="7:7">
      <c r="G353" s="118"/>
    </row>
    <row r="354" spans="7:7">
      <c r="G354" s="118"/>
    </row>
    <row r="355" spans="7:7">
      <c r="G355" s="118"/>
    </row>
    <row r="356" spans="7:7">
      <c r="G356" s="118"/>
    </row>
    <row r="357" spans="7:7">
      <c r="G357" s="118"/>
    </row>
    <row r="358" spans="7:7">
      <c r="G358" s="118"/>
    </row>
    <row r="359" spans="7:7">
      <c r="G359" s="118"/>
    </row>
    <row r="360" spans="7:7">
      <c r="G360" s="118"/>
    </row>
    <row r="361" spans="7:7">
      <c r="G361" s="118"/>
    </row>
    <row r="362" spans="7:7">
      <c r="G362" s="118"/>
    </row>
    <row r="363" spans="7:7">
      <c r="G363" s="118"/>
    </row>
    <row r="364" spans="7:7">
      <c r="G364" s="118"/>
    </row>
    <row r="365" spans="7:7">
      <c r="G365" s="118"/>
    </row>
    <row r="366" spans="7:7">
      <c r="G366" s="118"/>
    </row>
    <row r="367" spans="7:7">
      <c r="G367" s="118"/>
    </row>
    <row r="368" spans="7:7">
      <c r="G368" s="118"/>
    </row>
    <row r="369" spans="7:7">
      <c r="G369" s="118"/>
    </row>
    <row r="370" spans="7:7">
      <c r="G370" s="118"/>
    </row>
    <row r="371" spans="7:7">
      <c r="G371" s="118"/>
    </row>
    <row r="372" spans="7:7">
      <c r="G372" s="118"/>
    </row>
    <row r="373" spans="7:7">
      <c r="G373" s="118"/>
    </row>
    <row r="374" spans="7:7">
      <c r="G374" s="118"/>
    </row>
    <row r="375" spans="7:7">
      <c r="G375" s="118"/>
    </row>
    <row r="376" spans="7:7">
      <c r="G376" s="118"/>
    </row>
    <row r="377" spans="7:7">
      <c r="G377" s="118"/>
    </row>
    <row r="378" spans="7:7">
      <c r="G378" s="118"/>
    </row>
    <row r="379" spans="7:7">
      <c r="G379" s="118"/>
    </row>
    <row r="380" spans="7:7">
      <c r="G380" s="118"/>
    </row>
    <row r="381" spans="7:7">
      <c r="G381" s="118"/>
    </row>
    <row r="382" spans="7:7">
      <c r="G382" s="118"/>
    </row>
    <row r="383" spans="7:7">
      <c r="G383" s="118"/>
    </row>
    <row r="384" spans="7:7">
      <c r="G384" s="118"/>
    </row>
    <row r="385" spans="7:7">
      <c r="G385" s="118"/>
    </row>
    <row r="386" spans="7:7">
      <c r="G386" s="118"/>
    </row>
    <row r="387" spans="7:7">
      <c r="G387" s="118"/>
    </row>
    <row r="388" spans="7:7">
      <c r="G388" s="118"/>
    </row>
    <row r="389" spans="7:7">
      <c r="G389" s="118"/>
    </row>
    <row r="390" spans="7:7">
      <c r="G390" s="118"/>
    </row>
    <row r="391" spans="7:7">
      <c r="G391" s="118"/>
    </row>
    <row r="392" spans="7:7">
      <c r="G392" s="118"/>
    </row>
    <row r="393" spans="7:7">
      <c r="G393" s="118"/>
    </row>
    <row r="394" spans="7:7">
      <c r="G394" s="118"/>
    </row>
    <row r="395" spans="7:7">
      <c r="G395" s="118"/>
    </row>
    <row r="396" spans="7:7">
      <c r="G396" s="118"/>
    </row>
    <row r="397" spans="7:7">
      <c r="G397" s="118"/>
    </row>
    <row r="398" spans="7:7">
      <c r="G398" s="118"/>
    </row>
    <row r="399" spans="7:7">
      <c r="G399" s="118"/>
    </row>
    <row r="400" spans="7:7">
      <c r="G400" s="118"/>
    </row>
    <row r="401" spans="7:7">
      <c r="G401" s="118"/>
    </row>
    <row r="402" spans="7:7">
      <c r="G402" s="118"/>
    </row>
    <row r="403" spans="7:7">
      <c r="G403" s="118"/>
    </row>
    <row r="404" spans="7:7">
      <c r="G404" s="118"/>
    </row>
    <row r="405" spans="7:7">
      <c r="G405" s="118"/>
    </row>
    <row r="406" spans="7:7">
      <c r="G406" s="118"/>
    </row>
    <row r="407" spans="7:7">
      <c r="G407" s="118"/>
    </row>
    <row r="408" spans="7:7">
      <c r="G408" s="118"/>
    </row>
    <row r="409" spans="7:7">
      <c r="G409" s="118"/>
    </row>
    <row r="410" spans="7:7">
      <c r="G410" s="118"/>
    </row>
    <row r="411" spans="7:7">
      <c r="G411" s="118"/>
    </row>
  </sheetData>
  <phoneticPr fontId="0" type="noConversion"/>
  <pageMargins left="0.75" right="0.5" top="0.8" bottom="0.55000000000000004" header="0.5" footer="0.5"/>
  <pageSetup scale="26" orientation="portrait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Y740"/>
  <sheetViews>
    <sheetView defaultGridColor="0" colorId="22" zoomScale="75" workbookViewId="0">
      <selection activeCell="C17" sqref="C17"/>
    </sheetView>
  </sheetViews>
  <sheetFormatPr defaultColWidth="9.6640625" defaultRowHeight="15"/>
  <cols>
    <col min="1" max="1" width="0.77734375" customWidth="1"/>
    <col min="2" max="2" width="9.109375" customWidth="1"/>
    <col min="3" max="3" width="6.44140625" bestFit="1" customWidth="1"/>
    <col min="4" max="6" width="6.886718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1" width="5.6640625" customWidth="1"/>
    <col min="12" max="12" width="7.21875" customWidth="1"/>
    <col min="13" max="13" width="0.77734375" customWidth="1"/>
    <col min="14" max="14" width="9.21875" customWidth="1"/>
    <col min="15" max="18" width="6.88671875" customWidth="1"/>
    <col min="19" max="19" width="8" customWidth="1"/>
    <col min="20" max="20" width="7.21875" customWidth="1"/>
    <col min="21" max="21" width="2.109375" customWidth="1"/>
    <col min="22" max="22" width="6.33203125" customWidth="1"/>
    <col min="23" max="23" width="5.6640625" customWidth="1"/>
    <col min="24" max="24" width="7.109375" customWidth="1"/>
    <col min="25" max="25" width="1.21875" customWidth="1"/>
  </cols>
  <sheetData>
    <row r="1" spans="2:25">
      <c r="B1" t="s">
        <v>544</v>
      </c>
      <c r="H1" t="s">
        <v>31</v>
      </c>
    </row>
    <row r="4" spans="2:25" ht="15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2:25" ht="15.75" customHeight="1" thickBot="1">
      <c r="B6" s="192" t="s">
        <v>328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12" customHeight="1" thickTop="1">
      <c r="B7" s="19" t="s">
        <v>329</v>
      </c>
      <c r="C7" s="20"/>
      <c r="D7" s="20"/>
      <c r="E7" s="20"/>
      <c r="F7" s="20"/>
      <c r="G7" s="20"/>
      <c r="H7" s="20"/>
      <c r="I7" s="140"/>
      <c r="J7" s="20" t="s">
        <v>24</v>
      </c>
      <c r="K7" s="20"/>
      <c r="L7" s="21"/>
      <c r="M7" s="34"/>
      <c r="Y7" s="2"/>
    </row>
    <row r="8" spans="2:25" ht="12" customHeight="1">
      <c r="B8" s="170"/>
      <c r="C8" s="22" t="s">
        <v>245</v>
      </c>
      <c r="D8" s="22" t="s">
        <v>536</v>
      </c>
      <c r="E8" s="22" t="s">
        <v>258</v>
      </c>
      <c r="F8" s="352" t="s">
        <v>433</v>
      </c>
      <c r="G8" s="436" t="s">
        <v>469</v>
      </c>
      <c r="H8" s="437" t="s">
        <v>482</v>
      </c>
      <c r="I8" s="438"/>
      <c r="J8" s="18"/>
      <c r="K8" s="18"/>
      <c r="L8" s="23" t="s">
        <v>25</v>
      </c>
      <c r="M8" s="34"/>
      <c r="Y8" s="2"/>
    </row>
    <row r="9" spans="2:25" ht="12" customHeight="1">
      <c r="B9" s="171"/>
      <c r="C9" s="24" t="s">
        <v>26</v>
      </c>
      <c r="D9" s="24" t="s">
        <v>13</v>
      </c>
      <c r="E9" s="24" t="s">
        <v>13</v>
      </c>
      <c r="F9" s="353" t="s">
        <v>434</v>
      </c>
      <c r="G9" s="353" t="s">
        <v>452</v>
      </c>
      <c r="H9" s="353" t="s">
        <v>483</v>
      </c>
      <c r="I9" s="439"/>
      <c r="J9" s="24" t="s">
        <v>27</v>
      </c>
      <c r="K9" s="24" t="s">
        <v>28</v>
      </c>
      <c r="L9" s="25" t="s">
        <v>259</v>
      </c>
      <c r="M9" s="59"/>
      <c r="N9" s="685" t="s">
        <v>522</v>
      </c>
      <c r="Y9" s="2"/>
    </row>
    <row r="10" spans="2:25" ht="12" customHeight="1">
      <c r="B10" s="214" t="s">
        <v>295</v>
      </c>
      <c r="C10" s="201">
        <f>A!B1460</f>
        <v>4339.6025933843266</v>
      </c>
      <c r="D10" s="201">
        <f>A!C1460</f>
        <v>4629</v>
      </c>
      <c r="E10" s="201">
        <f>A!D1460</f>
        <v>4629</v>
      </c>
      <c r="F10" s="201">
        <f>A!E1460</f>
        <v>4410.4347892507867</v>
      </c>
      <c r="G10" s="201">
        <f>A!F1460</f>
        <v>4543.1580000000176</v>
      </c>
      <c r="H10" s="201">
        <f>A!G1460</f>
        <v>4538</v>
      </c>
      <c r="I10" s="201"/>
      <c r="J10" s="209">
        <f>MINA(C10:I10)</f>
        <v>4339.6025933843266</v>
      </c>
      <c r="K10" s="201">
        <f>MAXA(C10:I10)</f>
        <v>4629</v>
      </c>
      <c r="L10" s="27">
        <f t="shared" ref="L10:L27" si="0">(K10-J10)/AVERAGE(C10:I10)</f>
        <v>6.4098782380487662E-2</v>
      </c>
      <c r="M10" s="35"/>
      <c r="N10" s="676">
        <f>A!H1460</f>
        <v>0</v>
      </c>
      <c r="Y10" s="12"/>
    </row>
    <row r="11" spans="2:25" ht="12" customHeight="1">
      <c r="B11" s="215" t="s">
        <v>296</v>
      </c>
      <c r="C11" s="201">
        <f>A!B1461</f>
        <v>4425.8797798225787</v>
      </c>
      <c r="D11" s="201">
        <f>A!C1461</f>
        <v>3995</v>
      </c>
      <c r="E11" s="201">
        <f>A!D1461</f>
        <v>4037</v>
      </c>
      <c r="F11" s="201">
        <f>A!E1461</f>
        <v>4351.3049939570119</v>
      </c>
      <c r="G11" s="201">
        <f>A!F1461</f>
        <v>4424.4040000001332</v>
      </c>
      <c r="H11" s="201">
        <f>A!G1461</f>
        <v>4387</v>
      </c>
      <c r="I11" s="201"/>
      <c r="J11" s="150">
        <f t="shared" ref="J11:J27" si="1">MINA(C11:I11)</f>
        <v>3995</v>
      </c>
      <c r="K11" s="201">
        <f t="shared" ref="K11:K27" si="2">MAXA(C11:I11)</f>
        <v>4425.8797798225787</v>
      </c>
      <c r="L11" s="27">
        <f t="shared" si="0"/>
        <v>0.10090629461182653</v>
      </c>
      <c r="M11" s="35"/>
      <c r="N11" s="676">
        <f>A!H1461</f>
        <v>0</v>
      </c>
      <c r="Y11" s="12"/>
    </row>
    <row r="12" spans="2:25" ht="12" customHeight="1">
      <c r="B12" s="215" t="s">
        <v>297</v>
      </c>
      <c r="C12" s="201">
        <f>A!B1462</f>
        <v>5329.523125239517</v>
      </c>
      <c r="D12" s="201">
        <f>A!C1462</f>
        <v>4958</v>
      </c>
      <c r="E12" s="201">
        <f>A!D1462</f>
        <v>4683</v>
      </c>
      <c r="F12" s="201">
        <f>A!E1462</f>
        <v>5445.0650036706138</v>
      </c>
      <c r="G12" s="201">
        <f>A!F1462</f>
        <v>5558.7259999999733</v>
      </c>
      <c r="H12" s="201">
        <f>A!G1462</f>
        <v>5260</v>
      </c>
      <c r="I12" s="201"/>
      <c r="J12" s="150">
        <f t="shared" si="1"/>
        <v>4683</v>
      </c>
      <c r="K12" s="201">
        <f t="shared" si="2"/>
        <v>5558.7259999999733</v>
      </c>
      <c r="L12" s="27">
        <f t="shared" si="0"/>
        <v>0.16822383159476748</v>
      </c>
      <c r="M12" s="35"/>
      <c r="N12" s="676">
        <f>A!H1462</f>
        <v>0</v>
      </c>
      <c r="Y12" s="12"/>
    </row>
    <row r="13" spans="2:25" ht="12" customHeight="1">
      <c r="B13" s="215" t="s">
        <v>422</v>
      </c>
      <c r="C13" s="201">
        <f>A!B1463</f>
        <v>903.64334541693825</v>
      </c>
      <c r="D13" s="201">
        <f>A!C1463</f>
        <v>963</v>
      </c>
      <c r="E13" s="201">
        <f>A!D1463</f>
        <v>646</v>
      </c>
      <c r="F13" s="201">
        <f>A!E1463</f>
        <v>1093.7600097136019</v>
      </c>
      <c r="G13" s="201">
        <f>A!F1463</f>
        <v>1134.32199999984</v>
      </c>
      <c r="H13" s="201">
        <f>A!G1463</f>
        <v>873</v>
      </c>
      <c r="I13" s="201"/>
      <c r="J13" s="150">
        <f>MINA(C13:I13)</f>
        <v>646</v>
      </c>
      <c r="K13" s="201">
        <f>MAXA(C13:I13)</f>
        <v>1134.32199999984</v>
      </c>
      <c r="L13" s="27">
        <f>(K13-J13)/AVERAGE(C13:I13)</f>
        <v>0.52192293257121625</v>
      </c>
      <c r="M13" s="35"/>
      <c r="N13" s="676">
        <f>A!H1463</f>
        <v>0</v>
      </c>
      <c r="Y13" s="12"/>
    </row>
    <row r="14" spans="2:25" ht="12" customHeight="1">
      <c r="B14" s="215" t="s">
        <v>423</v>
      </c>
      <c r="C14" s="201">
        <f>A!B1464</f>
        <v>4985.5178694042697</v>
      </c>
      <c r="D14" s="201">
        <f>A!C1464</f>
        <v>4608</v>
      </c>
      <c r="E14" s="201">
        <f>A!D1464</f>
        <v>4510</v>
      </c>
      <c r="F14" s="201">
        <f>A!E1464</f>
        <v>5047.6907739287199</v>
      </c>
      <c r="G14" s="201">
        <f>A!F1464</f>
        <v>5088.849999999984</v>
      </c>
      <c r="H14" s="201">
        <f>A!G1464</f>
        <v>4877</v>
      </c>
      <c r="I14" s="201"/>
      <c r="J14" s="150">
        <f>MINA(C14:I14)</f>
        <v>4510</v>
      </c>
      <c r="K14" s="201">
        <f>MAXA(C14:I14)</f>
        <v>5088.849999999984</v>
      </c>
      <c r="L14" s="27">
        <f>(K14-J14)/AVERAGE(C14:I14)</f>
        <v>0.11928059226528882</v>
      </c>
      <c r="M14" s="35"/>
      <c r="N14" s="676">
        <f>A!H1464</f>
        <v>0</v>
      </c>
      <c r="Y14" s="12"/>
    </row>
    <row r="15" spans="2:25" ht="12" customHeight="1">
      <c r="B15" s="215" t="s">
        <v>424</v>
      </c>
      <c r="C15" s="201">
        <f>A!B1465</f>
        <v>344.00525583524723</v>
      </c>
      <c r="D15" s="201">
        <f>A!C1465</f>
        <v>350</v>
      </c>
      <c r="E15" s="201">
        <f>A!D1465</f>
        <v>173</v>
      </c>
      <c r="F15" s="201">
        <f>A!E1465</f>
        <v>397.37422974189394</v>
      </c>
      <c r="G15" s="201">
        <f>A!F1465</f>
        <v>469.87599999998929</v>
      </c>
      <c r="H15" s="201">
        <f>A!G1465</f>
        <v>383</v>
      </c>
      <c r="I15" s="201"/>
      <c r="J15" s="150">
        <f>MINA(C15:I15)</f>
        <v>173</v>
      </c>
      <c r="K15" s="201">
        <f>MAXA(C15:I15)</f>
        <v>469.87599999998929</v>
      </c>
      <c r="L15" s="27">
        <f>(K15-J15)/AVERAGE(C15:I15)</f>
        <v>0.84130423188602266</v>
      </c>
      <c r="M15" s="35"/>
      <c r="N15" s="676">
        <f>A!H1465</f>
        <v>0</v>
      </c>
      <c r="Y15" s="12"/>
    </row>
    <row r="16" spans="2:25" ht="12" customHeight="1">
      <c r="B16" s="215" t="s">
        <v>298</v>
      </c>
      <c r="C16" s="201">
        <f>A!B1466</f>
        <v>-3396.7977842883265</v>
      </c>
      <c r="D16" s="201">
        <f>A!C1466</f>
        <v>-4203</v>
      </c>
      <c r="E16" s="201">
        <f>A!D1466</f>
        <v>-4207</v>
      </c>
      <c r="F16" s="201">
        <f>A!E1466</f>
        <v>-3647.523289352619</v>
      </c>
      <c r="G16" s="201">
        <f>A!F1466</f>
        <v>-3389.8190000000359</v>
      </c>
      <c r="H16" s="201">
        <f>A!G1466</f>
        <v>-3328</v>
      </c>
      <c r="I16" s="201"/>
      <c r="J16" s="150">
        <f t="shared" si="1"/>
        <v>-4207</v>
      </c>
      <c r="K16" s="201">
        <f t="shared" si="2"/>
        <v>-3328</v>
      </c>
      <c r="L16" s="27">
        <f t="shared" si="0"/>
        <v>-0.23786607799171883</v>
      </c>
      <c r="M16" s="35"/>
      <c r="N16" s="676">
        <f>A!H1466</f>
        <v>0</v>
      </c>
      <c r="Y16" s="12"/>
    </row>
    <row r="17" spans="2:25" ht="12" customHeight="1">
      <c r="B17" s="215" t="s">
        <v>299</v>
      </c>
      <c r="C17" s="201">
        <f>A!B1467</f>
        <v>19665.014468194662</v>
      </c>
      <c r="D17" s="201">
        <f>A!C1467</f>
        <v>19314</v>
      </c>
      <c r="E17" s="201">
        <f>A!D1467</f>
        <v>19261</v>
      </c>
      <c r="F17" s="201">
        <f>A!E1467</f>
        <v>19920.520374510255</v>
      </c>
      <c r="G17" s="201">
        <f>A!F1467</f>
        <v>19866.847000000002</v>
      </c>
      <c r="H17" s="201">
        <f>A!G1467</f>
        <v>19998</v>
      </c>
      <c r="I17" s="201"/>
      <c r="J17" s="150">
        <f t="shared" si="1"/>
        <v>19261</v>
      </c>
      <c r="K17" s="201">
        <f t="shared" si="2"/>
        <v>19998</v>
      </c>
      <c r="L17" s="27">
        <f t="shared" si="0"/>
        <v>3.7466517209775257E-2</v>
      </c>
      <c r="M17" s="35"/>
      <c r="N17" s="676">
        <f>A!H1467</f>
        <v>0</v>
      </c>
      <c r="Y17" s="12"/>
    </row>
    <row r="18" spans="2:25" ht="12" customHeight="1">
      <c r="B18" s="215" t="s">
        <v>300</v>
      </c>
      <c r="C18" s="201">
        <f>A!B1468</f>
        <v>-3588.6236845638268</v>
      </c>
      <c r="D18" s="201">
        <f>A!C1468</f>
        <v>-3904</v>
      </c>
      <c r="E18" s="201">
        <f>A!D1468</f>
        <v>-3879</v>
      </c>
      <c r="F18" s="201">
        <f>A!E1468</f>
        <v>-3758.0865354380221</v>
      </c>
      <c r="G18" s="201"/>
      <c r="H18" s="201">
        <f>A!G1468</f>
        <v>-3657</v>
      </c>
      <c r="I18" s="201"/>
      <c r="J18" s="150">
        <f t="shared" si="1"/>
        <v>-3904</v>
      </c>
      <c r="K18" s="201">
        <f t="shared" si="2"/>
        <v>-3588.6236845638268</v>
      </c>
      <c r="L18" s="27">
        <f t="shared" si="0"/>
        <v>-8.3936014273642778E-2</v>
      </c>
      <c r="M18" s="35"/>
      <c r="N18" s="676">
        <f>A!H1468</f>
        <v>0</v>
      </c>
      <c r="Y18" s="12"/>
    </row>
    <row r="19" spans="2:25" ht="12" customHeight="1">
      <c r="B19" s="215" t="s">
        <v>306</v>
      </c>
      <c r="C19" s="201">
        <f>A!B1469</f>
        <v>-3555.3453891083191</v>
      </c>
      <c r="D19" s="201">
        <f>A!C1469</f>
        <v>-3082</v>
      </c>
      <c r="E19" s="201">
        <f>A!D1469</f>
        <v>-3056</v>
      </c>
      <c r="F19" s="201">
        <f>A!E1469</f>
        <v>-3013.2237218088339</v>
      </c>
      <c r="G19" s="201"/>
      <c r="H19" s="201">
        <f>A!G1469</f>
        <v>-3567</v>
      </c>
      <c r="I19" s="201"/>
      <c r="J19" s="150">
        <f t="shared" si="1"/>
        <v>-3567</v>
      </c>
      <c r="K19" s="201">
        <f t="shared" si="2"/>
        <v>-3013.2237218088339</v>
      </c>
      <c r="L19" s="27">
        <f t="shared" si="0"/>
        <v>-0.17014592017791114</v>
      </c>
      <c r="M19" s="35"/>
      <c r="N19" s="676">
        <f>A!H1469</f>
        <v>0</v>
      </c>
      <c r="Y19" s="12"/>
    </row>
    <row r="20" spans="2:25" ht="12" customHeight="1">
      <c r="B20" s="215" t="s">
        <v>307</v>
      </c>
      <c r="C20" s="201">
        <f>A!B1470</f>
        <v>-2246.7696453105018</v>
      </c>
      <c r="D20" s="201">
        <f>A!C1470</f>
        <v>-2220</v>
      </c>
      <c r="E20" s="201">
        <f>A!D1470</f>
        <v>-1845</v>
      </c>
      <c r="F20" s="201">
        <f>A!E1470</f>
        <v>-2045.184562000497</v>
      </c>
      <c r="G20" s="201"/>
      <c r="H20" s="201">
        <f>A!G1470</f>
        <v>-1862</v>
      </c>
      <c r="I20" s="201"/>
      <c r="J20" s="150">
        <f t="shared" si="1"/>
        <v>-2246.7696453105018</v>
      </c>
      <c r="K20" s="201">
        <f t="shared" si="2"/>
        <v>-1845</v>
      </c>
      <c r="L20" s="27">
        <f t="shared" si="0"/>
        <v>-0.19658060754546766</v>
      </c>
      <c r="M20" s="35"/>
      <c r="N20" s="676">
        <f>A!H1470</f>
        <v>0</v>
      </c>
      <c r="Y20" s="12"/>
    </row>
    <row r="21" spans="2:25" ht="12" customHeight="1">
      <c r="B21" s="215" t="s">
        <v>308</v>
      </c>
      <c r="C21" s="201">
        <f>A!B1471</f>
        <v>-3095.7459340030109</v>
      </c>
      <c r="D21" s="201">
        <f>A!C1471</f>
        <v>-2818</v>
      </c>
      <c r="E21" s="201">
        <f>A!D1471</f>
        <v>-2944</v>
      </c>
      <c r="F21" s="201">
        <f>A!E1471</f>
        <v>-2938.211791517555</v>
      </c>
      <c r="G21" s="201"/>
      <c r="H21" s="201">
        <f>A!G1471</f>
        <v>-3252</v>
      </c>
      <c r="I21" s="201"/>
      <c r="J21" s="150">
        <f t="shared" si="1"/>
        <v>-3252</v>
      </c>
      <c r="K21" s="201">
        <f t="shared" si="2"/>
        <v>-2818</v>
      </c>
      <c r="L21" s="27">
        <f t="shared" si="0"/>
        <v>-0.14420561511279309</v>
      </c>
      <c r="M21" s="35"/>
      <c r="N21" s="676">
        <f>A!H1471</f>
        <v>0</v>
      </c>
      <c r="Y21" s="12"/>
    </row>
    <row r="22" spans="2:25" ht="12" customHeight="1">
      <c r="B22" s="215" t="s">
        <v>309</v>
      </c>
      <c r="C22" s="201">
        <f>A!B1472</f>
        <v>-1942.4562354895461</v>
      </c>
      <c r="D22" s="201">
        <f>A!C1472</f>
        <v>-1718</v>
      </c>
      <c r="E22" s="201">
        <f>A!D1472</f>
        <v>-1782</v>
      </c>
      <c r="F22" s="201">
        <f>A!E1472</f>
        <v>-1738.9033123672489</v>
      </c>
      <c r="G22" s="201"/>
      <c r="H22" s="201">
        <f>A!G1472</f>
        <v>-1822</v>
      </c>
      <c r="I22" s="201"/>
      <c r="J22" s="150">
        <f t="shared" si="1"/>
        <v>-1942.4562354895461</v>
      </c>
      <c r="K22" s="201">
        <f t="shared" si="2"/>
        <v>-1718</v>
      </c>
      <c r="L22" s="27">
        <f t="shared" si="0"/>
        <v>-0.12465137835297091</v>
      </c>
      <c r="M22" s="35"/>
      <c r="N22" s="676">
        <f>A!H1472</f>
        <v>0</v>
      </c>
      <c r="Y22" s="12"/>
    </row>
    <row r="23" spans="2:25" ht="12" customHeight="1">
      <c r="B23" s="215" t="s">
        <v>301</v>
      </c>
      <c r="C23" s="201">
        <f>A!B1473</f>
        <v>-13295.890236418036</v>
      </c>
      <c r="D23" s="201">
        <f>A!C1473</f>
        <v>-11933</v>
      </c>
      <c r="E23" s="201">
        <f>A!D1473</f>
        <v>-11933</v>
      </c>
      <c r="F23" s="201">
        <f>A!E1473</f>
        <v>-11947.910154849138</v>
      </c>
      <c r="G23" s="201">
        <f>A!F1473</f>
        <v>-12653.458000001228</v>
      </c>
      <c r="H23" s="201">
        <f>A!G1473</f>
        <v>-11932</v>
      </c>
      <c r="I23" s="201"/>
      <c r="J23" s="150">
        <f t="shared" si="1"/>
        <v>-13295.890236418036</v>
      </c>
      <c r="K23" s="201">
        <f t="shared" si="2"/>
        <v>-11932</v>
      </c>
      <c r="L23" s="27">
        <f t="shared" si="0"/>
        <v>-0.11104298427261905</v>
      </c>
      <c r="M23" s="35"/>
      <c r="N23" s="676">
        <f>A!H1473</f>
        <v>0</v>
      </c>
      <c r="Y23" s="12"/>
    </row>
    <row r="24" spans="2:25" ht="12" customHeight="1">
      <c r="B24" s="215" t="s">
        <v>302</v>
      </c>
      <c r="C24" s="201">
        <f>A!B1474</f>
        <v>17217.924286479909</v>
      </c>
      <c r="D24" s="201">
        <f>A!C1474</f>
        <v>18099</v>
      </c>
      <c r="E24" s="201">
        <f>A!D1474</f>
        <v>18100</v>
      </c>
      <c r="F24" s="201">
        <f>A!E1474</f>
        <v>17760.305556106778</v>
      </c>
      <c r="G24" s="201">
        <f>A!F1474</f>
        <v>17414.09999999998</v>
      </c>
      <c r="H24" s="201">
        <f>A!G1474</f>
        <v>17794</v>
      </c>
      <c r="I24" s="201"/>
      <c r="J24" s="150">
        <f t="shared" si="1"/>
        <v>17217.924286479909</v>
      </c>
      <c r="K24" s="201">
        <f t="shared" si="2"/>
        <v>18100</v>
      </c>
      <c r="L24" s="27">
        <f t="shared" si="0"/>
        <v>4.974797078649415E-2</v>
      </c>
      <c r="M24" s="35"/>
      <c r="N24" s="676">
        <f>A!H1474</f>
        <v>0</v>
      </c>
      <c r="Y24" s="12"/>
    </row>
    <row r="25" spans="2:25" ht="12" customHeight="1">
      <c r="B25" s="215" t="s">
        <v>303</v>
      </c>
      <c r="C25" s="201">
        <f>A!B1475</f>
        <v>-4665.7080262850286</v>
      </c>
      <c r="D25" s="201">
        <f>A!C1475</f>
        <v>-4981</v>
      </c>
      <c r="E25" s="201">
        <f>A!D1475</f>
        <v>-4969</v>
      </c>
      <c r="F25" s="201">
        <f>A!E1475</f>
        <v>-5031.5464902234526</v>
      </c>
      <c r="G25" s="201">
        <f>A!F1475</f>
        <v>-4889.3570000002655</v>
      </c>
      <c r="H25" s="201">
        <f>A!G1475</f>
        <v>-4458</v>
      </c>
      <c r="I25" s="201"/>
      <c r="J25" s="150">
        <f t="shared" si="1"/>
        <v>-5031.5464902234526</v>
      </c>
      <c r="K25" s="201">
        <f t="shared" si="2"/>
        <v>-4458</v>
      </c>
      <c r="L25" s="27">
        <f t="shared" si="0"/>
        <v>-0.11868684425660762</v>
      </c>
      <c r="M25" s="35"/>
      <c r="N25" s="676">
        <f>A!H1475</f>
        <v>0</v>
      </c>
      <c r="Y25" s="12"/>
    </row>
    <row r="26" spans="2:25" ht="12" customHeight="1">
      <c r="B26" s="215" t="s">
        <v>304</v>
      </c>
      <c r="C26" s="201">
        <f>A!B1476</f>
        <v>-5056.6159707130428</v>
      </c>
      <c r="D26" s="201">
        <f>A!C1476</f>
        <v>-5277</v>
      </c>
      <c r="E26" s="201">
        <f>A!D1476</f>
        <v>-5285</v>
      </c>
      <c r="F26" s="201">
        <f>A!E1476</f>
        <v>-5081.8579241346742</v>
      </c>
      <c r="G26" s="201">
        <f>A!F1476</f>
        <v>-4880.4849999999533</v>
      </c>
      <c r="H26" s="201">
        <f>A!G1476</f>
        <v>-5263</v>
      </c>
      <c r="I26" s="201"/>
      <c r="J26" s="150">
        <f t="shared" si="1"/>
        <v>-5285</v>
      </c>
      <c r="K26" s="201">
        <f t="shared" si="2"/>
        <v>-4880.4849999999533</v>
      </c>
      <c r="L26" s="27">
        <f t="shared" si="0"/>
        <v>-7.8689315086777442E-2</v>
      </c>
      <c r="M26" s="35"/>
      <c r="N26" s="676">
        <f>A!H1476</f>
        <v>0</v>
      </c>
      <c r="Y26" s="12"/>
    </row>
    <row r="27" spans="2:25" ht="12" customHeight="1" thickBot="1">
      <c r="B27" s="216" t="s">
        <v>305</v>
      </c>
      <c r="C27" s="201">
        <f>A!B1477</f>
        <v>-3743.2989019118359</v>
      </c>
      <c r="D27" s="201">
        <f>A!C1477</f>
        <v>-4076</v>
      </c>
      <c r="E27" s="201">
        <f>A!D1477</f>
        <v>-4083</v>
      </c>
      <c r="F27" s="201">
        <f>A!E1477</f>
        <v>-3514.1330368312483</v>
      </c>
      <c r="G27" s="201">
        <f>A!F1477</f>
        <v>-3745.4910000001237</v>
      </c>
      <c r="H27" s="201">
        <f>A!G1477</f>
        <v>-3825</v>
      </c>
      <c r="I27" s="201"/>
      <c r="J27" s="151">
        <f t="shared" si="1"/>
        <v>-4083</v>
      </c>
      <c r="K27" s="201">
        <f t="shared" si="2"/>
        <v>-3514.1330368312483</v>
      </c>
      <c r="L27" s="27">
        <f t="shared" si="0"/>
        <v>-0.14848450086634885</v>
      </c>
      <c r="N27" s="676">
        <f>A!H1477</f>
        <v>0</v>
      </c>
      <c r="Y27" s="12"/>
    </row>
    <row r="28" spans="2:25" ht="12" customHeight="1" thickTop="1">
      <c r="B28" s="19" t="s">
        <v>330</v>
      </c>
      <c r="C28" s="144"/>
      <c r="D28" s="145"/>
      <c r="E28" s="144"/>
      <c r="F28" s="145"/>
      <c r="G28" s="145"/>
      <c r="H28" s="145"/>
      <c r="I28" s="20"/>
      <c r="J28" s="147" t="s">
        <v>24</v>
      </c>
      <c r="K28" s="144"/>
      <c r="L28" s="146"/>
      <c r="Y28" s="12"/>
    </row>
    <row r="29" spans="2:25" ht="12" customHeight="1">
      <c r="B29" s="170"/>
      <c r="C29" s="22" t="s">
        <v>245</v>
      </c>
      <c r="D29" s="22" t="s">
        <v>536</v>
      </c>
      <c r="E29" s="22" t="s">
        <v>258</v>
      </c>
      <c r="F29" s="352" t="s">
        <v>433</v>
      </c>
      <c r="G29" s="436" t="s">
        <v>469</v>
      </c>
      <c r="H29" s="437" t="s">
        <v>482</v>
      </c>
      <c r="I29" s="438"/>
      <c r="J29" s="148"/>
      <c r="K29" s="18"/>
      <c r="L29" s="23" t="s">
        <v>25</v>
      </c>
      <c r="Y29" s="12"/>
    </row>
    <row r="30" spans="2:25" ht="12" customHeight="1">
      <c r="B30" s="171"/>
      <c r="C30" s="24" t="s">
        <v>26</v>
      </c>
      <c r="D30" s="24" t="s">
        <v>13</v>
      </c>
      <c r="E30" s="24" t="s">
        <v>13</v>
      </c>
      <c r="F30" s="353" t="s">
        <v>434</v>
      </c>
      <c r="G30" s="353" t="s">
        <v>452</v>
      </c>
      <c r="H30" s="353" t="s">
        <v>483</v>
      </c>
      <c r="I30" s="439"/>
      <c r="J30" s="149" t="s">
        <v>27</v>
      </c>
      <c r="K30" s="24" t="s">
        <v>28</v>
      </c>
      <c r="L30" s="25" t="s">
        <v>259</v>
      </c>
      <c r="N30" s="685" t="s">
        <v>522</v>
      </c>
      <c r="Y30" s="12"/>
    </row>
    <row r="31" spans="2:25" ht="12" customHeight="1">
      <c r="B31" s="214" t="s">
        <v>295</v>
      </c>
      <c r="C31" s="201">
        <f>A!B1490</f>
        <v>3986.0910607140395</v>
      </c>
      <c r="D31" s="201">
        <f>A!C1490</f>
        <v>4244</v>
      </c>
      <c r="E31" s="201">
        <f>A!D1490</f>
        <v>4244</v>
      </c>
      <c r="F31" s="201"/>
      <c r="G31" s="201">
        <f>A!F1490</f>
        <v>4166.82</v>
      </c>
      <c r="H31" s="201">
        <f>A!G1490</f>
        <v>4177</v>
      </c>
      <c r="I31" s="201"/>
      <c r="J31" s="150">
        <f t="shared" ref="J31:J48" si="3">MINA(C31:I31)</f>
        <v>3986.0910607140395</v>
      </c>
      <c r="K31" s="201">
        <f t="shared" ref="K31:K48" si="4">MAXA(C31:I31)</f>
        <v>4244</v>
      </c>
      <c r="L31" s="27">
        <f t="shared" ref="L31:L48" si="5">(K31-J31)/AVERAGE(C31:I31)</f>
        <v>6.1944000657363364E-2</v>
      </c>
      <c r="N31" s="676">
        <f>A!H1490</f>
        <v>0</v>
      </c>
      <c r="Y31" s="12"/>
    </row>
    <row r="32" spans="2:25" ht="12" customHeight="1">
      <c r="B32" s="215" t="s">
        <v>296</v>
      </c>
      <c r="C32" s="201">
        <f>A!B1491</f>
        <v>4079.6030794278959</v>
      </c>
      <c r="D32" s="201">
        <f>A!C1491</f>
        <v>3681</v>
      </c>
      <c r="E32" s="201">
        <f>A!D1491</f>
        <v>3721</v>
      </c>
      <c r="F32" s="201"/>
      <c r="G32" s="201">
        <f>A!F1491</f>
        <v>4076.0250000001142</v>
      </c>
      <c r="H32" s="201">
        <f>A!G1491</f>
        <v>4036</v>
      </c>
      <c r="I32" s="35"/>
      <c r="J32" s="150">
        <f t="shared" si="3"/>
        <v>3681</v>
      </c>
      <c r="K32" s="201">
        <f t="shared" si="4"/>
        <v>4079.6030794278959</v>
      </c>
      <c r="L32" s="27">
        <f t="shared" si="5"/>
        <v>0.10171752720120329</v>
      </c>
      <c r="N32" s="676">
        <f>A!H1491</f>
        <v>0</v>
      </c>
      <c r="Y32" s="12"/>
    </row>
    <row r="33" spans="2:25" ht="12" customHeight="1">
      <c r="B33" s="215" t="s">
        <v>297</v>
      </c>
      <c r="C33" s="201">
        <f>A!B1492</f>
        <v>4946.1977651546658</v>
      </c>
      <c r="D33" s="201">
        <f>A!C1492</f>
        <v>4603</v>
      </c>
      <c r="E33" s="201">
        <f>A!D1492</f>
        <v>4352</v>
      </c>
      <c r="F33" s="201"/>
      <c r="G33" s="201">
        <f>A!F1492</f>
        <v>5157.7319999999636</v>
      </c>
      <c r="H33" s="201">
        <f>A!G1492</f>
        <v>4899</v>
      </c>
      <c r="I33" s="35"/>
      <c r="J33" s="150">
        <f t="shared" si="3"/>
        <v>4352</v>
      </c>
      <c r="K33" s="201">
        <f t="shared" si="4"/>
        <v>5157.7319999999636</v>
      </c>
      <c r="L33" s="27">
        <f t="shared" si="5"/>
        <v>0.16815559772861768</v>
      </c>
      <c r="N33" s="676">
        <f>A!H1492</f>
        <v>0</v>
      </c>
      <c r="Y33" s="12"/>
    </row>
    <row r="34" spans="2:25" ht="12" customHeight="1">
      <c r="B34" s="215" t="s">
        <v>422</v>
      </c>
      <c r="C34" s="201">
        <f>A!B1493</f>
        <v>866.59468572676997</v>
      </c>
      <c r="D34" s="201">
        <f>A!C1493</f>
        <v>922</v>
      </c>
      <c r="E34" s="201">
        <f>A!D1493</f>
        <v>631</v>
      </c>
      <c r="F34" s="201"/>
      <c r="G34" s="201">
        <f>A!F1493</f>
        <v>1081.7069999998494</v>
      </c>
      <c r="H34" s="201">
        <f>A!G1493</f>
        <v>863</v>
      </c>
      <c r="I34" s="35"/>
      <c r="J34" s="150">
        <f>MINA(C34:I34)</f>
        <v>631</v>
      </c>
      <c r="K34" s="201">
        <f>MAXA(C34:I34)</f>
        <v>1081.7069999998494</v>
      </c>
      <c r="L34" s="27">
        <f>(K34-J34)/AVERAGE(C34:I34)</f>
        <v>0.51635637549287616</v>
      </c>
      <c r="N34" s="676">
        <f>A!H1493</f>
        <v>0</v>
      </c>
      <c r="Y34" s="12"/>
    </row>
    <row r="35" spans="2:25" ht="12" customHeight="1">
      <c r="B35" s="215" t="s">
        <v>423</v>
      </c>
      <c r="C35" s="201">
        <f>A!B1494</f>
        <v>4609.4030281066807</v>
      </c>
      <c r="D35" s="201">
        <f>A!C1494</f>
        <v>4260</v>
      </c>
      <c r="E35" s="201">
        <f>A!D1494</f>
        <v>4172</v>
      </c>
      <c r="F35" s="201"/>
      <c r="G35" s="201">
        <f>A!F1494</f>
        <v>4702.7889999999788</v>
      </c>
      <c r="H35" s="201">
        <f>A!G1494</f>
        <v>4524</v>
      </c>
      <c r="I35" s="35"/>
      <c r="J35" s="150">
        <f>MINA(C35:I35)</f>
        <v>4172</v>
      </c>
      <c r="K35" s="201">
        <f>MAXA(C35:I35)</f>
        <v>4702.7889999999788</v>
      </c>
      <c r="L35" s="27">
        <f>(K35-J35)/AVERAGE(C35:I35)</f>
        <v>0.11918098230202591</v>
      </c>
      <c r="M35">
        <f>MAXA(E59:K59)</f>
        <v>0</v>
      </c>
      <c r="N35" s="676">
        <f>A!H1494</f>
        <v>0</v>
      </c>
      <c r="Y35" s="12"/>
    </row>
    <row r="36" spans="2:25" ht="12" customHeight="1">
      <c r="B36" s="215" t="s">
        <v>424</v>
      </c>
      <c r="C36" s="201">
        <f>A!B1495</f>
        <v>336.79473704798511</v>
      </c>
      <c r="D36" s="201">
        <f>A!C1495</f>
        <v>343</v>
      </c>
      <c r="E36" s="201">
        <f>A!D1495</f>
        <v>180</v>
      </c>
      <c r="F36" s="201"/>
      <c r="G36" s="201">
        <f>A!F1495</f>
        <v>454.94299999998475</v>
      </c>
      <c r="H36" s="201">
        <f>A!G1495</f>
        <v>375</v>
      </c>
      <c r="I36" s="35"/>
      <c r="J36" s="150">
        <f>MINA(C36:I36)</f>
        <v>180</v>
      </c>
      <c r="K36" s="201">
        <f>MAXA(C36:I36)</f>
        <v>454.94299999998475</v>
      </c>
      <c r="L36" s="27">
        <f>(K36-J36)/AVERAGE(C36:I36)</f>
        <v>0.81356708195533245</v>
      </c>
      <c r="N36" s="676">
        <f>A!H1495</f>
        <v>0</v>
      </c>
      <c r="Y36" s="12"/>
    </row>
    <row r="37" spans="2:25" ht="12" customHeight="1">
      <c r="B37" s="215" t="s">
        <v>298</v>
      </c>
      <c r="C37" s="201">
        <f>A!B1496</f>
        <v>-3036.6939446745309</v>
      </c>
      <c r="D37" s="201">
        <f>A!C1496</f>
        <v>-3767</v>
      </c>
      <c r="E37" s="201">
        <f>A!D1496</f>
        <v>-3772</v>
      </c>
      <c r="F37" s="201"/>
      <c r="G37" s="201">
        <f>A!F1496</f>
        <v>-3031.9460000000472</v>
      </c>
      <c r="H37" s="201">
        <f>A!G1496</f>
        <v>-2985</v>
      </c>
      <c r="I37" s="35"/>
      <c r="J37" s="150">
        <f t="shared" si="3"/>
        <v>-3772</v>
      </c>
      <c r="K37" s="201">
        <f t="shared" si="4"/>
        <v>-2985</v>
      </c>
      <c r="L37" s="27">
        <f t="shared" si="5"/>
        <v>-0.23715334106691932</v>
      </c>
      <c r="N37" s="676">
        <f>A!H1496</f>
        <v>0</v>
      </c>
      <c r="Y37" s="12"/>
    </row>
    <row r="38" spans="2:25" ht="12" customHeight="1">
      <c r="B38" s="215" t="s">
        <v>299</v>
      </c>
      <c r="C38" s="201">
        <f>A!B1497</f>
        <v>17752.305570698405</v>
      </c>
      <c r="D38" s="201">
        <f>A!C1497</f>
        <v>17430</v>
      </c>
      <c r="E38" s="201">
        <f>A!D1497</f>
        <v>17382</v>
      </c>
      <c r="F38" s="201"/>
      <c r="G38" s="201">
        <f>A!F1497</f>
        <v>17927.161000000247</v>
      </c>
      <c r="H38" s="201">
        <f>A!G1497</f>
        <v>18065</v>
      </c>
      <c r="I38" s="35"/>
      <c r="J38" s="150">
        <f t="shared" si="3"/>
        <v>17382</v>
      </c>
      <c r="K38" s="201">
        <f t="shared" si="4"/>
        <v>18065</v>
      </c>
      <c r="L38" s="27">
        <f t="shared" si="5"/>
        <v>3.8562965893333724E-2</v>
      </c>
      <c r="N38" s="676">
        <f>A!H1497</f>
        <v>0</v>
      </c>
      <c r="Y38" s="12"/>
    </row>
    <row r="39" spans="2:25" ht="12" customHeight="1">
      <c r="B39" s="215" t="s">
        <v>300</v>
      </c>
      <c r="C39" s="201">
        <f>A!B1498</f>
        <v>-3174.5855715648722</v>
      </c>
      <c r="D39" s="201">
        <f>A!C1498</f>
        <v>-3463</v>
      </c>
      <c r="E39" s="201">
        <f>A!D1498</f>
        <v>-3442</v>
      </c>
      <c r="F39" s="201"/>
      <c r="G39" s="201"/>
      <c r="H39" s="201">
        <f>A!G1498</f>
        <v>-3247</v>
      </c>
      <c r="I39" s="35"/>
      <c r="J39" s="150">
        <f t="shared" si="3"/>
        <v>-3463</v>
      </c>
      <c r="K39" s="201">
        <f t="shared" si="4"/>
        <v>-3174.5855715648722</v>
      </c>
      <c r="L39" s="27">
        <f t="shared" si="5"/>
        <v>-8.656813911900188E-2</v>
      </c>
      <c r="N39" s="676">
        <f>A!H1498</f>
        <v>0</v>
      </c>
      <c r="Y39" s="12"/>
    </row>
    <row r="40" spans="2:25" ht="12" customHeight="1">
      <c r="B40" s="215" t="s">
        <v>306</v>
      </c>
      <c r="C40" s="201">
        <f>A!B1499</f>
        <v>-3149.0399436906118</v>
      </c>
      <c r="D40" s="201">
        <f>A!C1499</f>
        <v>-2746</v>
      </c>
      <c r="E40" s="201">
        <f>A!D1499</f>
        <v>-2723</v>
      </c>
      <c r="F40" s="201"/>
      <c r="G40" s="201"/>
      <c r="H40" s="201">
        <f>A!G1499</f>
        <v>-3191</v>
      </c>
      <c r="I40" s="35"/>
      <c r="J40" s="150">
        <f t="shared" si="3"/>
        <v>-3191</v>
      </c>
      <c r="K40" s="201">
        <f t="shared" si="4"/>
        <v>-2723</v>
      </c>
      <c r="L40" s="27">
        <f t="shared" si="5"/>
        <v>-0.15852262410207027</v>
      </c>
      <c r="N40" s="676">
        <f>A!H1499</f>
        <v>0</v>
      </c>
      <c r="Y40" s="12"/>
    </row>
    <row r="41" spans="2:25" ht="12" customHeight="1">
      <c r="B41" s="215" t="s">
        <v>307</v>
      </c>
      <c r="C41" s="201">
        <f>A!B1500</f>
        <v>-1994.9489155549854</v>
      </c>
      <c r="D41" s="201">
        <f>A!C1500</f>
        <v>-1973</v>
      </c>
      <c r="E41" s="201">
        <f>A!D1500</f>
        <v>-1639</v>
      </c>
      <c r="F41" s="201"/>
      <c r="G41" s="201"/>
      <c r="H41" s="201">
        <f>A!G1500</f>
        <v>-1662</v>
      </c>
      <c r="I41" s="35"/>
      <c r="J41" s="150">
        <f t="shared" si="3"/>
        <v>-1994.9489155549854</v>
      </c>
      <c r="K41" s="201">
        <f t="shared" si="4"/>
        <v>-1639</v>
      </c>
      <c r="L41" s="27">
        <f t="shared" si="5"/>
        <v>-0.19587366464677303</v>
      </c>
      <c r="N41" s="676">
        <f>A!H1500</f>
        <v>0</v>
      </c>
      <c r="Y41" s="12"/>
    </row>
    <row r="42" spans="2:25" ht="12" customHeight="1">
      <c r="B42" s="215" t="s">
        <v>308</v>
      </c>
      <c r="C42" s="201">
        <f>A!B1501</f>
        <v>-2754.9132462438247</v>
      </c>
      <c r="D42" s="201">
        <f>A!C1501</f>
        <v>-2510</v>
      </c>
      <c r="E42" s="201">
        <f>A!D1501</f>
        <v>-2622</v>
      </c>
      <c r="F42" s="201"/>
      <c r="G42" s="201"/>
      <c r="H42" s="201">
        <f>A!G1501</f>
        <v>-2910</v>
      </c>
      <c r="I42" s="35"/>
      <c r="J42" s="150">
        <f t="shared" si="3"/>
        <v>-2910</v>
      </c>
      <c r="K42" s="201">
        <f t="shared" si="4"/>
        <v>-2510</v>
      </c>
      <c r="L42" s="27">
        <f t="shared" si="5"/>
        <v>-0.14819050255466576</v>
      </c>
      <c r="N42" s="676">
        <f>A!H1501</f>
        <v>0</v>
      </c>
      <c r="Y42" s="12"/>
    </row>
    <row r="43" spans="2:25" ht="12" customHeight="1">
      <c r="B43" s="215" t="s">
        <v>309</v>
      </c>
      <c r="C43" s="201">
        <f>A!B1502</f>
        <v>-1724.4010536126152</v>
      </c>
      <c r="D43" s="201">
        <f>A!C1502</f>
        <v>-1527</v>
      </c>
      <c r="E43" s="201">
        <f>A!D1502</f>
        <v>-1584</v>
      </c>
      <c r="F43" s="201"/>
      <c r="G43" s="201"/>
      <c r="H43" s="201">
        <f>A!G1502</f>
        <v>-1627</v>
      </c>
      <c r="I43" s="35"/>
      <c r="J43" s="150">
        <f t="shared" si="3"/>
        <v>-1724.4010536126152</v>
      </c>
      <c r="K43" s="201">
        <f t="shared" si="4"/>
        <v>-1527</v>
      </c>
      <c r="L43" s="27">
        <f t="shared" si="5"/>
        <v>-0.12218434106763706</v>
      </c>
      <c r="N43" s="676">
        <f>A!H1502</f>
        <v>0</v>
      </c>
      <c r="Y43" s="12"/>
    </row>
    <row r="44" spans="2:25" ht="12" customHeight="1">
      <c r="B44" s="215" t="s">
        <v>301</v>
      </c>
      <c r="C44" s="201">
        <f>A!B1503</f>
        <v>-4499.2387514203074</v>
      </c>
      <c r="D44" s="201">
        <f>A!C1503</f>
        <v>-3096</v>
      </c>
      <c r="E44" s="201">
        <f>A!D1503</f>
        <v>-3095</v>
      </c>
      <c r="F44" s="201"/>
      <c r="G44" s="201">
        <f>A!F1503</f>
        <v>-3912.1489999999285</v>
      </c>
      <c r="H44" s="201">
        <f>A!G1503</f>
        <v>-3354</v>
      </c>
      <c r="I44" s="35"/>
      <c r="J44" s="150">
        <f t="shared" si="3"/>
        <v>-4499.2387514203074</v>
      </c>
      <c r="K44" s="201">
        <f t="shared" si="4"/>
        <v>-3095</v>
      </c>
      <c r="L44" s="27">
        <f t="shared" si="5"/>
        <v>-0.39101370800740282</v>
      </c>
      <c r="N44" s="676">
        <f>A!H1503</f>
        <v>0</v>
      </c>
      <c r="Y44" s="12"/>
    </row>
    <row r="45" spans="2:25" ht="12" customHeight="1">
      <c r="B45" s="215" t="s">
        <v>302</v>
      </c>
      <c r="C45" s="201">
        <f>A!B1504</f>
        <v>13805.73111636507</v>
      </c>
      <c r="D45" s="201">
        <f>A!C1504</f>
        <v>14303</v>
      </c>
      <c r="E45" s="201">
        <f>A!D1504</f>
        <v>14304</v>
      </c>
      <c r="F45" s="201"/>
      <c r="G45" s="201">
        <f>A!F1504</f>
        <v>13913.444999999987</v>
      </c>
      <c r="H45" s="201">
        <f>A!G1504</f>
        <v>14230</v>
      </c>
      <c r="I45" s="35"/>
      <c r="J45" s="150">
        <f t="shared" si="3"/>
        <v>13805.73111636507</v>
      </c>
      <c r="K45" s="201">
        <f t="shared" si="4"/>
        <v>14304</v>
      </c>
      <c r="L45" s="27">
        <f t="shared" si="5"/>
        <v>3.5310082763921176E-2</v>
      </c>
      <c r="N45" s="676">
        <f>A!H1504</f>
        <v>0</v>
      </c>
      <c r="Y45" s="12"/>
    </row>
    <row r="46" spans="2:25" ht="12" customHeight="1">
      <c r="B46" s="215" t="s">
        <v>303</v>
      </c>
      <c r="C46" s="201">
        <f>A!B1505</f>
        <v>-2963.4018331640655</v>
      </c>
      <c r="D46" s="201">
        <f>A!C1505</f>
        <v>-3241</v>
      </c>
      <c r="E46" s="201">
        <f>A!D1505</f>
        <v>-3233</v>
      </c>
      <c r="F46" s="201"/>
      <c r="G46" s="201">
        <f>A!F1505</f>
        <v>-3148.170000000202</v>
      </c>
      <c r="H46" s="201">
        <f>A!G1505</f>
        <v>-2742</v>
      </c>
      <c r="I46" s="35"/>
      <c r="J46" s="150">
        <f t="shared" si="3"/>
        <v>-3241</v>
      </c>
      <c r="K46" s="201">
        <f t="shared" si="4"/>
        <v>-2742</v>
      </c>
      <c r="L46" s="27">
        <f t="shared" si="5"/>
        <v>-0.16277855534831476</v>
      </c>
      <c r="N46" s="676">
        <f>A!H1505</f>
        <v>0</v>
      </c>
      <c r="Y46" s="12"/>
    </row>
    <row r="47" spans="2:25" ht="12" customHeight="1">
      <c r="B47" s="215" t="s">
        <v>304</v>
      </c>
      <c r="C47" s="201">
        <f>A!B1506</f>
        <v>-4197.3004344084002</v>
      </c>
      <c r="D47" s="201">
        <f>A!C1506</f>
        <v>-4346</v>
      </c>
      <c r="E47" s="201">
        <f>A!D1506</f>
        <v>-4354</v>
      </c>
      <c r="F47" s="201"/>
      <c r="G47" s="201">
        <f>A!F1506</f>
        <v>-4001.9239999999591</v>
      </c>
      <c r="H47" s="201">
        <f>A!G1506</f>
        <v>-4350</v>
      </c>
      <c r="I47" s="35"/>
      <c r="J47" s="150">
        <f t="shared" si="3"/>
        <v>-4354</v>
      </c>
      <c r="K47" s="201">
        <f t="shared" si="4"/>
        <v>-4001.9239999999591</v>
      </c>
      <c r="L47" s="27">
        <f t="shared" si="5"/>
        <v>-8.2844435354998816E-2</v>
      </c>
      <c r="N47" s="676">
        <f>A!H1506</f>
        <v>0</v>
      </c>
      <c r="Y47" s="12"/>
    </row>
    <row r="48" spans="2:25" ht="12" customHeight="1" thickBot="1">
      <c r="B48" s="216" t="s">
        <v>305</v>
      </c>
      <c r="C48" s="29">
        <f>A!B1507</f>
        <v>-2398.8747508219385</v>
      </c>
      <c r="D48" s="29">
        <f>A!C1507</f>
        <v>-2713</v>
      </c>
      <c r="E48" s="29">
        <f>A!D1507</f>
        <v>-2720</v>
      </c>
      <c r="F48" s="29"/>
      <c r="G48" s="29">
        <f>A!F1507</f>
        <v>-2413.1970000000147</v>
      </c>
      <c r="H48" s="29">
        <f>A!G1507</f>
        <v>-2449</v>
      </c>
      <c r="I48" s="28"/>
      <c r="J48" s="151">
        <f t="shared" si="3"/>
        <v>-2720</v>
      </c>
      <c r="K48" s="29">
        <f t="shared" si="4"/>
        <v>-2398.8747508219385</v>
      </c>
      <c r="L48" s="30">
        <f t="shared" si="5"/>
        <v>-0.12648630615990819</v>
      </c>
      <c r="N48" s="676">
        <f>A!H1507</f>
        <v>0</v>
      </c>
      <c r="Y48" s="12"/>
    </row>
    <row r="49" spans="2:25" ht="12" customHeight="1" thickTop="1">
      <c r="C49" s="201"/>
      <c r="D49" s="32" t="s">
        <v>557</v>
      </c>
      <c r="E49" s="201"/>
      <c r="F49" s="201"/>
      <c r="G49" s="201"/>
      <c r="H49" s="201"/>
      <c r="I49" s="35"/>
      <c r="J49" s="201"/>
      <c r="K49" s="201"/>
      <c r="L49" s="602"/>
      <c r="M49" s="35"/>
      <c r="N49" s="673"/>
      <c r="Y49" s="12"/>
    </row>
    <row r="50" spans="2:25" ht="12" customHeight="1">
      <c r="C50" s="201"/>
      <c r="D50" s="201"/>
      <c r="E50" s="201"/>
      <c r="F50" s="201"/>
      <c r="G50" s="201"/>
      <c r="H50" s="201"/>
      <c r="I50" s="35"/>
      <c r="J50" s="201"/>
      <c r="K50" s="201"/>
      <c r="L50" s="672"/>
      <c r="M50" s="35"/>
      <c r="N50" s="673"/>
      <c r="Y50" s="12"/>
    </row>
    <row r="51" spans="2:25" ht="17.25" customHeight="1" thickBot="1">
      <c r="B51" s="192" t="s">
        <v>523</v>
      </c>
      <c r="C51" s="201"/>
      <c r="D51" s="201"/>
      <c r="E51" s="201"/>
      <c r="F51" s="201"/>
      <c r="G51" s="201"/>
      <c r="H51" s="201"/>
      <c r="I51" s="35"/>
      <c r="J51" s="201"/>
      <c r="K51" s="201"/>
      <c r="L51" s="603"/>
      <c r="M51" s="35"/>
      <c r="N51" s="673"/>
      <c r="Y51" s="12"/>
    </row>
    <row r="52" spans="2:25" ht="12" customHeight="1" thickTop="1">
      <c r="B52" s="19" t="s">
        <v>331</v>
      </c>
      <c r="C52" s="144"/>
      <c r="D52" s="145"/>
      <c r="E52" s="144"/>
      <c r="F52" s="145"/>
      <c r="G52" s="145"/>
      <c r="H52" s="145"/>
      <c r="I52" s="140"/>
      <c r="J52" s="20" t="s">
        <v>24</v>
      </c>
      <c r="K52" s="144"/>
      <c r="L52" s="146"/>
      <c r="M52" s="34"/>
      <c r="N52" s="673"/>
      <c r="Y52" s="12"/>
    </row>
    <row r="53" spans="2:25" ht="12" customHeight="1">
      <c r="B53" s="170"/>
      <c r="C53" s="205" t="s">
        <v>245</v>
      </c>
      <c r="D53" s="22" t="s">
        <v>536</v>
      </c>
      <c r="E53" s="205" t="s">
        <v>258</v>
      </c>
      <c r="F53" s="352" t="s">
        <v>433</v>
      </c>
      <c r="G53" s="436" t="s">
        <v>469</v>
      </c>
      <c r="H53" s="437" t="s">
        <v>482</v>
      </c>
      <c r="I53" s="438"/>
      <c r="J53" s="200"/>
      <c r="K53" s="200"/>
      <c r="L53" s="23" t="s">
        <v>25</v>
      </c>
      <c r="M53" s="35"/>
      <c r="N53" s="35"/>
      <c r="O53" s="2"/>
      <c r="P53" s="12"/>
      <c r="Q53" s="12"/>
      <c r="R53" s="12"/>
      <c r="S53" s="12"/>
      <c r="T53" s="2"/>
      <c r="U53" s="2"/>
      <c r="V53" s="2"/>
      <c r="W53" s="2"/>
      <c r="X53" s="12"/>
      <c r="Y53" s="12"/>
    </row>
    <row r="54" spans="2:25" ht="12" customHeight="1">
      <c r="B54" s="171"/>
      <c r="C54" s="24" t="s">
        <v>26</v>
      </c>
      <c r="D54" s="24" t="s">
        <v>13</v>
      </c>
      <c r="E54" s="24" t="s">
        <v>13</v>
      </c>
      <c r="F54" s="353" t="s">
        <v>434</v>
      </c>
      <c r="G54" s="353" t="s">
        <v>452</v>
      </c>
      <c r="H54" s="353" t="s">
        <v>483</v>
      </c>
      <c r="I54" s="439"/>
      <c r="J54" s="24" t="s">
        <v>27</v>
      </c>
      <c r="K54" s="24" t="s">
        <v>28</v>
      </c>
      <c r="L54" s="25" t="s">
        <v>259</v>
      </c>
      <c r="M54" s="35"/>
      <c r="N54" s="685" t="s">
        <v>522</v>
      </c>
      <c r="O54" s="2"/>
      <c r="P54" s="12"/>
      <c r="Q54" s="12"/>
      <c r="R54" s="12"/>
      <c r="S54" s="12"/>
      <c r="T54" s="2"/>
      <c r="U54" s="2"/>
      <c r="V54" s="2"/>
      <c r="W54" s="2"/>
      <c r="X54" s="12"/>
      <c r="Y54" s="12"/>
    </row>
    <row r="55" spans="2:25" ht="12" customHeight="1">
      <c r="B55" s="214" t="s">
        <v>295</v>
      </c>
      <c r="C55" s="201">
        <f>A!B1550</f>
        <v>0</v>
      </c>
      <c r="D55" s="201">
        <f>A!C1550</f>
        <v>0</v>
      </c>
      <c r="E55" s="201">
        <f>A!D1550</f>
        <v>0</v>
      </c>
      <c r="F55" s="201">
        <f>A!E1550</f>
        <v>0</v>
      </c>
      <c r="G55" s="201">
        <f>A!F1550</f>
        <v>0</v>
      </c>
      <c r="H55" s="201">
        <f>A!G1550</f>
        <v>0</v>
      </c>
      <c r="I55" s="201"/>
      <c r="J55" s="209">
        <f t="shared" ref="J55:J72" si="6">MINA(C55:I55)</f>
        <v>0</v>
      </c>
      <c r="K55" s="201">
        <f t="shared" ref="K55:K72" si="7">MAXA(C55:I55)</f>
        <v>0</v>
      </c>
      <c r="L55" s="27" t="e">
        <f t="shared" ref="L55:L72" si="8">(K55-J55)/AVERAGE(C55:I55)</f>
        <v>#DIV/0!</v>
      </c>
      <c r="M55" s="35"/>
      <c r="N55" s="35">
        <f>A!H1550</f>
        <v>0</v>
      </c>
      <c r="O55" s="2"/>
      <c r="P55" s="12"/>
      <c r="Q55" s="12"/>
      <c r="R55" s="12"/>
      <c r="S55" s="12"/>
      <c r="T55" s="2"/>
      <c r="U55" s="2"/>
      <c r="V55" s="2"/>
      <c r="W55" s="2"/>
      <c r="X55" s="12"/>
      <c r="Y55" s="12"/>
    </row>
    <row r="56" spans="2:25" ht="12" customHeight="1">
      <c r="B56" s="215" t="s">
        <v>296</v>
      </c>
      <c r="C56" s="201">
        <f>A!B1551</f>
        <v>0</v>
      </c>
      <c r="D56" s="201">
        <f>A!C1551</f>
        <v>0</v>
      </c>
      <c r="E56" s="201">
        <f>A!D1551</f>
        <v>0</v>
      </c>
      <c r="F56" s="201">
        <f>A!E1551</f>
        <v>0</v>
      </c>
      <c r="G56" s="201">
        <f>A!F1551</f>
        <v>0</v>
      </c>
      <c r="H56" s="201">
        <f>A!G1551</f>
        <v>0</v>
      </c>
      <c r="I56" s="141"/>
      <c r="J56" s="201">
        <f t="shared" si="6"/>
        <v>0</v>
      </c>
      <c r="K56" s="201">
        <f t="shared" si="7"/>
        <v>0</v>
      </c>
      <c r="L56" s="27" t="e">
        <f t="shared" si="8"/>
        <v>#DIV/0!</v>
      </c>
      <c r="M56" s="35"/>
      <c r="N56" s="35">
        <f>A!H1551</f>
        <v>0</v>
      </c>
      <c r="O56" s="2"/>
      <c r="P56" s="12"/>
      <c r="Q56" s="12"/>
      <c r="R56" s="12"/>
      <c r="S56" s="12"/>
      <c r="T56" s="2"/>
      <c r="U56" s="2"/>
      <c r="V56" s="2"/>
      <c r="W56" s="2"/>
      <c r="X56" s="12"/>
      <c r="Y56" s="12"/>
    </row>
    <row r="57" spans="2:25" ht="12" customHeight="1">
      <c r="B57" s="215" t="s">
        <v>297</v>
      </c>
      <c r="C57" s="201">
        <f>A!B1552</f>
        <v>0</v>
      </c>
      <c r="D57" s="201">
        <f>A!C1552</f>
        <v>0</v>
      </c>
      <c r="E57" s="201">
        <f>A!D1552</f>
        <v>0</v>
      </c>
      <c r="F57" s="201">
        <f>A!E1552</f>
        <v>0</v>
      </c>
      <c r="G57" s="201">
        <f>A!F1552</f>
        <v>0</v>
      </c>
      <c r="H57" s="201">
        <f>A!G1552</f>
        <v>0</v>
      </c>
      <c r="I57" s="141"/>
      <c r="J57" s="201">
        <f t="shared" si="6"/>
        <v>0</v>
      </c>
      <c r="K57" s="201">
        <f t="shared" si="7"/>
        <v>0</v>
      </c>
      <c r="L57" s="27" t="e">
        <f t="shared" si="8"/>
        <v>#DIV/0!</v>
      </c>
      <c r="M57" s="35"/>
      <c r="N57" s="35">
        <f>A!H1552</f>
        <v>0</v>
      </c>
      <c r="O57" s="2"/>
      <c r="P57" s="12"/>
      <c r="Q57" s="12"/>
      <c r="R57" s="12"/>
      <c r="S57" s="12"/>
      <c r="T57" s="2"/>
      <c r="U57" s="2"/>
      <c r="V57" s="2"/>
      <c r="W57" s="2"/>
      <c r="X57" s="12"/>
      <c r="Y57" s="12"/>
    </row>
    <row r="58" spans="2:25" ht="12" customHeight="1">
      <c r="B58" s="215" t="s">
        <v>422</v>
      </c>
      <c r="C58" s="201">
        <f>A!B1553</f>
        <v>0</v>
      </c>
      <c r="D58" s="201">
        <f>A!C1553</f>
        <v>0</v>
      </c>
      <c r="E58" s="201">
        <f>A!D1553</f>
        <v>0</v>
      </c>
      <c r="F58" s="201">
        <f>A!E1553</f>
        <v>0</v>
      </c>
      <c r="G58" s="201">
        <f>A!F1553</f>
        <v>0</v>
      </c>
      <c r="H58" s="201">
        <f>A!G1553</f>
        <v>0</v>
      </c>
      <c r="I58" s="141"/>
      <c r="J58" s="150">
        <f t="shared" si="6"/>
        <v>0</v>
      </c>
      <c r="K58" s="201">
        <f t="shared" si="7"/>
        <v>0</v>
      </c>
      <c r="L58" s="27" t="e">
        <f t="shared" si="8"/>
        <v>#DIV/0!</v>
      </c>
      <c r="M58" s="35"/>
      <c r="N58" s="35">
        <f>A!H1553</f>
        <v>0</v>
      </c>
      <c r="O58" s="2"/>
      <c r="P58" s="12"/>
      <c r="Q58" s="12"/>
      <c r="R58" s="12"/>
      <c r="S58" s="12"/>
      <c r="T58" s="2"/>
      <c r="U58" s="2"/>
      <c r="V58" s="2"/>
      <c r="W58" s="2"/>
      <c r="X58" s="12"/>
      <c r="Y58" s="12"/>
    </row>
    <row r="59" spans="2:25" ht="12" customHeight="1">
      <c r="B59" s="215" t="s">
        <v>423</v>
      </c>
      <c r="C59" s="201">
        <f>A!B1554</f>
        <v>0</v>
      </c>
      <c r="D59" s="201">
        <f>A!C1554</f>
        <v>0</v>
      </c>
      <c r="E59" s="201">
        <f>A!D1554</f>
        <v>0</v>
      </c>
      <c r="F59" s="201">
        <f>A!E1554</f>
        <v>0</v>
      </c>
      <c r="G59" s="201">
        <f>A!F1554</f>
        <v>0</v>
      </c>
      <c r="H59" s="201">
        <f>A!G1554</f>
        <v>0</v>
      </c>
      <c r="I59" s="141"/>
      <c r="J59" s="150">
        <f t="shared" si="6"/>
        <v>0</v>
      </c>
      <c r="K59" s="201">
        <f t="shared" si="7"/>
        <v>0</v>
      </c>
      <c r="L59" s="27" t="e">
        <f t="shared" si="8"/>
        <v>#DIV/0!</v>
      </c>
      <c r="M59" s="35"/>
      <c r="N59" s="35">
        <f>A!H1554</f>
        <v>0</v>
      </c>
      <c r="O59" s="2"/>
      <c r="P59" s="12"/>
      <c r="Q59" s="12"/>
      <c r="R59" s="12"/>
      <c r="S59" s="12"/>
      <c r="T59" s="2"/>
      <c r="U59" s="2"/>
      <c r="V59" s="2"/>
      <c r="W59" s="2"/>
      <c r="X59" s="12"/>
      <c r="Y59" s="12"/>
    </row>
    <row r="60" spans="2:25" ht="12" customHeight="1">
      <c r="B60" s="215" t="s">
        <v>424</v>
      </c>
      <c r="C60" s="201">
        <f>A!B1555</f>
        <v>0</v>
      </c>
      <c r="D60" s="201">
        <f>A!C1555</f>
        <v>0</v>
      </c>
      <c r="E60" s="201">
        <f>A!D1555</f>
        <v>0</v>
      </c>
      <c r="F60" s="201">
        <f>A!E1555</f>
        <v>0</v>
      </c>
      <c r="G60" s="201">
        <f>A!F1555</f>
        <v>0</v>
      </c>
      <c r="H60" s="201">
        <f>A!G1555</f>
        <v>0</v>
      </c>
      <c r="I60" s="141"/>
      <c r="J60" s="150">
        <f t="shared" si="6"/>
        <v>0</v>
      </c>
      <c r="K60" s="201">
        <f t="shared" si="7"/>
        <v>0</v>
      </c>
      <c r="L60" s="27" t="e">
        <f t="shared" si="8"/>
        <v>#DIV/0!</v>
      </c>
      <c r="M60" s="35"/>
      <c r="N60" s="35">
        <f>A!H1555</f>
        <v>0</v>
      </c>
      <c r="O60" s="2"/>
      <c r="P60" s="12"/>
      <c r="Q60" s="12"/>
      <c r="R60" s="12"/>
      <c r="S60" s="12"/>
      <c r="T60" s="2"/>
      <c r="U60" s="2"/>
      <c r="V60" s="2"/>
      <c r="W60" s="2"/>
      <c r="X60" s="12"/>
      <c r="Y60" s="12"/>
    </row>
    <row r="61" spans="2:25" ht="12" customHeight="1">
      <c r="B61" s="215" t="s">
        <v>298</v>
      </c>
      <c r="C61" s="201">
        <f>A!B1556</f>
        <v>0</v>
      </c>
      <c r="D61" s="201">
        <f>A!C1556</f>
        <v>0</v>
      </c>
      <c r="E61" s="201">
        <f>A!D1556</f>
        <v>0</v>
      </c>
      <c r="F61" s="201">
        <f>A!E1556</f>
        <v>0</v>
      </c>
      <c r="G61" s="201">
        <f>A!F1556</f>
        <v>0</v>
      </c>
      <c r="H61" s="201">
        <f>A!G1556</f>
        <v>0</v>
      </c>
      <c r="I61" s="141"/>
      <c r="J61" s="201">
        <f t="shared" si="6"/>
        <v>0</v>
      </c>
      <c r="K61" s="201">
        <f t="shared" si="7"/>
        <v>0</v>
      </c>
      <c r="L61" s="27" t="e">
        <f t="shared" si="8"/>
        <v>#DIV/0!</v>
      </c>
      <c r="M61" s="35"/>
      <c r="N61" s="35">
        <f>A!H1556</f>
        <v>0</v>
      </c>
      <c r="O61" s="2"/>
      <c r="P61" s="12"/>
      <c r="Q61" s="12"/>
      <c r="R61" s="12"/>
      <c r="S61" s="12"/>
      <c r="T61" s="2"/>
      <c r="U61" s="2"/>
      <c r="V61" s="2"/>
      <c r="W61" s="2"/>
      <c r="X61" s="12"/>
      <c r="Y61" s="12"/>
    </row>
    <row r="62" spans="2:25" ht="12" customHeight="1">
      <c r="B62" s="215" t="s">
        <v>299</v>
      </c>
      <c r="C62" s="201">
        <f>A!B1557</f>
        <v>0</v>
      </c>
      <c r="D62" s="201">
        <f>A!C1557</f>
        <v>0</v>
      </c>
      <c r="E62" s="201">
        <f>A!D1557</f>
        <v>0</v>
      </c>
      <c r="F62" s="201">
        <f>A!E1557</f>
        <v>0</v>
      </c>
      <c r="G62" s="201">
        <f>A!F1557</f>
        <v>0</v>
      </c>
      <c r="H62" s="201">
        <f>A!G1557</f>
        <v>0</v>
      </c>
      <c r="I62" s="141"/>
      <c r="J62" s="201">
        <f t="shared" si="6"/>
        <v>0</v>
      </c>
      <c r="K62" s="201">
        <f t="shared" si="7"/>
        <v>0</v>
      </c>
      <c r="L62" s="27" t="e">
        <f t="shared" si="8"/>
        <v>#DIV/0!</v>
      </c>
      <c r="M62" s="35"/>
      <c r="N62" s="35">
        <f>A!H1557</f>
        <v>0</v>
      </c>
      <c r="O62" s="2"/>
      <c r="P62" s="12"/>
      <c r="Q62" s="12"/>
      <c r="R62" s="12"/>
      <c r="S62" s="12"/>
      <c r="T62" s="2"/>
      <c r="U62" s="2"/>
      <c r="V62" s="2"/>
      <c r="W62" s="2"/>
      <c r="X62" s="12"/>
      <c r="Y62" s="12"/>
    </row>
    <row r="63" spans="2:25" ht="12" customHeight="1">
      <c r="B63" s="215" t="s">
        <v>300</v>
      </c>
      <c r="C63" s="201">
        <f>A!B1558</f>
        <v>0</v>
      </c>
      <c r="D63" s="201">
        <f>A!C1558</f>
        <v>0</v>
      </c>
      <c r="E63" s="201">
        <f>A!D1558</f>
        <v>0</v>
      </c>
      <c r="F63" s="201">
        <f>A!E1558</f>
        <v>0</v>
      </c>
      <c r="G63" s="201"/>
      <c r="H63" s="201">
        <f>A!G1558</f>
        <v>0</v>
      </c>
      <c r="I63" s="141"/>
      <c r="J63" s="201">
        <f t="shared" si="6"/>
        <v>0</v>
      </c>
      <c r="K63" s="201">
        <f t="shared" si="7"/>
        <v>0</v>
      </c>
      <c r="L63" s="27" t="e">
        <f t="shared" si="8"/>
        <v>#DIV/0!</v>
      </c>
      <c r="M63" s="35"/>
      <c r="N63" s="35">
        <f>A!H1558</f>
        <v>0</v>
      </c>
      <c r="O63" s="2"/>
      <c r="P63" s="12"/>
      <c r="Q63" s="12"/>
      <c r="R63" s="12"/>
      <c r="S63" s="12"/>
      <c r="T63" s="2"/>
      <c r="U63" s="2"/>
      <c r="V63" s="2"/>
      <c r="W63" s="2"/>
      <c r="X63" s="12"/>
      <c r="Y63" s="12"/>
    </row>
    <row r="64" spans="2:25" ht="12" customHeight="1">
      <c r="B64" s="215" t="s">
        <v>306</v>
      </c>
      <c r="C64" s="201">
        <f>A!B1559</f>
        <v>0</v>
      </c>
      <c r="D64" s="201">
        <f>A!C1559</f>
        <v>0</v>
      </c>
      <c r="E64" s="201">
        <f>A!D1559</f>
        <v>0</v>
      </c>
      <c r="F64" s="201"/>
      <c r="G64" s="201"/>
      <c r="H64" s="201">
        <f>A!G1559</f>
        <v>0</v>
      </c>
      <c r="I64" s="141"/>
      <c r="J64" s="201">
        <f t="shared" si="6"/>
        <v>0</v>
      </c>
      <c r="K64" s="201">
        <f t="shared" si="7"/>
        <v>0</v>
      </c>
      <c r="L64" s="27" t="e">
        <f t="shared" si="8"/>
        <v>#DIV/0!</v>
      </c>
      <c r="M64" s="35"/>
      <c r="N64" s="35">
        <f>A!H1559</f>
        <v>0</v>
      </c>
      <c r="O64" s="2"/>
      <c r="P64" s="12"/>
      <c r="Q64" s="12"/>
      <c r="R64" s="12"/>
      <c r="S64" s="12"/>
      <c r="T64" s="2"/>
      <c r="U64" s="2"/>
      <c r="V64" s="2"/>
      <c r="W64" s="2"/>
      <c r="X64" s="12"/>
      <c r="Y64" s="12"/>
    </row>
    <row r="65" spans="2:25" ht="12" customHeight="1">
      <c r="B65" s="215" t="s">
        <v>307</v>
      </c>
      <c r="C65" s="201">
        <f>A!B1560</f>
        <v>0</v>
      </c>
      <c r="D65" s="201">
        <f>A!C1560</f>
        <v>0</v>
      </c>
      <c r="E65" s="201">
        <f>A!D1560</f>
        <v>0</v>
      </c>
      <c r="F65" s="201">
        <f>A!E1560</f>
        <v>0</v>
      </c>
      <c r="G65" s="201"/>
      <c r="H65" s="201">
        <f>A!G1560</f>
        <v>0</v>
      </c>
      <c r="I65" s="141"/>
      <c r="J65" s="201">
        <f t="shared" si="6"/>
        <v>0</v>
      </c>
      <c r="K65" s="201">
        <f t="shared" si="7"/>
        <v>0</v>
      </c>
      <c r="L65" s="27" t="e">
        <f t="shared" si="8"/>
        <v>#DIV/0!</v>
      </c>
      <c r="M65" s="35"/>
      <c r="N65" s="35">
        <f>A!H1560</f>
        <v>0</v>
      </c>
      <c r="O65" s="2"/>
      <c r="P65" s="12"/>
      <c r="Q65" s="12"/>
      <c r="R65" s="12"/>
      <c r="S65" s="12"/>
      <c r="T65" s="2"/>
      <c r="U65" s="2"/>
      <c r="V65" s="2"/>
      <c r="W65" s="2"/>
      <c r="X65" s="12"/>
      <c r="Y65" s="12"/>
    </row>
    <row r="66" spans="2:25" ht="12" customHeight="1">
      <c r="B66" s="215" t="s">
        <v>308</v>
      </c>
      <c r="C66" s="201">
        <f>A!B1561</f>
        <v>0</v>
      </c>
      <c r="D66" s="201">
        <f>A!C1561</f>
        <v>0</v>
      </c>
      <c r="E66" s="201">
        <f>A!D1561</f>
        <v>0</v>
      </c>
      <c r="F66" s="201">
        <f>A!E1561</f>
        <v>0</v>
      </c>
      <c r="G66" s="201"/>
      <c r="H66" s="201">
        <f>A!G1561</f>
        <v>0</v>
      </c>
      <c r="I66" s="141"/>
      <c r="J66" s="201">
        <f t="shared" si="6"/>
        <v>0</v>
      </c>
      <c r="K66" s="201">
        <f t="shared" si="7"/>
        <v>0</v>
      </c>
      <c r="L66" s="27" t="e">
        <f t="shared" si="8"/>
        <v>#DIV/0!</v>
      </c>
      <c r="M66" s="35"/>
      <c r="N66" s="35">
        <f>A!H1561</f>
        <v>0</v>
      </c>
      <c r="O66" s="2"/>
      <c r="P66" s="12"/>
      <c r="Q66" s="12"/>
      <c r="R66" s="12"/>
      <c r="S66" s="12"/>
      <c r="T66" s="2"/>
      <c r="U66" s="2"/>
      <c r="V66" s="2"/>
      <c r="W66" s="2"/>
      <c r="X66" s="12"/>
      <c r="Y66" s="12"/>
    </row>
    <row r="67" spans="2:25" ht="12" customHeight="1">
      <c r="B67" s="215" t="s">
        <v>309</v>
      </c>
      <c r="C67" s="201">
        <f>A!B1562</f>
        <v>0</v>
      </c>
      <c r="D67" s="201">
        <f>A!C1562</f>
        <v>0</v>
      </c>
      <c r="E67" s="201">
        <f>A!D1562</f>
        <v>0</v>
      </c>
      <c r="F67" s="201">
        <f>A!E1562</f>
        <v>0</v>
      </c>
      <c r="G67" s="201"/>
      <c r="H67" s="201">
        <f>A!G1562</f>
        <v>0</v>
      </c>
      <c r="I67" s="141"/>
      <c r="J67" s="201">
        <f t="shared" si="6"/>
        <v>0</v>
      </c>
      <c r="K67" s="201">
        <f t="shared" si="7"/>
        <v>0</v>
      </c>
      <c r="L67" s="27" t="e">
        <f t="shared" si="8"/>
        <v>#DIV/0!</v>
      </c>
      <c r="M67" s="35"/>
      <c r="N67" s="35">
        <f>A!H1562</f>
        <v>0</v>
      </c>
      <c r="O67" s="2"/>
      <c r="P67" s="12"/>
      <c r="Q67" s="12"/>
      <c r="R67" s="12"/>
      <c r="S67" s="12"/>
      <c r="T67" s="2"/>
      <c r="U67" s="2"/>
      <c r="V67" s="2"/>
      <c r="W67" s="2"/>
      <c r="X67" s="12"/>
      <c r="Y67" s="12"/>
    </row>
    <row r="68" spans="2:25" ht="12" customHeight="1">
      <c r="B68" s="215" t="s">
        <v>301</v>
      </c>
      <c r="C68" s="201">
        <f>A!B1563</f>
        <v>-8316.0983649090085</v>
      </c>
      <c r="D68" s="201">
        <f>A!C1563</f>
        <v>-8511</v>
      </c>
      <c r="E68" s="201">
        <f>A!D1563</f>
        <v>-8511</v>
      </c>
      <c r="F68" s="201">
        <f>A!E1563</f>
        <v>-8231.5489530987925</v>
      </c>
      <c r="G68" s="201">
        <f>A!F1563</f>
        <v>-8326.6880000013116</v>
      </c>
      <c r="H68" s="201">
        <f>A!G1563</f>
        <v>-8241</v>
      </c>
      <c r="I68" s="141"/>
      <c r="J68" s="201">
        <f t="shared" si="6"/>
        <v>-8511</v>
      </c>
      <c r="K68" s="201">
        <f t="shared" si="7"/>
        <v>-8231.5489530987925</v>
      </c>
      <c r="L68" s="27">
        <f t="shared" si="8"/>
        <v>-3.3442269533717713E-2</v>
      </c>
      <c r="M68" s="35"/>
      <c r="N68" s="35">
        <f>A!H1563</f>
        <v>0</v>
      </c>
      <c r="O68" s="2"/>
      <c r="P68" s="12"/>
      <c r="Q68" s="12"/>
      <c r="R68" s="12"/>
      <c r="S68" s="12"/>
      <c r="T68" s="2"/>
      <c r="U68" s="2"/>
      <c r="V68" s="2"/>
      <c r="W68" s="2"/>
      <c r="X68" s="12"/>
      <c r="Y68" s="12"/>
    </row>
    <row r="69" spans="2:25" ht="12" customHeight="1">
      <c r="B69" s="215" t="s">
        <v>302</v>
      </c>
      <c r="C69" s="201">
        <f>A!B1564</f>
        <v>1951.1712326347274</v>
      </c>
      <c r="D69" s="201">
        <f>A!C1564</f>
        <v>2262</v>
      </c>
      <c r="E69" s="201">
        <f>A!D1564</f>
        <v>2262</v>
      </c>
      <c r="F69" s="201">
        <f>A!E1564</f>
        <v>2035.0880473582379</v>
      </c>
      <c r="G69" s="201">
        <f>A!F1564</f>
        <v>2001.7830000000072</v>
      </c>
      <c r="H69" s="201">
        <f>A!G1564</f>
        <v>2038</v>
      </c>
      <c r="I69" s="141"/>
      <c r="J69" s="201">
        <f t="shared" si="6"/>
        <v>1951.1712326347274</v>
      </c>
      <c r="K69" s="201">
        <f t="shared" si="7"/>
        <v>2262</v>
      </c>
      <c r="L69" s="27">
        <f t="shared" si="8"/>
        <v>0.14860289412448735</v>
      </c>
      <c r="M69" s="35"/>
      <c r="N69" s="35">
        <f>A!H1564</f>
        <v>0</v>
      </c>
      <c r="O69" s="2"/>
      <c r="P69" s="12"/>
      <c r="Q69" s="12"/>
      <c r="R69" s="12"/>
      <c r="S69" s="12"/>
      <c r="T69" s="2"/>
      <c r="U69" s="2"/>
      <c r="V69" s="2"/>
      <c r="W69" s="2"/>
      <c r="X69" s="12"/>
      <c r="Y69" s="12"/>
    </row>
    <row r="70" spans="2:25" ht="12" customHeight="1">
      <c r="B70" s="215" t="s">
        <v>303</v>
      </c>
      <c r="C70" s="201">
        <f>A!B1565</f>
        <v>-973.41818225425504</v>
      </c>
      <c r="D70" s="201">
        <f>A!C1565</f>
        <v>-988</v>
      </c>
      <c r="E70" s="201">
        <f>A!D1565</f>
        <v>-986</v>
      </c>
      <c r="F70" s="201">
        <f>A!E1565</f>
        <v>-948.45472065499689</v>
      </c>
      <c r="G70" s="201">
        <f>A!F1565</f>
        <v>-995.56300000003102</v>
      </c>
      <c r="H70" s="201">
        <f>A!G1565</f>
        <v>-979</v>
      </c>
      <c r="I70" s="141"/>
      <c r="J70" s="201">
        <f t="shared" si="6"/>
        <v>-995.56300000003102</v>
      </c>
      <c r="K70" s="201">
        <f t="shared" si="7"/>
        <v>-948.45472065499689</v>
      </c>
      <c r="L70" s="27">
        <f t="shared" si="8"/>
        <v>-4.8147987772105424E-2</v>
      </c>
      <c r="M70" s="35"/>
      <c r="N70" s="35">
        <f>A!H1565</f>
        <v>0</v>
      </c>
      <c r="O70" s="2"/>
      <c r="P70" s="12"/>
      <c r="Q70" s="12"/>
      <c r="R70" s="12"/>
      <c r="S70" s="12"/>
      <c r="T70" s="2"/>
      <c r="U70" s="2"/>
      <c r="V70" s="2"/>
      <c r="W70" s="2"/>
      <c r="X70" s="12"/>
      <c r="Y70" s="12"/>
    </row>
    <row r="71" spans="2:25" ht="12" customHeight="1">
      <c r="B71" s="215" t="s">
        <v>304</v>
      </c>
      <c r="C71" s="201">
        <f>A!B1566</f>
        <v>-491.37656357751894</v>
      </c>
      <c r="D71" s="201">
        <f>A!C1566</f>
        <v>-536</v>
      </c>
      <c r="E71" s="201">
        <f>A!D1566</f>
        <v>-536</v>
      </c>
      <c r="F71" s="201">
        <f>A!E1566</f>
        <v>-508.82957927786538</v>
      </c>
      <c r="G71" s="201">
        <f>A!F1566</f>
        <v>-502.37599999999247</v>
      </c>
      <c r="H71" s="201">
        <f>A!G1566</f>
        <v>-522</v>
      </c>
      <c r="I71" s="141"/>
      <c r="J71" s="201">
        <f t="shared" si="6"/>
        <v>-536</v>
      </c>
      <c r="K71" s="201">
        <f t="shared" si="7"/>
        <v>-491.37656357751894</v>
      </c>
      <c r="L71" s="27">
        <f t="shared" si="8"/>
        <v>-8.6463270206680584E-2</v>
      </c>
      <c r="M71" s="35"/>
      <c r="N71" s="35">
        <f>A!H1566</f>
        <v>0</v>
      </c>
      <c r="O71" s="2"/>
      <c r="P71" s="12"/>
      <c r="Q71" s="12"/>
      <c r="R71" s="12"/>
      <c r="S71" s="12"/>
      <c r="T71" s="2"/>
      <c r="U71" s="2"/>
      <c r="V71" s="2"/>
      <c r="W71" s="2"/>
      <c r="X71" s="12"/>
      <c r="Y71" s="12"/>
    </row>
    <row r="72" spans="2:25" ht="12" customHeight="1" thickBot="1">
      <c r="B72" s="216" t="s">
        <v>305</v>
      </c>
      <c r="C72" s="151">
        <f>A!B1567</f>
        <v>-768.77292617570515</v>
      </c>
      <c r="D72" s="29">
        <f>A!C1567</f>
        <v>-757</v>
      </c>
      <c r="E72" s="29">
        <f>A!D1567</f>
        <v>-757</v>
      </c>
      <c r="F72" s="29">
        <f>A!E1567</f>
        <v>-628.6073605510785</v>
      </c>
      <c r="G72" s="29">
        <f>A!F1567</f>
        <v>-761.74900000005232</v>
      </c>
      <c r="H72" s="29">
        <f>A!G1567</f>
        <v>-787</v>
      </c>
      <c r="I72" s="142"/>
      <c r="J72" s="29">
        <f t="shared" si="6"/>
        <v>-787</v>
      </c>
      <c r="K72" s="29">
        <f t="shared" si="7"/>
        <v>-628.6073605510785</v>
      </c>
      <c r="L72" s="30">
        <f t="shared" si="8"/>
        <v>-0.21307809159742286</v>
      </c>
      <c r="M72" s="35"/>
      <c r="N72" s="35">
        <f>A!H1567</f>
        <v>0</v>
      </c>
      <c r="O72" s="2"/>
      <c r="P72" s="12"/>
      <c r="Q72" s="12"/>
      <c r="R72" s="12"/>
      <c r="S72" s="12"/>
      <c r="T72" s="2"/>
      <c r="U72" s="2"/>
      <c r="V72" s="2"/>
      <c r="W72" s="2"/>
      <c r="X72" s="12"/>
      <c r="Y72" s="12"/>
    </row>
    <row r="73" spans="2:25" ht="12" customHeight="1" thickTop="1">
      <c r="B73" s="19" t="s">
        <v>332</v>
      </c>
      <c r="C73" s="145"/>
      <c r="D73" s="145"/>
      <c r="E73" s="145"/>
      <c r="F73" s="145"/>
      <c r="G73" s="145"/>
      <c r="H73" s="145"/>
      <c r="I73" s="20"/>
      <c r="J73" s="147" t="s">
        <v>24</v>
      </c>
      <c r="K73" s="144"/>
      <c r="L73" s="146"/>
      <c r="M73" s="35"/>
      <c r="N73" s="35"/>
      <c r="O73" s="2"/>
      <c r="P73" s="12"/>
      <c r="Q73" s="12"/>
      <c r="R73" s="12"/>
      <c r="S73" s="12"/>
      <c r="T73" s="2"/>
      <c r="U73" s="2"/>
      <c r="V73" s="2"/>
      <c r="W73" s="2"/>
      <c r="X73" s="12"/>
      <c r="Y73" s="12"/>
    </row>
    <row r="74" spans="2:25" ht="12" customHeight="1">
      <c r="B74" s="170"/>
      <c r="C74" s="205" t="s">
        <v>245</v>
      </c>
      <c r="D74" s="22" t="s">
        <v>536</v>
      </c>
      <c r="E74" s="205" t="s">
        <v>258</v>
      </c>
      <c r="F74" s="352" t="s">
        <v>433</v>
      </c>
      <c r="G74" s="436" t="s">
        <v>469</v>
      </c>
      <c r="H74" s="437" t="s">
        <v>482</v>
      </c>
      <c r="I74" s="438"/>
      <c r="J74" s="148"/>
      <c r="K74" s="200"/>
      <c r="L74" s="23" t="s">
        <v>25</v>
      </c>
      <c r="M74" s="35"/>
      <c r="N74" s="35"/>
      <c r="O74" s="2"/>
      <c r="P74" s="12"/>
      <c r="Q74" s="12"/>
      <c r="R74" s="12"/>
      <c r="S74" s="12"/>
      <c r="T74" s="2"/>
      <c r="U74" s="2"/>
      <c r="V74" s="2"/>
      <c r="W74" s="2"/>
      <c r="X74" s="12"/>
      <c r="Y74" s="12"/>
    </row>
    <row r="75" spans="2:25" ht="12" customHeight="1">
      <c r="B75" s="171"/>
      <c r="C75" s="24" t="s">
        <v>26</v>
      </c>
      <c r="D75" s="24" t="s">
        <v>13</v>
      </c>
      <c r="E75" s="24" t="s">
        <v>13</v>
      </c>
      <c r="F75" s="353" t="s">
        <v>434</v>
      </c>
      <c r="G75" s="353" t="s">
        <v>452</v>
      </c>
      <c r="H75" s="353" t="s">
        <v>483</v>
      </c>
      <c r="I75" s="439"/>
      <c r="J75" s="149" t="s">
        <v>27</v>
      </c>
      <c r="K75" s="24" t="s">
        <v>28</v>
      </c>
      <c r="L75" s="25" t="s">
        <v>259</v>
      </c>
      <c r="M75" s="35"/>
      <c r="N75" s="685" t="s">
        <v>522</v>
      </c>
      <c r="O75" s="2"/>
      <c r="P75" s="12"/>
      <c r="Q75" s="12"/>
      <c r="R75" s="12"/>
      <c r="S75" s="12"/>
      <c r="T75" s="2"/>
      <c r="U75" s="2"/>
      <c r="V75" s="2"/>
      <c r="W75" s="2"/>
      <c r="X75" s="12"/>
      <c r="Y75" s="12"/>
    </row>
    <row r="76" spans="2:25" ht="12" customHeight="1">
      <c r="B76" s="214" t="s">
        <v>295</v>
      </c>
      <c r="C76" s="201">
        <f>A!B1520</f>
        <v>353.51153267029258</v>
      </c>
      <c r="D76" s="201">
        <f>A!C1520</f>
        <v>385</v>
      </c>
      <c r="E76" s="201">
        <f>A!D1520</f>
        <v>385</v>
      </c>
      <c r="F76" s="201"/>
      <c r="G76" s="201">
        <f>A!F1520</f>
        <v>376.33800000001565</v>
      </c>
      <c r="H76" s="201">
        <f>A!G1520</f>
        <v>368</v>
      </c>
      <c r="I76" s="201"/>
      <c r="J76" s="150">
        <f t="shared" ref="J76:J93" si="9">MINA(C76:I76)</f>
        <v>353.51153267029258</v>
      </c>
      <c r="K76" s="201">
        <f t="shared" ref="K76:K93" si="10">MAXA(C76:I76)</f>
        <v>385</v>
      </c>
      <c r="L76" s="27">
        <f t="shared" ref="L76:L93" si="11">(K76-J76)/AVERAGE(C76:I76)</f>
        <v>8.4290695741136568E-2</v>
      </c>
      <c r="M76" s="35"/>
      <c r="N76" s="35">
        <f>A!H1520</f>
        <v>0</v>
      </c>
      <c r="O76" s="2"/>
      <c r="P76" s="12"/>
      <c r="Q76" s="12"/>
      <c r="R76" s="12"/>
      <c r="S76" s="12"/>
      <c r="T76" s="2"/>
      <c r="U76" s="2"/>
      <c r="V76" s="2"/>
      <c r="W76" s="2"/>
      <c r="X76" s="12"/>
      <c r="Y76" s="12"/>
    </row>
    <row r="77" spans="2:25" ht="12" customHeight="1">
      <c r="B77" s="215" t="s">
        <v>296</v>
      </c>
      <c r="C77" s="201">
        <f>A!B1521</f>
        <v>346.27670039468285</v>
      </c>
      <c r="D77" s="201">
        <f>A!C1521</f>
        <v>314</v>
      </c>
      <c r="E77" s="201">
        <f>A!D1521</f>
        <v>316</v>
      </c>
      <c r="F77" s="201"/>
      <c r="G77" s="201">
        <f>A!F1521</f>
        <v>348.37900000001946</v>
      </c>
      <c r="H77" s="201">
        <f>A!G1521</f>
        <v>358</v>
      </c>
      <c r="I77" s="35"/>
      <c r="J77" s="150">
        <f t="shared" si="9"/>
        <v>314</v>
      </c>
      <c r="K77" s="201">
        <f t="shared" si="10"/>
        <v>358</v>
      </c>
      <c r="L77" s="27">
        <f t="shared" si="11"/>
        <v>0.13074570154095955</v>
      </c>
      <c r="M77" s="35"/>
      <c r="N77" s="35">
        <f>A!H1521</f>
        <v>0</v>
      </c>
      <c r="O77" s="2"/>
      <c r="P77" s="12"/>
      <c r="Q77" s="12"/>
      <c r="R77" s="12"/>
      <c r="S77" s="12"/>
      <c r="T77" s="2"/>
      <c r="U77" s="2"/>
      <c r="V77" s="2"/>
      <c r="W77" s="2"/>
      <c r="X77" s="12"/>
      <c r="Y77" s="12"/>
    </row>
    <row r="78" spans="2:25" ht="12" customHeight="1">
      <c r="B78" s="215" t="s">
        <v>297</v>
      </c>
      <c r="C78" s="201">
        <f>A!B1522</f>
        <v>383.32536008485795</v>
      </c>
      <c r="D78" s="201">
        <f>A!C1522</f>
        <v>355</v>
      </c>
      <c r="E78" s="201">
        <f>A!D1522</f>
        <v>331</v>
      </c>
      <c r="F78" s="201"/>
      <c r="G78" s="201">
        <f>A!F1522</f>
        <v>400.99400000000423</v>
      </c>
      <c r="H78" s="201">
        <f>A!G1522</f>
        <v>370</v>
      </c>
      <c r="I78" s="35"/>
      <c r="J78" s="150">
        <f t="shared" si="9"/>
        <v>331</v>
      </c>
      <c r="K78" s="201">
        <f t="shared" si="10"/>
        <v>400.99400000000423</v>
      </c>
      <c r="L78" s="27">
        <f t="shared" si="11"/>
        <v>0.1901680803835499</v>
      </c>
      <c r="M78" s="35"/>
      <c r="N78" s="35">
        <f>A!H1522</f>
        <v>0</v>
      </c>
      <c r="O78" s="2"/>
      <c r="P78" s="12"/>
      <c r="Q78" s="12"/>
      <c r="R78" s="12"/>
      <c r="S78" s="12"/>
      <c r="T78" s="2"/>
      <c r="U78" s="2"/>
      <c r="V78" s="2"/>
      <c r="W78" s="2"/>
      <c r="X78" s="12"/>
      <c r="Y78" s="12"/>
    </row>
    <row r="79" spans="2:25" ht="12" customHeight="1">
      <c r="B79" s="215" t="s">
        <v>422</v>
      </c>
      <c r="C79" s="201">
        <f>A!B1523</f>
        <v>37.0486596901751</v>
      </c>
      <c r="D79" s="201">
        <f>A!C1523</f>
        <v>41</v>
      </c>
      <c r="E79" s="201">
        <f>A!D1523</f>
        <v>15</v>
      </c>
      <c r="F79" s="201"/>
      <c r="G79" s="201">
        <f>A!F1523</f>
        <v>52.614999999984775</v>
      </c>
      <c r="H79" s="201">
        <f>A!G1523</f>
        <v>12</v>
      </c>
      <c r="I79" s="35"/>
      <c r="J79" s="150">
        <f t="shared" si="9"/>
        <v>12</v>
      </c>
      <c r="K79" s="201">
        <f t="shared" si="10"/>
        <v>52.614999999984775</v>
      </c>
      <c r="L79" s="27">
        <f t="shared" si="11"/>
        <v>1.2880266790648283</v>
      </c>
      <c r="M79" s="35"/>
      <c r="N79" s="35">
        <f>A!H1523</f>
        <v>0</v>
      </c>
      <c r="O79" s="2"/>
      <c r="P79" s="12"/>
      <c r="Q79" s="12"/>
      <c r="R79" s="12"/>
      <c r="S79" s="12"/>
      <c r="T79" s="2"/>
      <c r="U79" s="2"/>
      <c r="V79" s="2"/>
      <c r="W79" s="2"/>
      <c r="X79" s="12"/>
      <c r="Y79" s="12"/>
    </row>
    <row r="80" spans="2:25" ht="12" customHeight="1">
      <c r="B80" s="215" t="s">
        <v>423</v>
      </c>
      <c r="C80" s="201">
        <f>A!B1524</f>
        <v>376.11484129759128</v>
      </c>
      <c r="D80" s="201">
        <f>A!C1524</f>
        <v>348</v>
      </c>
      <c r="E80" s="201">
        <f>A!D1524</f>
        <v>338</v>
      </c>
      <c r="F80" s="201"/>
      <c r="G80" s="201">
        <f>A!F1524</f>
        <v>386.06100000000652</v>
      </c>
      <c r="H80" s="201">
        <f>A!G1524</f>
        <v>361</v>
      </c>
      <c r="I80" s="35"/>
      <c r="J80" s="150">
        <f t="shared" si="9"/>
        <v>338</v>
      </c>
      <c r="K80" s="201">
        <f t="shared" si="10"/>
        <v>386.06100000000652</v>
      </c>
      <c r="L80" s="27">
        <f t="shared" si="11"/>
        <v>0.13282567372095699</v>
      </c>
      <c r="M80" s="35"/>
      <c r="N80" s="35">
        <f>A!H1524</f>
        <v>0</v>
      </c>
      <c r="O80" s="2"/>
      <c r="P80" s="12"/>
      <c r="Q80" s="12"/>
      <c r="R80" s="12"/>
      <c r="S80" s="12"/>
      <c r="T80" s="2"/>
      <c r="U80" s="2"/>
      <c r="V80" s="2"/>
      <c r="W80" s="2"/>
      <c r="X80" s="12"/>
      <c r="Y80" s="12"/>
    </row>
    <row r="81" spans="2:25" ht="12" customHeight="1">
      <c r="B81" s="215" t="s">
        <v>424</v>
      </c>
      <c r="C81" s="201">
        <f>A!B1525</f>
        <v>7.2105187872666647</v>
      </c>
      <c r="D81" s="201">
        <f>A!C1525</f>
        <v>7</v>
      </c>
      <c r="E81" s="201">
        <f>A!D1525</f>
        <v>-7</v>
      </c>
      <c r="F81" s="201"/>
      <c r="G81" s="201">
        <f>A!F1525</f>
        <v>14.932999999997719</v>
      </c>
      <c r="H81" s="201">
        <f>A!G1525</f>
        <v>9</v>
      </c>
      <c r="I81" s="35"/>
      <c r="J81" s="150">
        <f t="shared" si="9"/>
        <v>-7</v>
      </c>
      <c r="K81" s="201">
        <f t="shared" si="10"/>
        <v>14.932999999997719</v>
      </c>
      <c r="L81" s="27">
        <f t="shared" si="11"/>
        <v>3.521278399820198</v>
      </c>
      <c r="M81" s="35"/>
      <c r="N81" s="35">
        <f>A!H1525</f>
        <v>0</v>
      </c>
      <c r="O81" s="2"/>
      <c r="P81" s="12"/>
      <c r="Q81" s="12"/>
      <c r="R81" s="12"/>
      <c r="S81" s="12"/>
      <c r="T81" s="2"/>
      <c r="U81" s="2"/>
      <c r="V81" s="2"/>
      <c r="W81" s="2"/>
      <c r="X81" s="12"/>
      <c r="Y81" s="12"/>
    </row>
    <row r="82" spans="2:25" ht="12" customHeight="1">
      <c r="B82" s="215" t="s">
        <v>298</v>
      </c>
      <c r="C82" s="201">
        <f>A!B1526</f>
        <v>-360.10383961378966</v>
      </c>
      <c r="D82" s="201">
        <f>A!C1526</f>
        <v>-436</v>
      </c>
      <c r="E82" s="201">
        <f>A!D1526</f>
        <v>-435</v>
      </c>
      <c r="F82" s="201"/>
      <c r="G82" s="201">
        <f>A!F1526</f>
        <v>-357.87299999998731</v>
      </c>
      <c r="H82" s="201">
        <f>A!G1526</f>
        <v>-353</v>
      </c>
      <c r="I82" s="35"/>
      <c r="J82" s="150">
        <f t="shared" si="9"/>
        <v>-436</v>
      </c>
      <c r="K82" s="201">
        <f t="shared" si="10"/>
        <v>-353</v>
      </c>
      <c r="L82" s="27">
        <f t="shared" si="11"/>
        <v>-0.21369976795528406</v>
      </c>
      <c r="M82" s="35"/>
      <c r="N82" s="35">
        <f>A!H1526</f>
        <v>0</v>
      </c>
      <c r="O82" s="2"/>
      <c r="P82" s="12"/>
      <c r="Q82" s="12"/>
      <c r="R82" s="12"/>
      <c r="S82" s="12"/>
      <c r="T82" s="2"/>
      <c r="U82" s="2"/>
      <c r="V82" s="2"/>
      <c r="W82" s="2"/>
      <c r="X82" s="12"/>
      <c r="Y82" s="12"/>
    </row>
    <row r="83" spans="2:25" ht="12" customHeight="1">
      <c r="B83" s="215" t="s">
        <v>299</v>
      </c>
      <c r="C83" s="201">
        <f>A!B1527</f>
        <v>1912.7088974962621</v>
      </c>
      <c r="D83" s="201">
        <f>A!C1527</f>
        <v>1884</v>
      </c>
      <c r="E83" s="201">
        <f>A!D1527</f>
        <v>1879</v>
      </c>
      <c r="F83" s="201"/>
      <c r="G83" s="201">
        <f>A!F1527</f>
        <v>1939.6859999997582</v>
      </c>
      <c r="H83" s="201">
        <f>A!G1527</f>
        <v>1949</v>
      </c>
      <c r="I83" s="35"/>
      <c r="J83" s="150">
        <f t="shared" si="9"/>
        <v>1879</v>
      </c>
      <c r="K83" s="201">
        <f t="shared" si="10"/>
        <v>1949</v>
      </c>
      <c r="L83" s="27">
        <f t="shared" si="11"/>
        <v>3.6594055740173465E-2</v>
      </c>
      <c r="M83" s="35"/>
      <c r="N83" s="35">
        <f>A!H1527</f>
        <v>0</v>
      </c>
      <c r="O83" s="2"/>
      <c r="P83" s="12"/>
      <c r="Q83" s="12"/>
      <c r="R83" s="12"/>
      <c r="S83" s="12"/>
      <c r="T83" s="2"/>
      <c r="U83" s="2"/>
      <c r="V83" s="2"/>
      <c r="W83" s="2"/>
      <c r="X83" s="12"/>
      <c r="Y83" s="12"/>
    </row>
    <row r="84" spans="2:25" ht="12" customHeight="1">
      <c r="B84" s="215" t="s">
        <v>300</v>
      </c>
      <c r="C84" s="201">
        <f>A!B1528</f>
        <v>-414.0381129989496</v>
      </c>
      <c r="D84" s="201">
        <f>A!C1528</f>
        <v>-441</v>
      </c>
      <c r="E84" s="201">
        <f>A!D1528</f>
        <v>-437</v>
      </c>
      <c r="F84" s="201"/>
      <c r="G84" s="201"/>
      <c r="H84" s="201">
        <f>A!G1528</f>
        <v>-421</v>
      </c>
      <c r="I84" s="35"/>
      <c r="J84" s="150">
        <f t="shared" si="9"/>
        <v>-441</v>
      </c>
      <c r="K84" s="201">
        <f t="shared" si="10"/>
        <v>-414.0381129989496</v>
      </c>
      <c r="L84" s="27">
        <f t="shared" si="11"/>
        <v>-6.295688764063577E-2</v>
      </c>
      <c r="M84" s="35"/>
      <c r="N84" s="35">
        <f>A!H1528</f>
        <v>0</v>
      </c>
      <c r="O84" s="2"/>
      <c r="P84" s="12"/>
      <c r="Q84" s="12"/>
      <c r="R84" s="12"/>
      <c r="S84" s="12"/>
      <c r="T84" s="2"/>
      <c r="U84" s="2"/>
      <c r="V84" s="2"/>
      <c r="W84" s="2"/>
      <c r="X84" s="12"/>
      <c r="Y84" s="12"/>
    </row>
    <row r="85" spans="2:25" ht="12" customHeight="1">
      <c r="B85" s="215" t="s">
        <v>306</v>
      </c>
      <c r="C85" s="201">
        <f>A!B1529</f>
        <v>-406.30544541770291</v>
      </c>
      <c r="D85" s="201">
        <f>A!C1529</f>
        <v>-336</v>
      </c>
      <c r="E85" s="201">
        <f>A!D1529</f>
        <v>-333</v>
      </c>
      <c r="F85" s="201"/>
      <c r="G85" s="201"/>
      <c r="H85" s="201">
        <f>A!G1529</f>
        <v>-387</v>
      </c>
      <c r="I85" s="35"/>
      <c r="J85" s="150">
        <f t="shared" si="9"/>
        <v>-406.30544541770291</v>
      </c>
      <c r="K85" s="201">
        <f t="shared" si="10"/>
        <v>-333</v>
      </c>
      <c r="L85" s="27">
        <f t="shared" si="11"/>
        <v>-0.20052020088529027</v>
      </c>
      <c r="M85" s="35"/>
      <c r="N85" s="35">
        <f>A!H1529</f>
        <v>0</v>
      </c>
      <c r="O85" s="2"/>
      <c r="P85" s="12"/>
      <c r="Q85" s="12"/>
      <c r="R85" s="12"/>
      <c r="S85" s="12"/>
      <c r="T85" s="2"/>
      <c r="U85" s="2"/>
      <c r="V85" s="2"/>
      <c r="W85" s="2"/>
      <c r="X85" s="12"/>
      <c r="Y85" s="12"/>
    </row>
    <row r="86" spans="2:25" ht="12" customHeight="1">
      <c r="B86" s="215" t="s">
        <v>307</v>
      </c>
      <c r="C86" s="201">
        <f>A!B1530</f>
        <v>-251.82072975551137</v>
      </c>
      <c r="D86" s="201">
        <f>A!C1530</f>
        <v>-247</v>
      </c>
      <c r="E86" s="201">
        <f>A!D1530</f>
        <v>-206</v>
      </c>
      <c r="F86" s="201"/>
      <c r="G86" s="201"/>
      <c r="H86" s="201">
        <f>A!G1530</f>
        <v>-208</v>
      </c>
      <c r="I86" s="35"/>
      <c r="J86" s="150">
        <f t="shared" si="9"/>
        <v>-251.82072975551137</v>
      </c>
      <c r="K86" s="201">
        <f t="shared" si="10"/>
        <v>-206</v>
      </c>
      <c r="L86" s="27">
        <f t="shared" si="11"/>
        <v>-0.20078741975013617</v>
      </c>
      <c r="M86" s="35"/>
      <c r="N86" s="35">
        <f>A!H1530</f>
        <v>0</v>
      </c>
      <c r="O86" s="2"/>
      <c r="P86" s="12"/>
      <c r="Q86" s="12"/>
      <c r="R86" s="12"/>
      <c r="S86" s="12"/>
      <c r="T86" s="2"/>
      <c r="U86" s="2"/>
      <c r="V86" s="2"/>
      <c r="W86" s="2"/>
      <c r="X86" s="12"/>
      <c r="Y86" s="12"/>
    </row>
    <row r="87" spans="2:25" ht="12" customHeight="1">
      <c r="B87" s="215" t="s">
        <v>308</v>
      </c>
      <c r="C87" s="201">
        <f>A!B1531</f>
        <v>-340.83268775918395</v>
      </c>
      <c r="D87" s="201">
        <f>A!C1531</f>
        <v>-308</v>
      </c>
      <c r="E87" s="201">
        <f>A!D1531</f>
        <v>-322</v>
      </c>
      <c r="F87" s="201"/>
      <c r="G87" s="201"/>
      <c r="H87" s="201">
        <f>A!G1531</f>
        <v>-353</v>
      </c>
      <c r="I87" s="35"/>
      <c r="J87" s="150">
        <f t="shared" si="9"/>
        <v>-353</v>
      </c>
      <c r="K87" s="201">
        <f t="shared" si="10"/>
        <v>-308</v>
      </c>
      <c r="L87" s="27">
        <f t="shared" si="11"/>
        <v>-0.13596884384587993</v>
      </c>
      <c r="M87" s="35"/>
      <c r="N87" s="35">
        <f>A!H1531</f>
        <v>0</v>
      </c>
      <c r="O87" s="2"/>
      <c r="P87" s="12"/>
      <c r="Q87" s="12"/>
      <c r="R87" s="12"/>
      <c r="S87" s="12"/>
      <c r="T87" s="2"/>
      <c r="U87" s="2"/>
      <c r="V87" s="2"/>
      <c r="W87" s="2"/>
      <c r="X87" s="12"/>
      <c r="Y87" s="12"/>
    </row>
    <row r="88" spans="2:25" ht="12" customHeight="1">
      <c r="B88" s="215" t="s">
        <v>309</v>
      </c>
      <c r="C88" s="201">
        <f>A!B1532</f>
        <v>-218.05518187692451</v>
      </c>
      <c r="D88" s="201">
        <f>A!C1532</f>
        <v>-191</v>
      </c>
      <c r="E88" s="201">
        <f>A!D1532</f>
        <v>-198</v>
      </c>
      <c r="F88" s="201"/>
      <c r="G88" s="201"/>
      <c r="H88" s="201">
        <f>A!G1532</f>
        <v>-203</v>
      </c>
      <c r="I88" s="35"/>
      <c r="J88" s="150">
        <f t="shared" si="9"/>
        <v>-218.05518187692451</v>
      </c>
      <c r="K88" s="201">
        <f t="shared" si="10"/>
        <v>-191</v>
      </c>
      <c r="L88" s="27">
        <f t="shared" si="11"/>
        <v>-0.13359673504828035</v>
      </c>
      <c r="M88" s="35"/>
      <c r="N88" s="35">
        <f>A!H1532</f>
        <v>0</v>
      </c>
      <c r="O88" s="2"/>
      <c r="P88" s="12"/>
      <c r="Q88" s="12"/>
      <c r="R88" s="12"/>
      <c r="S88" s="12"/>
      <c r="T88" s="2"/>
      <c r="U88" s="2"/>
      <c r="V88" s="2"/>
      <c r="W88" s="2"/>
      <c r="X88" s="12"/>
      <c r="Y88" s="12"/>
    </row>
    <row r="89" spans="2:25" ht="12" customHeight="1">
      <c r="B89" s="215" t="s">
        <v>301</v>
      </c>
      <c r="C89" s="201">
        <f>A!B1533</f>
        <v>-480.55312008871579</v>
      </c>
      <c r="D89" s="201">
        <f>A!C1533</f>
        <v>-326</v>
      </c>
      <c r="E89" s="201">
        <f>A!D1533</f>
        <v>-327</v>
      </c>
      <c r="F89" s="201"/>
      <c r="G89" s="201">
        <f>A!F1533</f>
        <v>-414.62099999998759</v>
      </c>
      <c r="H89" s="201">
        <f>A!G1533</f>
        <v>-347</v>
      </c>
      <c r="I89" s="35"/>
      <c r="J89" s="150">
        <f t="shared" si="9"/>
        <v>-480.55312008871579</v>
      </c>
      <c r="K89" s="201">
        <f t="shared" si="10"/>
        <v>-326</v>
      </c>
      <c r="L89" s="27">
        <f t="shared" si="11"/>
        <v>-0.40775440749866809</v>
      </c>
      <c r="M89" s="35"/>
      <c r="N89" s="35">
        <f>A!H1533</f>
        <v>0</v>
      </c>
      <c r="O89" s="2"/>
      <c r="P89" s="12"/>
      <c r="Q89" s="12"/>
      <c r="R89" s="12"/>
      <c r="S89" s="12"/>
      <c r="T89" s="2"/>
      <c r="U89" s="2"/>
      <c r="V89" s="2"/>
      <c r="W89" s="2"/>
      <c r="X89" s="12"/>
      <c r="Y89" s="12"/>
    </row>
    <row r="90" spans="2:25" ht="12" customHeight="1">
      <c r="B90" s="215" t="s">
        <v>302</v>
      </c>
      <c r="C90" s="201">
        <f>A!B1534</f>
        <v>1461.0219374801136</v>
      </c>
      <c r="D90" s="201">
        <f>A!C1534</f>
        <v>1534</v>
      </c>
      <c r="E90" s="201">
        <f>A!D1534</f>
        <v>1534</v>
      </c>
      <c r="F90" s="201"/>
      <c r="G90" s="201">
        <f>A!F1534</f>
        <v>1498.8719999999973</v>
      </c>
      <c r="H90" s="201">
        <f>A!G1534</f>
        <v>1526</v>
      </c>
      <c r="I90" s="35"/>
      <c r="J90" s="150">
        <f t="shared" si="9"/>
        <v>1461.0219374801136</v>
      </c>
      <c r="K90" s="201">
        <f t="shared" si="10"/>
        <v>1534</v>
      </c>
      <c r="L90" s="27">
        <f t="shared" si="11"/>
        <v>4.8304929301291606E-2</v>
      </c>
      <c r="M90" s="35"/>
      <c r="N90" s="35">
        <f>A!H1534</f>
        <v>0</v>
      </c>
      <c r="O90" s="2"/>
      <c r="P90" s="12"/>
      <c r="Q90" s="12"/>
      <c r="R90" s="12"/>
      <c r="S90" s="12"/>
      <c r="T90" s="2"/>
      <c r="U90" s="2"/>
      <c r="V90" s="2"/>
      <c r="W90" s="2"/>
      <c r="X90" s="12"/>
      <c r="Y90" s="12"/>
    </row>
    <row r="91" spans="2:25" ht="12" customHeight="1">
      <c r="B91" s="215" t="s">
        <v>303</v>
      </c>
      <c r="C91" s="201">
        <f>A!B1535</f>
        <v>-728.88801086671174</v>
      </c>
      <c r="D91" s="201">
        <f>A!C1535</f>
        <v>-752</v>
      </c>
      <c r="E91" s="201">
        <f>A!D1535</f>
        <v>-750</v>
      </c>
      <c r="F91" s="201"/>
      <c r="G91" s="201">
        <f>A!F1535</f>
        <v>-745.6240000000339</v>
      </c>
      <c r="H91" s="201">
        <f>A!G1535</f>
        <v>-733</v>
      </c>
      <c r="I91" s="35"/>
      <c r="J91" s="150">
        <f t="shared" si="9"/>
        <v>-752</v>
      </c>
      <c r="K91" s="201">
        <f t="shared" si="10"/>
        <v>-728.88801086671174</v>
      </c>
      <c r="L91" s="27">
        <f t="shared" si="11"/>
        <v>-3.1152330907115774E-2</v>
      </c>
      <c r="M91" s="35"/>
      <c r="N91" s="35">
        <f>A!H1535</f>
        <v>0</v>
      </c>
      <c r="O91" s="2"/>
      <c r="P91" s="12"/>
      <c r="Q91" s="12"/>
      <c r="R91" s="12"/>
      <c r="S91" s="12"/>
      <c r="T91" s="2"/>
      <c r="U91" s="2"/>
      <c r="V91" s="2"/>
      <c r="W91" s="2"/>
      <c r="X91" s="12"/>
      <c r="Y91" s="12"/>
    </row>
    <row r="92" spans="2:25" ht="12" customHeight="1">
      <c r="B92" s="215" t="s">
        <v>304</v>
      </c>
      <c r="C92" s="201">
        <f>A!B1536</f>
        <v>-367.93897272712525</v>
      </c>
      <c r="D92" s="201">
        <f>A!C1536</f>
        <v>-395</v>
      </c>
      <c r="E92" s="201">
        <f>A!D1536</f>
        <v>-395</v>
      </c>
      <c r="F92" s="201"/>
      <c r="G92" s="201">
        <f>A!F1536</f>
        <v>-376.18500000000176</v>
      </c>
      <c r="H92" s="201">
        <f>A!G1536</f>
        <v>-391</v>
      </c>
      <c r="I92" s="35"/>
      <c r="J92" s="150">
        <f t="shared" si="9"/>
        <v>-395</v>
      </c>
      <c r="K92" s="201">
        <f t="shared" si="10"/>
        <v>-367.93897272712525</v>
      </c>
      <c r="L92" s="27">
        <f t="shared" si="11"/>
        <v>-7.0283856147041149E-2</v>
      </c>
      <c r="M92" s="35"/>
      <c r="N92" s="35">
        <f>A!H1536</f>
        <v>0</v>
      </c>
      <c r="O92" s="2"/>
      <c r="P92" s="12"/>
      <c r="Q92" s="12"/>
      <c r="R92" s="12"/>
      <c r="S92" s="12"/>
      <c r="T92" s="2"/>
      <c r="U92" s="2"/>
      <c r="V92" s="2"/>
      <c r="W92" s="2"/>
      <c r="X92" s="12"/>
      <c r="Y92" s="12"/>
    </row>
    <row r="93" spans="2:25" ht="12" customHeight="1" thickBot="1">
      <c r="B93" s="216" t="s">
        <v>305</v>
      </c>
      <c r="C93" s="29">
        <f>A!B1537</f>
        <v>-575.65122491419174</v>
      </c>
      <c r="D93" s="29">
        <f>A!C1537</f>
        <v>-606</v>
      </c>
      <c r="E93" s="29">
        <f>A!D1537</f>
        <v>-606</v>
      </c>
      <c r="F93" s="29"/>
      <c r="G93" s="29">
        <f>A!F1537</f>
        <v>-570.54500000000507</v>
      </c>
      <c r="H93" s="29">
        <f>A!G1537</f>
        <v>-589</v>
      </c>
      <c r="I93" s="142"/>
      <c r="J93" s="151">
        <f t="shared" si="9"/>
        <v>-606</v>
      </c>
      <c r="K93" s="29">
        <f t="shared" si="10"/>
        <v>-570.54500000000507</v>
      </c>
      <c r="L93" s="30">
        <f t="shared" si="11"/>
        <v>-6.015038920767337E-2</v>
      </c>
      <c r="M93" s="35"/>
      <c r="N93" s="35">
        <f>A!H1537</f>
        <v>0</v>
      </c>
      <c r="O93" s="2"/>
      <c r="P93" s="12"/>
      <c r="Q93" s="12"/>
      <c r="R93" s="12"/>
      <c r="S93" s="12"/>
      <c r="T93" s="2"/>
      <c r="U93" s="2"/>
      <c r="V93" s="2"/>
      <c r="W93" s="2"/>
      <c r="X93" s="12"/>
      <c r="Y93" s="12"/>
    </row>
    <row r="94" spans="2:25" ht="12" customHeight="1" thickTop="1">
      <c r="B94" s="18"/>
      <c r="C94" s="26"/>
      <c r="D94" s="32" t="s">
        <v>558</v>
      </c>
      <c r="E94" s="26"/>
      <c r="F94" s="26"/>
      <c r="G94" s="26"/>
      <c r="H94" s="26"/>
      <c r="I94" s="18"/>
      <c r="J94" s="18"/>
      <c r="K94" s="18"/>
      <c r="L94" s="18"/>
      <c r="M94" s="35"/>
      <c r="N94" s="35"/>
      <c r="O94" s="2"/>
      <c r="P94" s="12"/>
      <c r="Q94" s="12"/>
      <c r="R94" s="12"/>
      <c r="S94" s="12"/>
      <c r="T94" s="2"/>
      <c r="U94" s="2"/>
      <c r="V94" s="2"/>
      <c r="W94" s="2"/>
      <c r="X94" s="12"/>
      <c r="Y94" s="12"/>
    </row>
    <row r="95" spans="2:25" ht="12" customHeight="1">
      <c r="M95" s="35"/>
      <c r="N95" s="35"/>
      <c r="O95" s="2"/>
      <c r="P95" s="12"/>
      <c r="Q95" s="12"/>
      <c r="R95" s="12"/>
      <c r="S95" s="12"/>
      <c r="T95" s="2"/>
      <c r="U95" s="2"/>
      <c r="V95" s="2"/>
      <c r="W95" s="2"/>
      <c r="X95" s="12"/>
      <c r="Y95" s="12"/>
    </row>
    <row r="96" spans="2:25" ht="12" customHeight="1">
      <c r="M96" s="35"/>
      <c r="N96" s="35"/>
      <c r="O96" s="2"/>
      <c r="P96" s="12"/>
      <c r="Q96" s="12"/>
      <c r="R96" s="12"/>
      <c r="S96" s="12"/>
      <c r="T96" s="2"/>
      <c r="U96" s="2"/>
      <c r="V96" s="2"/>
      <c r="W96" s="2"/>
      <c r="X96" s="12"/>
      <c r="Y96" s="12"/>
    </row>
    <row r="97" spans="2:25" ht="12" customHeight="1">
      <c r="M97" s="35"/>
      <c r="N97" s="35"/>
      <c r="O97" s="2"/>
      <c r="P97" s="12"/>
      <c r="Q97" s="12"/>
      <c r="R97" s="12"/>
      <c r="S97" s="12"/>
      <c r="T97" s="2"/>
      <c r="U97" s="2"/>
      <c r="V97" s="2"/>
      <c r="W97" s="2"/>
      <c r="X97" s="12"/>
      <c r="Y97" s="12"/>
    </row>
    <row r="98" spans="2:25" ht="12" customHeight="1">
      <c r="M98" s="35"/>
      <c r="N98" s="35"/>
      <c r="O98" s="2"/>
      <c r="P98" s="12"/>
      <c r="Q98" s="12"/>
      <c r="R98" s="12"/>
      <c r="S98" s="12"/>
      <c r="T98" s="2"/>
      <c r="U98" s="2"/>
      <c r="V98" s="2"/>
      <c r="W98" s="2"/>
      <c r="X98" s="12"/>
      <c r="Y98" s="12"/>
    </row>
    <row r="99" spans="2:25" ht="15.75" customHeight="1" thickBot="1">
      <c r="B99" s="192" t="s">
        <v>326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35"/>
      <c r="N99" s="35"/>
      <c r="O99" s="2"/>
      <c r="P99" s="12"/>
      <c r="Q99" s="12"/>
      <c r="R99" s="12"/>
      <c r="S99" s="12"/>
      <c r="T99" s="2"/>
      <c r="U99" s="2"/>
      <c r="V99" s="2"/>
      <c r="W99" s="2"/>
      <c r="X99" s="12"/>
      <c r="Y99" s="12"/>
    </row>
    <row r="100" spans="2:25" ht="12" customHeight="1" thickTop="1">
      <c r="B100" s="19" t="s">
        <v>263</v>
      </c>
      <c r="C100" s="144"/>
      <c r="D100" s="145"/>
      <c r="E100" s="144"/>
      <c r="F100" s="145"/>
      <c r="G100" s="145"/>
      <c r="H100" s="145"/>
      <c r="I100" s="140"/>
      <c r="J100" s="20" t="s">
        <v>24</v>
      </c>
      <c r="K100" s="144"/>
      <c r="L100" s="146"/>
      <c r="N100" s="673"/>
      <c r="Y100" s="12"/>
    </row>
    <row r="101" spans="2:25" ht="12" customHeight="1">
      <c r="B101" s="170"/>
      <c r="C101" s="205" t="s">
        <v>245</v>
      </c>
      <c r="D101" s="22" t="s">
        <v>536</v>
      </c>
      <c r="E101" s="205" t="s">
        <v>258</v>
      </c>
      <c r="F101" s="352" t="s">
        <v>433</v>
      </c>
      <c r="G101" s="436" t="s">
        <v>469</v>
      </c>
      <c r="H101" s="437" t="s">
        <v>482</v>
      </c>
      <c r="I101" s="438"/>
      <c r="J101" s="200"/>
      <c r="K101" s="200"/>
      <c r="L101" s="23" t="s">
        <v>25</v>
      </c>
      <c r="N101" s="673"/>
      <c r="Y101" s="12"/>
    </row>
    <row r="102" spans="2:25" ht="12" customHeight="1">
      <c r="B102" s="171"/>
      <c r="C102" s="24" t="s">
        <v>26</v>
      </c>
      <c r="D102" s="24" t="s">
        <v>13</v>
      </c>
      <c r="E102" s="24" t="s">
        <v>13</v>
      </c>
      <c r="F102" s="353" t="s">
        <v>434</v>
      </c>
      <c r="G102" s="353" t="s">
        <v>452</v>
      </c>
      <c r="H102" s="353" t="s">
        <v>483</v>
      </c>
      <c r="I102" s="439"/>
      <c r="J102" s="24" t="s">
        <v>27</v>
      </c>
      <c r="K102" s="24" t="s">
        <v>28</v>
      </c>
      <c r="L102" s="25" t="s">
        <v>259</v>
      </c>
      <c r="N102" s="685" t="s">
        <v>522</v>
      </c>
      <c r="Y102" s="12"/>
    </row>
    <row r="103" spans="2:25" ht="12" customHeight="1">
      <c r="B103" s="214" t="s">
        <v>295</v>
      </c>
      <c r="C103" s="201">
        <f>A!B1610</f>
        <v>-405.37097200003336</v>
      </c>
      <c r="D103" s="201">
        <f>A!C1610</f>
        <v>504.13199999999779</v>
      </c>
      <c r="E103" s="201">
        <f>A!D1610</f>
        <v>507.94230000000971</v>
      </c>
      <c r="F103" s="201">
        <f>A!E1610</f>
        <v>-100.43560256171622</v>
      </c>
      <c r="G103" s="201">
        <f>A!F1610</f>
        <v>-24.393000000018219</v>
      </c>
      <c r="H103" s="201">
        <f>A!G1610</f>
        <v>-108</v>
      </c>
      <c r="I103" s="442"/>
      <c r="J103" s="201">
        <f t="shared" ref="J103:J120" si="12">MINA(C103:I103)</f>
        <v>-405.37097200003336</v>
      </c>
      <c r="K103" s="201">
        <f t="shared" ref="K103:K120" si="13">MAXA(C103:I103)</f>
        <v>507.94230000000971</v>
      </c>
      <c r="L103" s="27">
        <f t="shared" ref="L103:L120" si="14">(K103-J103)/AVERAGE(C103:I103)</f>
        <v>14.656994065530858</v>
      </c>
      <c r="N103" s="676">
        <f>A!H1610</f>
        <v>0</v>
      </c>
      <c r="Y103" s="12"/>
    </row>
    <row r="104" spans="2:25" ht="12" customHeight="1">
      <c r="B104" s="215" t="s">
        <v>296</v>
      </c>
      <c r="C104" s="201">
        <f>A!B1611</f>
        <v>6197.4568829997443</v>
      </c>
      <c r="D104" s="201">
        <f>A!C1611</f>
        <v>6900.1601999999912</v>
      </c>
      <c r="E104" s="201">
        <f>A!D1611</f>
        <v>6942.0734999999986</v>
      </c>
      <c r="F104" s="201">
        <f>A!E1611</f>
        <v>6585.5913626223482</v>
      </c>
      <c r="G104" s="201">
        <f>A!F1611</f>
        <v>6799.3390000001455</v>
      </c>
      <c r="H104" s="201">
        <f>A!G1611</f>
        <v>7543</v>
      </c>
      <c r="I104" s="141"/>
      <c r="J104" s="201">
        <f t="shared" si="12"/>
        <v>6197.4568829997443</v>
      </c>
      <c r="K104" s="201">
        <f t="shared" si="13"/>
        <v>7543</v>
      </c>
      <c r="L104" s="27">
        <f t="shared" si="14"/>
        <v>0.19706437707763055</v>
      </c>
      <c r="N104" s="676">
        <f>A!H1611</f>
        <v>0</v>
      </c>
      <c r="Y104" s="12"/>
    </row>
    <row r="105" spans="2:25" ht="12" customHeight="1">
      <c r="B105" s="215" t="s">
        <v>297</v>
      </c>
      <c r="C105" s="201">
        <f>A!B1612</f>
        <v>6421.6280599997845</v>
      </c>
      <c r="D105" s="201">
        <f>A!C1612</f>
        <v>7514.2046999999948</v>
      </c>
      <c r="E105" s="201">
        <f>A!D1612</f>
        <v>7522.9976999999999</v>
      </c>
      <c r="F105" s="201">
        <f>A!E1612</f>
        <v>7908.0123132445588</v>
      </c>
      <c r="G105" s="201">
        <f>A!F1612</f>
        <v>7439.9940000001443</v>
      </c>
      <c r="H105" s="201">
        <f>A!G1612</f>
        <v>6631</v>
      </c>
      <c r="I105" s="141"/>
      <c r="J105" s="201">
        <f t="shared" si="12"/>
        <v>6421.6280599997845</v>
      </c>
      <c r="K105" s="201">
        <f t="shared" si="13"/>
        <v>7908.0123132445588</v>
      </c>
      <c r="L105" s="27">
        <f t="shared" si="14"/>
        <v>0.20531191656767475</v>
      </c>
      <c r="N105" s="676">
        <f>A!H1612</f>
        <v>0</v>
      </c>
      <c r="Y105" s="12"/>
    </row>
    <row r="106" spans="2:25" ht="12" customHeight="1">
      <c r="B106" s="215" t="s">
        <v>422</v>
      </c>
      <c r="C106" s="201">
        <f>A!B1613</f>
        <v>224.17117700004019</v>
      </c>
      <c r="D106" s="201">
        <f>A!C1613</f>
        <v>614.04450000000361</v>
      </c>
      <c r="E106" s="201">
        <f>A!D1613</f>
        <v>580.92420000000129</v>
      </c>
      <c r="F106" s="201">
        <f>A!E1613</f>
        <v>1322.4209506222105</v>
      </c>
      <c r="G106" s="201">
        <f>A!F1613</f>
        <v>640.65499999999884</v>
      </c>
      <c r="H106" s="201">
        <f>A!G1613</f>
        <v>-912</v>
      </c>
      <c r="I106" s="141"/>
      <c r="J106" s="150">
        <f t="shared" si="12"/>
        <v>-912</v>
      </c>
      <c r="K106" s="201">
        <f t="shared" si="13"/>
        <v>1322.4209506222105</v>
      </c>
      <c r="L106" s="27">
        <f t="shared" si="14"/>
        <v>5.4272689672780245</v>
      </c>
      <c r="N106" s="676">
        <f>A!H1613</f>
        <v>0</v>
      </c>
      <c r="Y106" s="12"/>
    </row>
    <row r="107" spans="2:25" ht="12" customHeight="1">
      <c r="B107" s="215" t="s">
        <v>423</v>
      </c>
      <c r="C107" s="201">
        <f>A!B1614</f>
        <v>6370.8576229997998</v>
      </c>
      <c r="D107" s="201">
        <f>A!C1614</f>
        <v>7256.5697999999902</v>
      </c>
      <c r="E107" s="201">
        <f>A!D1614</f>
        <v>7305.8106000000116</v>
      </c>
      <c r="F107" s="201">
        <f>A!E1614</f>
        <v>7225.3169394542492</v>
      </c>
      <c r="G107" s="201">
        <f>A!F1614</f>
        <v>7171.0950000002413</v>
      </c>
      <c r="H107" s="201">
        <f>A!G1614</f>
        <v>6215</v>
      </c>
      <c r="I107" s="141"/>
      <c r="J107" s="150">
        <f t="shared" si="12"/>
        <v>6215</v>
      </c>
      <c r="K107" s="201">
        <f t="shared" si="13"/>
        <v>7305.8106000000116</v>
      </c>
      <c r="L107" s="27">
        <f t="shared" si="14"/>
        <v>0.15753806099979054</v>
      </c>
      <c r="N107" s="676">
        <f>A!H1614</f>
        <v>0</v>
      </c>
      <c r="Y107" s="12"/>
    </row>
    <row r="108" spans="2:25" ht="12" customHeight="1">
      <c r="B108" s="215" t="s">
        <v>424</v>
      </c>
      <c r="C108" s="201">
        <f>A!B1615</f>
        <v>50.770436999984668</v>
      </c>
      <c r="D108" s="201">
        <f>A!C1615</f>
        <v>257.63490000000456</v>
      </c>
      <c r="E108" s="201">
        <f>A!D1615</f>
        <v>217.18709999998828</v>
      </c>
      <c r="F108" s="201">
        <f>A!E1615</f>
        <v>682.69537379030953</v>
      </c>
      <c r="G108" s="201">
        <f>A!F1615</f>
        <v>268.89899999990303</v>
      </c>
      <c r="H108" s="201">
        <f>A!G1615</f>
        <v>416</v>
      </c>
      <c r="I108" s="141"/>
      <c r="J108" s="150">
        <f t="shared" si="12"/>
        <v>50.770436999984668</v>
      </c>
      <c r="K108" s="201">
        <f t="shared" si="13"/>
        <v>682.69537379030953</v>
      </c>
      <c r="L108" s="27">
        <f t="shared" si="14"/>
        <v>2.0027340139557639</v>
      </c>
      <c r="N108" s="676">
        <f>A!H1615</f>
        <v>0</v>
      </c>
      <c r="Y108" s="12"/>
    </row>
    <row r="109" spans="2:25" ht="12" customHeight="1">
      <c r="B109" s="215" t="s">
        <v>298</v>
      </c>
      <c r="C109" s="201">
        <f>A!B1616</f>
        <v>-6290.918063000332</v>
      </c>
      <c r="D109" s="201">
        <f>A!C1616</f>
        <v>-8112.4218000000037</v>
      </c>
      <c r="E109" s="201">
        <f>A!D1616</f>
        <v>-8128.2491999999984</v>
      </c>
      <c r="F109" s="201">
        <f>A!E1616</f>
        <v>-6830.4744029793801</v>
      </c>
      <c r="G109" s="201">
        <f>A!F1616</f>
        <v>-6620.6630000002115</v>
      </c>
      <c r="H109" s="201">
        <f>A!G1616</f>
        <v>-6423</v>
      </c>
      <c r="I109" s="141"/>
      <c r="J109" s="201">
        <f t="shared" si="12"/>
        <v>-8128.2491999999984</v>
      </c>
      <c r="K109" s="201">
        <f t="shared" si="13"/>
        <v>-6290.918063000332</v>
      </c>
      <c r="L109" s="27">
        <f t="shared" si="14"/>
        <v>-0.25996457886040492</v>
      </c>
      <c r="N109" s="676">
        <f>A!H1616</f>
        <v>0</v>
      </c>
      <c r="Y109" s="12"/>
    </row>
    <row r="110" spans="2:25" ht="12" customHeight="1">
      <c r="B110" s="215" t="s">
        <v>299</v>
      </c>
      <c r="C110" s="201">
        <f>A!B1617</f>
        <v>78315.086707999581</v>
      </c>
      <c r="D110" s="201">
        <f>A!C1617</f>
        <v>79122.931200000006</v>
      </c>
      <c r="E110" s="201">
        <f>A!D1617</f>
        <v>79134.948300000018</v>
      </c>
      <c r="F110" s="201">
        <f>A!E1617</f>
        <v>79545.053409443106</v>
      </c>
      <c r="G110" s="201">
        <f>A!F1617</f>
        <v>78996.242000000784</v>
      </c>
      <c r="H110" s="201">
        <f>A!G1617</f>
        <v>79506</v>
      </c>
      <c r="I110" s="141"/>
      <c r="J110" s="201">
        <f t="shared" si="12"/>
        <v>78315.086707999581</v>
      </c>
      <c r="K110" s="201">
        <f t="shared" si="13"/>
        <v>79545.053409443106</v>
      </c>
      <c r="L110" s="27">
        <f t="shared" si="14"/>
        <v>1.5548852009629265E-2</v>
      </c>
      <c r="N110" s="676">
        <f>A!H1617</f>
        <v>0</v>
      </c>
      <c r="Y110" s="12"/>
    </row>
    <row r="111" spans="2:25" ht="12" customHeight="1">
      <c r="B111" s="215" t="s">
        <v>300</v>
      </c>
      <c r="C111" s="201">
        <f>A!B1618</f>
        <v>-14709.388924000181</v>
      </c>
      <c r="D111" s="201">
        <f>A!C1618</f>
        <v>-14377.727400000003</v>
      </c>
      <c r="E111" s="201">
        <f>A!D1618</f>
        <v>-14367.761999999995</v>
      </c>
      <c r="F111" s="201">
        <f>A!E1618</f>
        <v>-14566.844239012011</v>
      </c>
      <c r="G111" s="201"/>
      <c r="H111" s="201">
        <f>A!G1618</f>
        <v>-14010</v>
      </c>
      <c r="I111" s="141"/>
      <c r="J111" s="201">
        <f t="shared" si="12"/>
        <v>-14709.388924000181</v>
      </c>
      <c r="K111" s="201">
        <f t="shared" si="13"/>
        <v>-14010</v>
      </c>
      <c r="L111" s="27">
        <f t="shared" si="14"/>
        <v>-4.8547285773179086E-2</v>
      </c>
      <c r="N111" s="676">
        <f>A!H1618</f>
        <v>0</v>
      </c>
      <c r="Y111" s="12"/>
    </row>
    <row r="112" spans="2:25" ht="12" customHeight="1">
      <c r="B112" s="215" t="s">
        <v>306</v>
      </c>
      <c r="C112" s="201">
        <f>A!B1619</f>
        <v>-10985.102862000153</v>
      </c>
      <c r="D112" s="201">
        <f>A!C1619</f>
        <v>-8138.2146000000066</v>
      </c>
      <c r="E112" s="201">
        <f>A!D1619</f>
        <v>-8144.9558999999863</v>
      </c>
      <c r="F112" s="201"/>
      <c r="G112" s="201"/>
      <c r="H112" s="201">
        <f>A!G1619</f>
        <v>-9606</v>
      </c>
      <c r="I112" s="141"/>
      <c r="J112" s="201">
        <f t="shared" si="12"/>
        <v>-10985.102862000153</v>
      </c>
      <c r="K112" s="201">
        <f t="shared" si="13"/>
        <v>-8138.2146000000066</v>
      </c>
      <c r="L112" s="27">
        <f t="shared" si="14"/>
        <v>-0.30882108336637054</v>
      </c>
      <c r="N112" s="676">
        <f>A!H1619</f>
        <v>0</v>
      </c>
      <c r="Y112" s="12"/>
    </row>
    <row r="113" spans="2:25" ht="12" customHeight="1">
      <c r="B113" s="215" t="s">
        <v>307</v>
      </c>
      <c r="C113" s="201">
        <f>A!B1620</f>
        <v>-6271.9237800000992</v>
      </c>
      <c r="D113" s="201">
        <f>A!C1620</f>
        <v>-6130.7727000000014</v>
      </c>
      <c r="E113" s="201">
        <f>A!D1620</f>
        <v>-5192.5595999999932</v>
      </c>
      <c r="F113" s="201">
        <f>A!E1620</f>
        <v>-5721.4243741610553</v>
      </c>
      <c r="G113" s="201"/>
      <c r="H113" s="201">
        <f>A!G1620</f>
        <v>-5207</v>
      </c>
      <c r="I113" s="141"/>
      <c r="J113" s="201">
        <f t="shared" si="12"/>
        <v>-6271.9237800000992</v>
      </c>
      <c r="K113" s="201">
        <f t="shared" si="13"/>
        <v>-5192.5595999999932</v>
      </c>
      <c r="L113" s="27">
        <f t="shared" si="14"/>
        <v>-0.18920492776777059</v>
      </c>
      <c r="N113" s="676">
        <f>A!H1620</f>
        <v>0</v>
      </c>
      <c r="Y113" s="12"/>
    </row>
    <row r="114" spans="2:25" ht="12" customHeight="1">
      <c r="B114" s="215" t="s">
        <v>308</v>
      </c>
      <c r="C114" s="201">
        <f>A!B1621</f>
        <v>-8798.4021940000894</v>
      </c>
      <c r="D114" s="201">
        <f>A!C1621</f>
        <v>-8065.5258000000103</v>
      </c>
      <c r="E114" s="201">
        <f>A!D1621</f>
        <v>-8350.7120999999897</v>
      </c>
      <c r="F114" s="201">
        <f>A!E1621</f>
        <v>-8254.3534204467214</v>
      </c>
      <c r="G114" s="201"/>
      <c r="H114" s="201">
        <f>A!G1621</f>
        <v>-9048</v>
      </c>
      <c r="I114" s="141"/>
      <c r="J114" s="201">
        <f t="shared" si="12"/>
        <v>-9048</v>
      </c>
      <c r="K114" s="201">
        <f t="shared" si="13"/>
        <v>-8065.5258000000103</v>
      </c>
      <c r="L114" s="27">
        <f t="shared" si="14"/>
        <v>-0.11553900203058286</v>
      </c>
      <c r="N114" s="676">
        <f>A!H1621</f>
        <v>0</v>
      </c>
      <c r="Y114" s="12"/>
    </row>
    <row r="115" spans="2:25" ht="12" customHeight="1">
      <c r="B115" s="215" t="s">
        <v>309</v>
      </c>
      <c r="C115" s="201">
        <f>A!B1622</f>
        <v>-5785.6759560000282</v>
      </c>
      <c r="D115" s="201">
        <f>A!C1622</f>
        <v>-5204.2836000000098</v>
      </c>
      <c r="E115" s="201">
        <f>A!D1622</f>
        <v>-5312.7305999999953</v>
      </c>
      <c r="F115" s="201">
        <f>A!E1622</f>
        <v>-5165.0306461699947</v>
      </c>
      <c r="G115" s="201"/>
      <c r="H115" s="201">
        <f>A!G1622</f>
        <v>-5406</v>
      </c>
      <c r="I115" s="141"/>
      <c r="J115" s="201">
        <f t="shared" si="12"/>
        <v>-5785.6759560000282</v>
      </c>
      <c r="K115" s="201">
        <f t="shared" si="13"/>
        <v>-5165.0306461699947</v>
      </c>
      <c r="L115" s="27">
        <f t="shared" si="14"/>
        <v>-0.11547439120896072</v>
      </c>
      <c r="N115" s="676">
        <f>A!H1622</f>
        <v>0</v>
      </c>
      <c r="Y115" s="12"/>
    </row>
    <row r="116" spans="2:25" ht="12" customHeight="1">
      <c r="B116" s="215" t="s">
        <v>301</v>
      </c>
      <c r="C116" s="201">
        <f>A!B1623</f>
        <v>-11617.948439000036</v>
      </c>
      <c r="D116" s="201">
        <f>A!C1623</f>
        <v>-8147.0076000000117</v>
      </c>
      <c r="E116" s="201">
        <f>A!D1623</f>
        <v>-8158.7315999999846</v>
      </c>
      <c r="F116" s="201">
        <f>A!E1623</f>
        <v>-7808.6231142087126</v>
      </c>
      <c r="G116" s="201">
        <f>A!F1623</f>
        <v>-10335.240000000398</v>
      </c>
      <c r="H116" s="201">
        <f>A!G1623</f>
        <v>-7661</v>
      </c>
      <c r="I116" s="141"/>
      <c r="J116" s="201">
        <f t="shared" si="12"/>
        <v>-11617.948439000036</v>
      </c>
      <c r="K116" s="201">
        <f t="shared" si="13"/>
        <v>-7661</v>
      </c>
      <c r="L116" s="27">
        <f t="shared" si="14"/>
        <v>-0.44188220789823096</v>
      </c>
      <c r="N116" s="676">
        <f>A!H1623</f>
        <v>0</v>
      </c>
      <c r="Y116" s="12"/>
    </row>
    <row r="117" spans="2:25" ht="12" customHeight="1">
      <c r="B117" s="215" t="s">
        <v>302</v>
      </c>
      <c r="C117" s="201">
        <f>A!B1624</f>
        <v>43046.197719999916</v>
      </c>
      <c r="D117" s="201">
        <f>A!C1624</f>
        <v>45710.117399999996</v>
      </c>
      <c r="E117" s="201">
        <f>A!D1624</f>
        <v>45709.824299999993</v>
      </c>
      <c r="F117" s="201">
        <f>A!E1624</f>
        <v>44950.355650157813</v>
      </c>
      <c r="G117" s="201">
        <f>A!F1624</f>
        <v>43050.834000000781</v>
      </c>
      <c r="H117" s="201">
        <f>A!G1624</f>
        <v>45083</v>
      </c>
      <c r="I117" s="141"/>
      <c r="J117" s="201">
        <f t="shared" si="12"/>
        <v>43046.197719999916</v>
      </c>
      <c r="K117" s="201">
        <f t="shared" si="13"/>
        <v>45710.117399999996</v>
      </c>
      <c r="L117" s="27">
        <f t="shared" si="14"/>
        <v>5.9740229569327827E-2</v>
      </c>
      <c r="N117" s="676">
        <f>A!H1624</f>
        <v>0</v>
      </c>
      <c r="Y117" s="12"/>
    </row>
    <row r="118" spans="2:25" ht="12" customHeight="1">
      <c r="B118" s="215" t="s">
        <v>303</v>
      </c>
      <c r="C118" s="201">
        <f>A!B1625</f>
        <v>-130.60374799993588</v>
      </c>
      <c r="D118" s="201">
        <f>A!C1625</f>
        <v>-883.98960000000079</v>
      </c>
      <c r="E118" s="201">
        <f>A!D1625</f>
        <v>-882.23099999999249</v>
      </c>
      <c r="F118" s="201">
        <f>A!E1625</f>
        <v>-1187.4385179241217</v>
      </c>
      <c r="G118" s="201">
        <f>A!F1625</f>
        <v>-201.61899999979505</v>
      </c>
      <c r="H118" s="201">
        <f>A!G1625</f>
        <v>-949</v>
      </c>
      <c r="I118" s="141"/>
      <c r="J118" s="201">
        <f t="shared" si="12"/>
        <v>-1187.4385179241217</v>
      </c>
      <c r="K118" s="201">
        <f t="shared" si="13"/>
        <v>-130.60374799993588</v>
      </c>
      <c r="L118" s="27">
        <f t="shared" si="14"/>
        <v>-1.4973283364922896</v>
      </c>
      <c r="N118" s="676">
        <f>A!H1625</f>
        <v>0</v>
      </c>
      <c r="Y118" s="12"/>
    </row>
    <row r="119" spans="2:25" ht="12" customHeight="1">
      <c r="B119" s="215" t="s">
        <v>304</v>
      </c>
      <c r="C119" s="201">
        <f>A!B1626</f>
        <v>2.0479500000001281</v>
      </c>
      <c r="D119" s="201">
        <f>A!C1626</f>
        <v>-1076.263199999994</v>
      </c>
      <c r="E119" s="201">
        <f>A!D1626</f>
        <v>-1075.9701000000132</v>
      </c>
      <c r="F119" s="201">
        <f>A!E1626</f>
        <v>-369.13008963198808</v>
      </c>
      <c r="G119" s="201">
        <f>A!F1626</f>
        <v>0</v>
      </c>
      <c r="H119" s="201">
        <f>A!G1626</f>
        <v>-528</v>
      </c>
      <c r="I119" s="141"/>
      <c r="J119" s="201">
        <f t="shared" si="12"/>
        <v>-1076.263199999994</v>
      </c>
      <c r="K119" s="201">
        <f t="shared" si="13"/>
        <v>2.0479500000001281</v>
      </c>
      <c r="L119" s="27">
        <f t="shared" si="14"/>
        <v>-2.1231365863395122</v>
      </c>
      <c r="N119" s="676">
        <f>A!H1626</f>
        <v>0</v>
      </c>
      <c r="Y119" s="12"/>
    </row>
    <row r="120" spans="2:25" ht="12" customHeight="1" thickBot="1">
      <c r="B120" s="216" t="s">
        <v>305</v>
      </c>
      <c r="C120" s="29">
        <f>A!B1627</f>
        <v>-130.49553499999456</v>
      </c>
      <c r="D120" s="29">
        <f>A!C1627</f>
        <v>-808.66290000000299</v>
      </c>
      <c r="E120" s="29">
        <f>A!D1627</f>
        <v>-808.66290000000299</v>
      </c>
      <c r="F120" s="29">
        <f>A!E1627</f>
        <v>-837.52327862627135</v>
      </c>
      <c r="G120" s="29">
        <f>A!F1627</f>
        <v>-201.64199999980337</v>
      </c>
      <c r="H120" s="29">
        <f>A!G1627</f>
        <v>-792</v>
      </c>
      <c r="I120" s="142"/>
      <c r="J120" s="29">
        <f t="shared" si="12"/>
        <v>-837.52327862627135</v>
      </c>
      <c r="K120" s="29">
        <f t="shared" si="13"/>
        <v>-130.49553499999456</v>
      </c>
      <c r="L120" s="30">
        <f t="shared" si="14"/>
        <v>-1.1852982197828563</v>
      </c>
      <c r="N120" s="676">
        <f>A!H1627</f>
        <v>0</v>
      </c>
      <c r="Y120" s="12"/>
    </row>
    <row r="121" spans="2:25" ht="12" customHeight="1" thickTop="1">
      <c r="B121" s="19" t="s">
        <v>262</v>
      </c>
      <c r="C121" s="144"/>
      <c r="D121" s="145"/>
      <c r="E121" s="144"/>
      <c r="F121" s="145"/>
      <c r="G121" s="145"/>
      <c r="H121" s="145"/>
      <c r="I121" s="140"/>
      <c r="J121" s="20" t="s">
        <v>24</v>
      </c>
      <c r="K121" s="144"/>
      <c r="L121" s="146"/>
      <c r="M121" s="35"/>
      <c r="N121" s="673"/>
      <c r="Y121" s="12"/>
    </row>
    <row r="122" spans="2:25" ht="12" customHeight="1">
      <c r="B122" s="170"/>
      <c r="C122" s="205" t="s">
        <v>245</v>
      </c>
      <c r="D122" s="22" t="s">
        <v>536</v>
      </c>
      <c r="E122" s="205" t="s">
        <v>258</v>
      </c>
      <c r="F122" s="352" t="s">
        <v>433</v>
      </c>
      <c r="G122" s="436" t="s">
        <v>469</v>
      </c>
      <c r="H122" s="437" t="s">
        <v>482</v>
      </c>
      <c r="I122" s="438"/>
      <c r="J122" s="200"/>
      <c r="K122" s="200"/>
      <c r="L122" s="23" t="s">
        <v>25</v>
      </c>
      <c r="M122" s="35"/>
      <c r="N122" s="686"/>
      <c r="O122" s="12"/>
      <c r="P122" s="12"/>
      <c r="Q122" s="32"/>
      <c r="R122" s="12"/>
      <c r="S122" s="12"/>
      <c r="T122" s="12"/>
      <c r="U122" s="2"/>
      <c r="V122" s="12"/>
      <c r="W122" s="12"/>
      <c r="X122" s="17"/>
      <c r="Y122" s="12"/>
    </row>
    <row r="123" spans="2:25" ht="12" customHeight="1">
      <c r="B123" s="171"/>
      <c r="C123" s="24" t="s">
        <v>26</v>
      </c>
      <c r="D123" s="24" t="s">
        <v>13</v>
      </c>
      <c r="E123" s="24" t="s">
        <v>13</v>
      </c>
      <c r="F123" s="353" t="s">
        <v>434</v>
      </c>
      <c r="G123" s="353" t="s">
        <v>452</v>
      </c>
      <c r="H123" s="353" t="s">
        <v>483</v>
      </c>
      <c r="I123" s="439"/>
      <c r="J123" s="24" t="s">
        <v>27</v>
      </c>
      <c r="K123" s="24" t="s">
        <v>28</v>
      </c>
      <c r="L123" s="25" t="s">
        <v>259</v>
      </c>
      <c r="M123" s="35"/>
      <c r="N123" s="685" t="s">
        <v>522</v>
      </c>
      <c r="O123" s="12"/>
      <c r="P123" s="12"/>
      <c r="Q123" s="32"/>
      <c r="R123" s="12"/>
      <c r="S123" s="12"/>
      <c r="T123" s="12"/>
      <c r="U123" s="2"/>
      <c r="V123" s="12"/>
      <c r="W123" s="12"/>
      <c r="X123" s="17"/>
      <c r="Y123" s="12"/>
    </row>
    <row r="124" spans="2:25" ht="12" customHeight="1">
      <c r="B124" s="214" t="s">
        <v>295</v>
      </c>
      <c r="C124" s="201">
        <f>A!B1640</f>
        <v>19320.635055107134</v>
      </c>
      <c r="D124" s="201">
        <f>A!C1640</f>
        <v>19607.217600000004</v>
      </c>
      <c r="E124" s="201">
        <f>A!D1640</f>
        <v>19612.2003</v>
      </c>
      <c r="F124" s="201">
        <f>A!E1640</f>
        <v>19118.098969233924</v>
      </c>
      <c r="G124" s="201">
        <f>A!F1640</f>
        <v>19575.692999999996</v>
      </c>
      <c r="H124" s="201">
        <f>A!G1640</f>
        <v>19111</v>
      </c>
      <c r="I124" s="201"/>
      <c r="J124" s="150">
        <f t="shared" ref="J124:J141" si="15">MINA(C124:I124)</f>
        <v>19111</v>
      </c>
      <c r="K124" s="201">
        <f t="shared" ref="K124:K141" si="16">MAXA(C124:I124)</f>
        <v>19612.2003</v>
      </c>
      <c r="L124" s="27">
        <f t="shared" ref="L124:L141" si="17">(K124-J124)/AVERAGE(C124:I124)</f>
        <v>2.5847314523953193E-2</v>
      </c>
      <c r="M124" s="35"/>
      <c r="N124" s="687">
        <f>A!H1640</f>
        <v>0</v>
      </c>
      <c r="O124" s="12"/>
      <c r="P124" s="12"/>
      <c r="Q124" s="32"/>
      <c r="R124" s="12"/>
      <c r="S124" s="12"/>
      <c r="T124" s="12"/>
      <c r="U124" s="2"/>
      <c r="V124" s="12"/>
      <c r="W124" s="12"/>
      <c r="X124" s="17"/>
      <c r="Y124" s="12"/>
    </row>
    <row r="125" spans="2:25" ht="12" customHeight="1">
      <c r="B125" s="215" t="s">
        <v>296</v>
      </c>
      <c r="C125" s="201">
        <f>A!B1641</f>
        <v>13167.353602523046</v>
      </c>
      <c r="D125" s="201">
        <f>A!C1641</f>
        <v>12172.736100000002</v>
      </c>
      <c r="E125" s="201">
        <f>A!D1641</f>
        <v>12259.2006</v>
      </c>
      <c r="F125" s="201">
        <f>A!E1641</f>
        <v>12519.249422273995</v>
      </c>
      <c r="G125" s="201">
        <f>A!F1641</f>
        <v>12597.44899999999</v>
      </c>
      <c r="H125" s="201">
        <f>A!G1641</f>
        <v>11157</v>
      </c>
      <c r="I125" s="35"/>
      <c r="J125" s="150">
        <f t="shared" si="15"/>
        <v>11157</v>
      </c>
      <c r="K125" s="201">
        <f t="shared" si="16"/>
        <v>13167.353602523046</v>
      </c>
      <c r="L125" s="27">
        <f t="shared" si="17"/>
        <v>0.16328189536332335</v>
      </c>
      <c r="M125" s="35"/>
      <c r="N125" s="687">
        <f>A!H1641</f>
        <v>0</v>
      </c>
      <c r="O125" s="12"/>
      <c r="P125" s="12"/>
      <c r="Q125" s="32"/>
      <c r="R125" s="12"/>
      <c r="S125" s="12"/>
      <c r="T125" s="12"/>
      <c r="U125" s="2"/>
      <c r="V125" s="12"/>
      <c r="W125" s="12"/>
      <c r="X125" s="17"/>
      <c r="Y125" s="12"/>
    </row>
    <row r="126" spans="2:25" ht="12" customHeight="1">
      <c r="B126" s="215" t="s">
        <v>297</v>
      </c>
      <c r="C126" s="201">
        <f>A!B1642</f>
        <v>18164.375947827863</v>
      </c>
      <c r="D126" s="201">
        <f>A!C1642</f>
        <v>15932.3298</v>
      </c>
      <c r="E126" s="201">
        <f>A!D1642</f>
        <v>16178.533800000001</v>
      </c>
      <c r="F126" s="201">
        <f>A!E1642</f>
        <v>17572.919147408411</v>
      </c>
      <c r="G126" s="201">
        <f>A!F1642</f>
        <v>18528.229999999847</v>
      </c>
      <c r="H126" s="201">
        <f>A!G1642</f>
        <v>17119</v>
      </c>
      <c r="I126" s="35"/>
      <c r="J126" s="150">
        <f t="shared" si="15"/>
        <v>15932.3298</v>
      </c>
      <c r="K126" s="201">
        <f t="shared" si="16"/>
        <v>18528.229999999847</v>
      </c>
      <c r="L126" s="27">
        <f t="shared" si="17"/>
        <v>0.15049367316126633</v>
      </c>
      <c r="M126" s="35"/>
      <c r="N126" s="687">
        <f>A!H1642</f>
        <v>0</v>
      </c>
      <c r="O126" s="12"/>
      <c r="P126" s="12"/>
      <c r="Q126" s="32"/>
      <c r="R126" s="12"/>
      <c r="S126" s="12"/>
      <c r="T126" s="12"/>
      <c r="U126" s="2"/>
      <c r="V126" s="12"/>
      <c r="W126" s="12"/>
      <c r="X126" s="17"/>
      <c r="Y126" s="12"/>
    </row>
    <row r="127" spans="2:25" ht="12" customHeight="1">
      <c r="B127" s="215" t="s">
        <v>422</v>
      </c>
      <c r="C127" s="201">
        <f>A!B1643</f>
        <v>4997.0223453048166</v>
      </c>
      <c r="D127" s="201">
        <f>A!C1643</f>
        <v>3759.5936999999976</v>
      </c>
      <c r="E127" s="201">
        <f>A!D1643</f>
        <v>3919.3332000000009</v>
      </c>
      <c r="F127" s="201">
        <f>A!E1643</f>
        <v>5053.6697251344158</v>
      </c>
      <c r="G127" s="201">
        <f>A!F1643</f>
        <v>5930.7809999998572</v>
      </c>
      <c r="H127" s="201">
        <f>A!G1643</f>
        <v>5962</v>
      </c>
      <c r="I127" s="35"/>
      <c r="J127" s="150">
        <f t="shared" si="15"/>
        <v>3759.5936999999976</v>
      </c>
      <c r="K127" s="201">
        <f t="shared" si="16"/>
        <v>5962</v>
      </c>
      <c r="L127" s="27">
        <f t="shared" si="17"/>
        <v>0.4460961236492324</v>
      </c>
      <c r="M127" s="35"/>
      <c r="N127" s="687">
        <f>A!H1643</f>
        <v>0</v>
      </c>
      <c r="O127" s="12"/>
      <c r="P127" s="12"/>
      <c r="Q127" s="32"/>
      <c r="R127" s="12"/>
      <c r="S127" s="12"/>
      <c r="T127" s="12"/>
      <c r="U127" s="2"/>
      <c r="V127" s="12"/>
      <c r="W127" s="12"/>
      <c r="X127" s="17"/>
      <c r="Y127" s="12"/>
    </row>
    <row r="128" spans="2:25" ht="12" customHeight="1">
      <c r="B128" s="215" t="s">
        <v>423</v>
      </c>
      <c r="C128" s="201">
        <f>A!B1644</f>
        <v>15930.253809579826</v>
      </c>
      <c r="D128" s="201">
        <f>A!C1644</f>
        <v>14487.639900000002</v>
      </c>
      <c r="E128" s="201">
        <f>A!D1644</f>
        <v>14625.396899999996</v>
      </c>
      <c r="F128" s="201">
        <f>A!E1644</f>
        <v>15578.213270168479</v>
      </c>
      <c r="G128" s="201">
        <f>A!F1644</f>
        <v>15760.480999999916</v>
      </c>
      <c r="H128" s="201">
        <f>A!G1644</f>
        <v>15279</v>
      </c>
      <c r="I128" s="35"/>
      <c r="J128" s="150">
        <f t="shared" si="15"/>
        <v>14487.639900000002</v>
      </c>
      <c r="K128" s="201">
        <f t="shared" si="16"/>
        <v>15930.253809579826</v>
      </c>
      <c r="L128" s="27">
        <f t="shared" si="17"/>
        <v>9.4431490877329133E-2</v>
      </c>
      <c r="M128" s="35"/>
      <c r="N128" s="687">
        <f>A!H1644</f>
        <v>0</v>
      </c>
      <c r="O128" s="12"/>
      <c r="P128" s="12"/>
      <c r="Q128" s="32"/>
      <c r="R128" s="12"/>
      <c r="S128" s="12"/>
      <c r="T128" s="12"/>
      <c r="U128" s="2"/>
      <c r="V128" s="12"/>
      <c r="W128" s="12"/>
      <c r="X128" s="17"/>
      <c r="Y128" s="12"/>
    </row>
    <row r="129" spans="2:25" ht="12" customHeight="1">
      <c r="B129" s="215" t="s">
        <v>424</v>
      </c>
      <c r="C129" s="201">
        <f>A!B1645</f>
        <v>2234.1221382480362</v>
      </c>
      <c r="D129" s="201">
        <f>A!C1645</f>
        <v>1444.6898999999976</v>
      </c>
      <c r="E129" s="201">
        <f>A!D1645</f>
        <v>1553.136900000005</v>
      </c>
      <c r="F129" s="201">
        <f>A!E1645</f>
        <v>1994.7058772399323</v>
      </c>
      <c r="G129" s="201">
        <f>A!F1645</f>
        <v>2767.7489999999307</v>
      </c>
      <c r="H129" s="201">
        <f>A!G1645</f>
        <v>1840</v>
      </c>
      <c r="I129" s="35"/>
      <c r="J129" s="150">
        <f t="shared" si="15"/>
        <v>1444.6898999999976</v>
      </c>
      <c r="K129" s="201">
        <f t="shared" si="16"/>
        <v>2767.7489999999307</v>
      </c>
      <c r="L129" s="27">
        <f t="shared" si="17"/>
        <v>0.67078618608657981</v>
      </c>
      <c r="M129" s="35"/>
      <c r="N129" s="687">
        <f>A!H1645</f>
        <v>0</v>
      </c>
      <c r="O129" s="12"/>
      <c r="P129" s="12"/>
      <c r="Q129" s="32"/>
      <c r="R129" s="12"/>
      <c r="S129" s="12"/>
      <c r="T129" s="12"/>
      <c r="U129" s="2"/>
      <c r="V129" s="12"/>
      <c r="W129" s="12"/>
      <c r="X129" s="17"/>
      <c r="Y129" s="12"/>
    </row>
    <row r="130" spans="2:25" ht="12" customHeight="1">
      <c r="B130" s="215" t="s">
        <v>298</v>
      </c>
      <c r="C130" s="201">
        <f>A!B1646</f>
        <v>-4747.9518136209954</v>
      </c>
      <c r="D130" s="201">
        <f>A!C1646</f>
        <v>-5434.6602000000003</v>
      </c>
      <c r="E130" s="201">
        <f>A!D1646</f>
        <v>-5529.0384000000031</v>
      </c>
      <c r="F130" s="201">
        <f>A!E1646</f>
        <v>-4904.9759370761203</v>
      </c>
      <c r="G130" s="201">
        <f>A!F1646</f>
        <v>-4263.7490000000616</v>
      </c>
      <c r="H130" s="201">
        <f>A!G1646</f>
        <v>-4446</v>
      </c>
      <c r="I130" s="35"/>
      <c r="J130" s="150">
        <f t="shared" si="15"/>
        <v>-5529.0384000000031</v>
      </c>
      <c r="K130" s="201">
        <f t="shared" si="16"/>
        <v>-4263.7490000000616</v>
      </c>
      <c r="L130" s="27">
        <f t="shared" si="17"/>
        <v>-0.25887060058443834</v>
      </c>
      <c r="M130" s="35"/>
      <c r="N130" s="687">
        <f>A!H1646</f>
        <v>0</v>
      </c>
      <c r="O130" s="12"/>
      <c r="P130" s="12"/>
      <c r="Q130" s="32"/>
      <c r="R130" s="12"/>
      <c r="S130" s="12"/>
      <c r="T130" s="12"/>
      <c r="U130" s="2"/>
      <c r="V130" s="12"/>
      <c r="W130" s="12"/>
      <c r="X130" s="17"/>
      <c r="Y130" s="12"/>
    </row>
    <row r="131" spans="2:25" ht="12" customHeight="1">
      <c r="B131" s="215" t="s">
        <v>299</v>
      </c>
      <c r="C131" s="201">
        <f>A!B1647</f>
        <v>4232.1083836100515</v>
      </c>
      <c r="D131" s="201">
        <f>A!C1647</f>
        <v>3400.8392999999996</v>
      </c>
      <c r="E131" s="201">
        <f>A!D1647</f>
        <v>3426.9251999999979</v>
      </c>
      <c r="F131" s="201">
        <f>A!E1647</f>
        <v>4332.6355831830624</v>
      </c>
      <c r="G131" s="201">
        <f>A!F1647</f>
        <v>4459.3389999999417</v>
      </c>
      <c r="H131" s="201">
        <f>A!G1647</f>
        <v>4403</v>
      </c>
      <c r="I131" s="35"/>
      <c r="J131" s="150">
        <f t="shared" si="15"/>
        <v>3400.8392999999996</v>
      </c>
      <c r="K131" s="201">
        <f t="shared" si="16"/>
        <v>4459.3389999999417</v>
      </c>
      <c r="L131" s="27">
        <f t="shared" si="17"/>
        <v>0.261844491444224</v>
      </c>
      <c r="M131" s="35"/>
      <c r="N131" s="687">
        <f>A!H1647</f>
        <v>0</v>
      </c>
      <c r="O131" s="12"/>
      <c r="P131" s="12"/>
      <c r="Q131" s="32"/>
      <c r="R131" s="12"/>
      <c r="S131" s="12"/>
      <c r="T131" s="12"/>
      <c r="U131" s="2"/>
      <c r="V131" s="12"/>
      <c r="W131" s="12"/>
      <c r="X131" s="17"/>
      <c r="Y131" s="12"/>
    </row>
    <row r="132" spans="2:25" ht="12" customHeight="1">
      <c r="B132" s="215" t="s">
        <v>300</v>
      </c>
      <c r="C132" s="201">
        <f>A!B1648</f>
        <v>3075.3435687279962</v>
      </c>
      <c r="D132" s="201">
        <f>A!C1648</f>
        <v>2011.8384000000005</v>
      </c>
      <c r="E132" s="201">
        <f>A!D1648</f>
        <v>2100.9408000000003</v>
      </c>
      <c r="F132" s="201">
        <f>A!E1648</f>
        <v>2727.3458939895354</v>
      </c>
      <c r="G132" s="201"/>
      <c r="H132" s="201">
        <f>A!G1648</f>
        <v>2650</v>
      </c>
      <c r="I132" s="35"/>
      <c r="J132" s="150">
        <f t="shared" si="15"/>
        <v>2011.8384000000005</v>
      </c>
      <c r="K132" s="201">
        <f t="shared" si="16"/>
        <v>3075.3435687279962</v>
      </c>
      <c r="L132" s="27">
        <f t="shared" si="17"/>
        <v>0.42318563567926304</v>
      </c>
      <c r="M132" s="35"/>
      <c r="N132" s="687">
        <f>A!H1648</f>
        <v>0</v>
      </c>
      <c r="O132" s="12"/>
      <c r="P132" s="12"/>
      <c r="Q132" s="32"/>
      <c r="R132" s="12"/>
      <c r="S132" s="12"/>
      <c r="T132" s="12"/>
      <c r="U132" s="2"/>
      <c r="V132" s="12"/>
      <c r="W132" s="12"/>
      <c r="X132" s="17"/>
      <c r="Y132" s="12"/>
    </row>
    <row r="133" spans="2:25" ht="12" customHeight="1">
      <c r="B133" s="215" t="s">
        <v>306</v>
      </c>
      <c r="C133" s="201">
        <f>A!B1649</f>
        <v>-768.91078720202859</v>
      </c>
      <c r="D133" s="201">
        <f>A!C1649</f>
        <v>-2365.6101000000017</v>
      </c>
      <c r="E133" s="201">
        <f>A!D1649</f>
        <v>-2303.4729000000007</v>
      </c>
      <c r="F133" s="201"/>
      <c r="G133" s="201"/>
      <c r="H133" s="201">
        <f>A!G1649</f>
        <v>-2477</v>
      </c>
      <c r="I133" s="35"/>
      <c r="J133" s="150">
        <f t="shared" si="15"/>
        <v>-2477</v>
      </c>
      <c r="K133" s="201">
        <f t="shared" si="16"/>
        <v>-768.91078720202859</v>
      </c>
      <c r="L133" s="27">
        <f t="shared" si="17"/>
        <v>-0.86321695694054867</v>
      </c>
      <c r="M133" s="35"/>
      <c r="N133" s="687">
        <f>A!H1649</f>
        <v>0</v>
      </c>
      <c r="O133" s="12"/>
      <c r="P133" s="12"/>
      <c r="Q133" s="32"/>
      <c r="R133" s="12"/>
      <c r="S133" s="12"/>
      <c r="T133" s="12"/>
      <c r="U133" s="2"/>
      <c r="V133" s="12"/>
      <c r="W133" s="12"/>
      <c r="X133" s="17"/>
      <c r="Y133" s="12"/>
    </row>
    <row r="134" spans="2:25" ht="12" customHeight="1">
      <c r="B134" s="215" t="s">
        <v>307</v>
      </c>
      <c r="C134" s="201">
        <f>A!B1650</f>
        <v>-1545.6362949919603</v>
      </c>
      <c r="D134" s="201">
        <f>A!C1650</f>
        <v>-1541.7060000000019</v>
      </c>
      <c r="E134" s="201">
        <f>A!D1650</f>
        <v>-1217.2443000000021</v>
      </c>
      <c r="F134" s="201">
        <f>A!E1650</f>
        <v>-1360.4827689334015</v>
      </c>
      <c r="G134" s="201"/>
      <c r="H134" s="201">
        <f>A!G1650</f>
        <v>-1212</v>
      </c>
      <c r="I134" s="35"/>
      <c r="J134" s="150">
        <f t="shared" si="15"/>
        <v>-1545.6362949919603</v>
      </c>
      <c r="K134" s="201">
        <f t="shared" si="16"/>
        <v>-1212</v>
      </c>
      <c r="L134" s="27">
        <f t="shared" si="17"/>
        <v>-0.2425715645257967</v>
      </c>
      <c r="M134" s="35"/>
      <c r="N134" s="687">
        <f>A!H1650</f>
        <v>0</v>
      </c>
      <c r="O134" s="12"/>
      <c r="P134" s="12"/>
      <c r="Q134" s="32"/>
      <c r="R134" s="12"/>
      <c r="S134" s="12"/>
      <c r="T134" s="12"/>
      <c r="U134" s="2"/>
      <c r="V134" s="12"/>
      <c r="W134" s="12"/>
      <c r="X134" s="17"/>
      <c r="Y134" s="12"/>
    </row>
    <row r="135" spans="2:25" ht="12" customHeight="1">
      <c r="B135" s="215" t="s">
        <v>308</v>
      </c>
      <c r="C135" s="201">
        <f>A!B1651</f>
        <v>-1872.1532978488867</v>
      </c>
      <c r="D135" s="201">
        <f>A!C1651</f>
        <v>-1577.1710999999996</v>
      </c>
      <c r="E135" s="201">
        <f>A!D1651</f>
        <v>-1721.9625000000015</v>
      </c>
      <c r="F135" s="201">
        <f>A!E1651</f>
        <v>-1787.889672394489</v>
      </c>
      <c r="G135" s="201"/>
      <c r="H135" s="201">
        <f>A!G1651</f>
        <v>-2010</v>
      </c>
      <c r="I135" s="35"/>
      <c r="J135" s="150">
        <f t="shared" si="15"/>
        <v>-2010</v>
      </c>
      <c r="K135" s="201">
        <f t="shared" si="16"/>
        <v>-1577.1710999999996</v>
      </c>
      <c r="L135" s="27">
        <f t="shared" si="17"/>
        <v>-0.24128686541637329</v>
      </c>
      <c r="M135" s="35"/>
      <c r="N135" s="687">
        <f>A!H1651</f>
        <v>0</v>
      </c>
      <c r="O135" s="12"/>
      <c r="P135" s="12"/>
      <c r="Q135" s="32"/>
      <c r="R135" s="12"/>
      <c r="S135" s="12"/>
      <c r="T135" s="12"/>
      <c r="U135" s="2"/>
      <c r="V135" s="12"/>
      <c r="W135" s="12"/>
      <c r="X135" s="17"/>
      <c r="Y135" s="12"/>
    </row>
    <row r="136" spans="2:25" ht="12" customHeight="1">
      <c r="B136" s="215" t="s">
        <v>309</v>
      </c>
      <c r="C136" s="201">
        <f>A!B1652</f>
        <v>-929.82804491486968</v>
      </c>
      <c r="D136" s="201">
        <f>A!C1652</f>
        <v>-699.04349999999977</v>
      </c>
      <c r="E136" s="201">
        <f>A!D1652</f>
        <v>-798.11130000000048</v>
      </c>
      <c r="F136" s="201">
        <f>A!E1652</f>
        <v>-802.86573875787872</v>
      </c>
      <c r="G136" s="201"/>
      <c r="H136" s="201">
        <f>A!G1652</f>
        <v>-823</v>
      </c>
      <c r="I136" s="35"/>
      <c r="J136" s="150">
        <f t="shared" si="15"/>
        <v>-929.82804491486968</v>
      </c>
      <c r="K136" s="201">
        <f t="shared" si="16"/>
        <v>-699.04349999999977</v>
      </c>
      <c r="L136" s="27">
        <f t="shared" si="17"/>
        <v>-0.28471893305440205</v>
      </c>
      <c r="M136" s="35"/>
      <c r="N136" s="687">
        <f>A!H1652</f>
        <v>0</v>
      </c>
      <c r="O136" s="12"/>
      <c r="P136" s="12"/>
      <c r="Q136" s="32"/>
      <c r="R136" s="12"/>
      <c r="S136" s="12"/>
      <c r="T136" s="12"/>
      <c r="U136" s="2"/>
      <c r="V136" s="12"/>
      <c r="W136" s="12"/>
      <c r="X136" s="17"/>
      <c r="Y136" s="12"/>
    </row>
    <row r="137" spans="2:25" ht="12" customHeight="1">
      <c r="B137" s="215" t="s">
        <v>301</v>
      </c>
      <c r="C137" s="201">
        <f>A!B1653</f>
        <v>-5451.8127927419882</v>
      </c>
      <c r="D137" s="201">
        <f>A!C1653</f>
        <v>-3140.5665000000008</v>
      </c>
      <c r="E137" s="201">
        <f>A!D1653</f>
        <v>-3140.8596000000034</v>
      </c>
      <c r="F137" s="201">
        <f>A!E1653</f>
        <v>-4932.0180785274606</v>
      </c>
      <c r="G137" s="201">
        <f>A!F1653</f>
        <v>-4304.0020000000986</v>
      </c>
      <c r="H137" s="201">
        <f>A!G1653</f>
        <v>-4983</v>
      </c>
      <c r="I137" s="35"/>
      <c r="J137" s="150">
        <f t="shared" si="15"/>
        <v>-5451.8127927419882</v>
      </c>
      <c r="K137" s="201">
        <f t="shared" si="16"/>
        <v>-3140.5665000000008</v>
      </c>
      <c r="L137" s="27">
        <f t="shared" si="17"/>
        <v>-0.53434569113247199</v>
      </c>
      <c r="M137" s="35"/>
      <c r="N137" s="687">
        <f>A!H1653</f>
        <v>0</v>
      </c>
      <c r="O137" s="12"/>
      <c r="P137" s="12"/>
      <c r="Q137" s="32"/>
      <c r="R137" s="12"/>
      <c r="S137" s="12"/>
      <c r="T137" s="12"/>
      <c r="U137" s="2"/>
      <c r="V137" s="12"/>
      <c r="W137" s="12"/>
      <c r="X137" s="17"/>
      <c r="Y137" s="12"/>
    </row>
    <row r="138" spans="2:25" ht="12" customHeight="1">
      <c r="B138" s="215" t="s">
        <v>302</v>
      </c>
      <c r="C138" s="201">
        <f>A!B1654</f>
        <v>17484.681420000055</v>
      </c>
      <c r="D138" s="201">
        <f>A!C1654</f>
        <v>17615.016900000002</v>
      </c>
      <c r="E138" s="201">
        <f>A!D1654</f>
        <v>17615.016900000002</v>
      </c>
      <c r="F138" s="201">
        <f>A!E1654</f>
        <v>17488.84749972459</v>
      </c>
      <c r="G138" s="201">
        <f>A!F1654</f>
        <v>17488.437999999947</v>
      </c>
      <c r="H138" s="201">
        <f>A!G1654</f>
        <v>17340</v>
      </c>
      <c r="I138" s="35"/>
      <c r="J138" s="150">
        <f t="shared" si="15"/>
        <v>17340</v>
      </c>
      <c r="K138" s="201">
        <f t="shared" si="16"/>
        <v>17615.016900000002</v>
      </c>
      <c r="L138" s="27">
        <f t="shared" si="17"/>
        <v>1.5710463370142501E-2</v>
      </c>
      <c r="M138" s="35"/>
      <c r="N138" s="687">
        <f>A!H1654</f>
        <v>0</v>
      </c>
      <c r="O138" s="12"/>
      <c r="P138" s="12"/>
      <c r="Q138" s="32"/>
      <c r="R138" s="12"/>
      <c r="S138" s="12"/>
      <c r="T138" s="12"/>
      <c r="U138" s="2"/>
      <c r="V138" s="12"/>
      <c r="W138" s="12"/>
      <c r="X138" s="17"/>
      <c r="Y138" s="12"/>
    </row>
    <row r="139" spans="2:25" ht="12" customHeight="1">
      <c r="B139" s="215" t="s">
        <v>303</v>
      </c>
      <c r="C139" s="201">
        <f>A!B1655</f>
        <v>2.0047209999538609</v>
      </c>
      <c r="D139" s="201">
        <f>A!C1655</f>
        <v>-288.11730000000171</v>
      </c>
      <c r="E139" s="201">
        <f>A!D1655</f>
        <v>-288.11730000000171</v>
      </c>
      <c r="F139" s="201">
        <f>A!E1655</f>
        <v>2.4787920240814856</v>
      </c>
      <c r="G139" s="201">
        <f>A!F1655</f>
        <v>-8.6240000002690067</v>
      </c>
      <c r="H139" s="201">
        <f>A!G1655</f>
        <v>-42</v>
      </c>
      <c r="I139" s="35"/>
      <c r="J139" s="150">
        <f t="shared" si="15"/>
        <v>-288.11730000000171</v>
      </c>
      <c r="K139" s="201">
        <f t="shared" si="16"/>
        <v>2.4787920240814856</v>
      </c>
      <c r="L139" s="27">
        <f t="shared" si="17"/>
        <v>-2.8014883446179306</v>
      </c>
      <c r="M139" s="35"/>
      <c r="N139" s="687">
        <f>A!H1655</f>
        <v>0</v>
      </c>
      <c r="O139" s="12"/>
      <c r="P139" s="12"/>
      <c r="Q139" s="32"/>
      <c r="R139" s="12"/>
      <c r="S139" s="12"/>
      <c r="T139" s="12"/>
      <c r="U139" s="2"/>
      <c r="V139" s="12"/>
      <c r="W139" s="12"/>
      <c r="X139" s="17"/>
      <c r="Y139" s="12"/>
    </row>
    <row r="140" spans="2:25" ht="12" customHeight="1">
      <c r="B140" s="215" t="s">
        <v>304</v>
      </c>
      <c r="C140" s="201">
        <f>A!B1656</f>
        <v>-18313.306249999994</v>
      </c>
      <c r="D140" s="201">
        <f>A!C1656</f>
        <v>-18285.336600000002</v>
      </c>
      <c r="E140" s="201">
        <f>A!D1656</f>
        <v>-18285.629700000001</v>
      </c>
      <c r="F140" s="201">
        <f>A!E1656</f>
        <v>-18231.674174693937</v>
      </c>
      <c r="G140" s="201">
        <f>A!F1656</f>
        <v>-18229.954999999936</v>
      </c>
      <c r="H140" s="201">
        <f>A!G1656</f>
        <v>-18084</v>
      </c>
      <c r="I140" s="35"/>
      <c r="J140" s="150">
        <f t="shared" si="15"/>
        <v>-18313.306249999994</v>
      </c>
      <c r="K140" s="201">
        <f t="shared" si="16"/>
        <v>-18084</v>
      </c>
      <c r="L140" s="27">
        <f t="shared" si="17"/>
        <v>-1.2572774701574047E-2</v>
      </c>
      <c r="M140" s="35"/>
      <c r="N140" s="687">
        <f>A!H1656</f>
        <v>0</v>
      </c>
      <c r="O140" s="12"/>
      <c r="P140" s="12"/>
      <c r="Q140" s="32"/>
      <c r="R140" s="12"/>
      <c r="S140" s="12"/>
      <c r="T140" s="12"/>
      <c r="U140" s="2"/>
      <c r="V140" s="12"/>
      <c r="W140" s="12"/>
      <c r="X140" s="17"/>
      <c r="Y140" s="12"/>
    </row>
    <row r="141" spans="2:25" ht="12" customHeight="1" thickBot="1">
      <c r="B141" s="216" t="s">
        <v>305</v>
      </c>
      <c r="C141" s="29">
        <f>A!B1657</f>
        <v>-0.97975819500048389</v>
      </c>
      <c r="D141" s="29">
        <f>A!C1657</f>
        <v>-81.481800000000007</v>
      </c>
      <c r="E141" s="29">
        <f>A!D1657</f>
        <v>-81.481800000000007</v>
      </c>
      <c r="F141" s="29">
        <f>A!E1657</f>
        <v>-8.867157473872469</v>
      </c>
      <c r="G141" s="29">
        <f>A!F1657</f>
        <v>-3.0859999999999999</v>
      </c>
      <c r="H141" s="29">
        <f>A!G1657</f>
        <v>-2</v>
      </c>
      <c r="I141" s="142"/>
      <c r="J141" s="151">
        <f t="shared" si="15"/>
        <v>-81.481800000000007</v>
      </c>
      <c r="K141" s="29">
        <f t="shared" si="16"/>
        <v>-0.97975819500048389</v>
      </c>
      <c r="L141" s="30">
        <f t="shared" si="17"/>
        <v>-2.7151304735448005</v>
      </c>
      <c r="M141" s="35"/>
      <c r="N141" s="687">
        <f>A!H1657</f>
        <v>0</v>
      </c>
      <c r="O141" s="12"/>
      <c r="P141" s="12"/>
      <c r="Q141" s="32"/>
      <c r="R141" s="12"/>
      <c r="S141" s="12"/>
      <c r="T141" s="12"/>
      <c r="U141" s="2"/>
      <c r="V141" s="12"/>
      <c r="W141" s="12"/>
      <c r="X141" s="17"/>
      <c r="Y141" s="12"/>
    </row>
    <row r="142" spans="2:25" ht="12" customHeight="1" thickTop="1">
      <c r="B142" s="2"/>
      <c r="C142" s="12"/>
      <c r="D142" s="12"/>
      <c r="E142" s="32" t="s">
        <v>559</v>
      </c>
      <c r="F142" s="12"/>
      <c r="G142" s="12"/>
      <c r="H142" s="12"/>
      <c r="I142" s="2"/>
      <c r="J142" s="12"/>
      <c r="K142" s="12"/>
      <c r="L142" s="17"/>
      <c r="M142" s="35"/>
      <c r="N142" s="686"/>
      <c r="O142" s="12"/>
      <c r="P142" s="12"/>
      <c r="Q142" s="32"/>
      <c r="R142" s="12"/>
      <c r="S142" s="12"/>
      <c r="T142" s="12"/>
      <c r="U142" s="2"/>
      <c r="V142" s="12"/>
      <c r="W142" s="12"/>
      <c r="X142" s="17"/>
      <c r="Y142" s="12"/>
    </row>
    <row r="143" spans="2:25" ht="12" customHeight="1">
      <c r="M143" s="35"/>
      <c r="N143" s="686"/>
      <c r="O143" s="12"/>
      <c r="P143" s="12"/>
      <c r="Q143" s="32"/>
      <c r="R143" s="12"/>
      <c r="S143" s="12"/>
      <c r="T143" s="12"/>
      <c r="U143" s="2"/>
      <c r="V143" s="12"/>
      <c r="W143" s="12"/>
      <c r="X143" s="17"/>
      <c r="Y143" s="12"/>
    </row>
    <row r="144" spans="2:25" ht="12" customHeight="1">
      <c r="M144" s="35"/>
      <c r="N144" s="686"/>
      <c r="O144" s="12"/>
      <c r="P144" s="12"/>
      <c r="Q144" s="32"/>
      <c r="R144" s="12"/>
      <c r="S144" s="12"/>
      <c r="T144" s="12"/>
      <c r="U144" s="2"/>
      <c r="V144" s="12"/>
      <c r="W144" s="12"/>
      <c r="X144" s="17"/>
      <c r="Y144" s="12"/>
    </row>
    <row r="145" spans="2:25" ht="15.75" customHeight="1" thickBot="1">
      <c r="B145" s="192" t="s">
        <v>524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2"/>
    </row>
    <row r="146" spans="2:25" ht="12" customHeight="1" thickTop="1">
      <c r="B146" s="19" t="s">
        <v>86</v>
      </c>
      <c r="C146" s="20"/>
      <c r="D146" s="20"/>
      <c r="E146" s="20"/>
      <c r="F146" s="20"/>
      <c r="G146" s="20"/>
      <c r="H146" s="20"/>
      <c r="I146" s="140"/>
      <c r="J146" s="20" t="s">
        <v>24</v>
      </c>
      <c r="K146" s="144"/>
      <c r="L146" s="146"/>
      <c r="M146" s="34"/>
      <c r="N146" s="673"/>
      <c r="Y146" s="2"/>
    </row>
    <row r="147" spans="2:25" ht="12" customHeight="1">
      <c r="B147" s="170"/>
      <c r="C147" s="205" t="s">
        <v>245</v>
      </c>
      <c r="D147" s="22" t="s">
        <v>536</v>
      </c>
      <c r="E147" s="205" t="s">
        <v>258</v>
      </c>
      <c r="F147" s="352" t="s">
        <v>433</v>
      </c>
      <c r="G147" s="436" t="s">
        <v>469</v>
      </c>
      <c r="H147" s="437" t="s">
        <v>482</v>
      </c>
      <c r="I147" s="438"/>
      <c r="J147" s="200"/>
      <c r="K147" s="200"/>
      <c r="L147" s="23" t="s">
        <v>25</v>
      </c>
      <c r="M147" s="34"/>
      <c r="N147" s="673"/>
      <c r="Y147" s="2"/>
    </row>
    <row r="148" spans="2:25" ht="12" customHeight="1">
      <c r="B148" s="171"/>
      <c r="C148" s="24" t="s">
        <v>26</v>
      </c>
      <c r="D148" s="24" t="s">
        <v>13</v>
      </c>
      <c r="E148" s="24" t="s">
        <v>13</v>
      </c>
      <c r="F148" s="353" t="s">
        <v>434</v>
      </c>
      <c r="G148" s="353" t="s">
        <v>452</v>
      </c>
      <c r="H148" s="353" t="s">
        <v>483</v>
      </c>
      <c r="I148" s="439"/>
      <c r="J148" s="24" t="s">
        <v>27</v>
      </c>
      <c r="K148" s="24" t="s">
        <v>28</v>
      </c>
      <c r="L148" s="25" t="s">
        <v>259</v>
      </c>
      <c r="M148" s="59"/>
      <c r="N148" s="685" t="s">
        <v>522</v>
      </c>
      <c r="Y148" s="2"/>
    </row>
    <row r="149" spans="2:25" ht="12" customHeight="1">
      <c r="B149" s="214" t="s">
        <v>295</v>
      </c>
      <c r="C149" s="211">
        <f>A!B1670</f>
        <v>0.16552233282530127</v>
      </c>
      <c r="D149" s="211">
        <f>A!C1670</f>
        <v>0.17980020930713314</v>
      </c>
      <c r="E149" s="211">
        <f>A!D1670</f>
        <v>0.18012945021843185</v>
      </c>
      <c r="F149" s="211">
        <f>A!E1670</f>
        <v>0.16517544395384132</v>
      </c>
      <c r="G149" s="211">
        <f>A!F1670</f>
        <v>0.17085733713324514</v>
      </c>
      <c r="H149" s="211">
        <f>A!G1670</f>
        <v>0.14999999999999991</v>
      </c>
      <c r="I149" s="211"/>
      <c r="J149" s="470">
        <f t="shared" ref="J149:J166" si="18">MINA(C149:I149)</f>
        <v>0.14999999999999991</v>
      </c>
      <c r="K149" s="211">
        <f t="shared" ref="K149:K166" si="19">MAXA(C149:I149)</f>
        <v>0.18012945021843185</v>
      </c>
      <c r="L149" s="27">
        <f t="shared" ref="L149:L166" si="20">(K149-J149)/AVERAGE(C149:I149)</f>
        <v>0.17872409556512323</v>
      </c>
      <c r="M149" s="35"/>
      <c r="N149" s="222">
        <f>A!H1670</f>
        <v>0</v>
      </c>
      <c r="Y149" s="2"/>
    </row>
    <row r="150" spans="2:25" ht="12" customHeight="1">
      <c r="B150" s="215" t="s">
        <v>296</v>
      </c>
      <c r="C150" s="211">
        <f>A!B1671</f>
        <v>0.17083237030228204</v>
      </c>
      <c r="D150" s="211">
        <f>A!C1671</f>
        <v>0.22028933633201087</v>
      </c>
      <c r="E150" s="211">
        <f>A!D1671</f>
        <v>0.21969251983271265</v>
      </c>
      <c r="F150" s="211">
        <f>A!E1671</f>
        <v>0.17529849690866373</v>
      </c>
      <c r="G150" s="211">
        <f>A!F1671</f>
        <v>0.17958347541332031</v>
      </c>
      <c r="H150" s="211">
        <f>A!G1671</f>
        <v>0.16000000000000014</v>
      </c>
      <c r="I150" s="211"/>
      <c r="J150" s="188">
        <f t="shared" si="18"/>
        <v>0.16000000000000014</v>
      </c>
      <c r="K150" s="211">
        <f t="shared" si="19"/>
        <v>0.22028933633201087</v>
      </c>
      <c r="L150" s="27">
        <f t="shared" si="20"/>
        <v>0.3213442653366117</v>
      </c>
      <c r="M150" s="35"/>
      <c r="N150" s="222">
        <f>A!H1671</f>
        <v>0</v>
      </c>
      <c r="Y150" s="2"/>
    </row>
    <row r="151" spans="2:25" ht="12" customHeight="1">
      <c r="B151" s="215" t="s">
        <v>297</v>
      </c>
      <c r="C151" s="211">
        <f>A!B1672</f>
        <v>0.2416630702180198</v>
      </c>
      <c r="D151" s="211">
        <f>A!C1672</f>
        <v>0.25649070875822488</v>
      </c>
      <c r="E151" s="211">
        <f>A!D1672</f>
        <v>0.29907491375648076</v>
      </c>
      <c r="F151" s="211">
        <f>A!E1672</f>
        <v>0.26441609491045259</v>
      </c>
      <c r="G151" s="211">
        <f>A!F1672</f>
        <v>0.27090438957405505</v>
      </c>
      <c r="H151" s="211">
        <f>A!G1672</f>
        <v>0.22999999999999998</v>
      </c>
      <c r="I151" s="211"/>
      <c r="J151" s="188">
        <f t="shared" si="18"/>
        <v>0.22999999999999998</v>
      </c>
      <c r="K151" s="211">
        <f t="shared" si="19"/>
        <v>0.29907491375648076</v>
      </c>
      <c r="L151" s="27">
        <f t="shared" si="20"/>
        <v>0.26523932083659846</v>
      </c>
      <c r="M151" s="35"/>
      <c r="N151" s="222">
        <f>A!H1672</f>
        <v>0</v>
      </c>
      <c r="Y151" s="2"/>
    </row>
    <row r="152" spans="2:25" ht="12" customHeight="1">
      <c r="B152" s="215" t="s">
        <v>422</v>
      </c>
      <c r="C152" s="211">
        <f>A!B1673</f>
        <v>7.083069991573776E-2</v>
      </c>
      <c r="D152" s="211">
        <f>A!C1673</f>
        <v>3.6201372426214018E-2</v>
      </c>
      <c r="E152" s="211">
        <f>A!D1673</f>
        <v>7.9382393923768113E-2</v>
      </c>
      <c r="F152" s="211">
        <f>A!E1673</f>
        <v>8.9117598001788867E-2</v>
      </c>
      <c r="G152" s="211">
        <f>A!F1673</f>
        <v>9.1320914160734734E-2</v>
      </c>
      <c r="H152" s="211">
        <f>A!G1673</f>
        <v>6.999999999999984E-2</v>
      </c>
      <c r="I152" s="211"/>
      <c r="J152" s="188">
        <f t="shared" si="18"/>
        <v>3.6201372426214018E-2</v>
      </c>
      <c r="K152" s="211">
        <f t="shared" si="19"/>
        <v>9.1320914160734734E-2</v>
      </c>
      <c r="L152" s="27">
        <f t="shared" si="20"/>
        <v>0.75704474213959683</v>
      </c>
      <c r="M152" s="35"/>
      <c r="N152" s="222">
        <f>A!H1673</f>
        <v>0</v>
      </c>
      <c r="Y152" s="2"/>
    </row>
    <row r="153" spans="2:25" ht="12" customHeight="1">
      <c r="B153" s="215" t="s">
        <v>423</v>
      </c>
      <c r="C153" s="211">
        <f>A!B1674</f>
        <v>0.20521092225697135</v>
      </c>
      <c r="D153" s="211">
        <f>A!C1674</f>
        <v>0.23965789582697861</v>
      </c>
      <c r="E153" s="211">
        <f>A!D1674</f>
        <v>0.25826036346901748</v>
      </c>
      <c r="F153" s="211">
        <f>A!E1674</f>
        <v>0.22045495843896257</v>
      </c>
      <c r="G153" s="211">
        <f>A!F1674</f>
        <v>0.22316083129132069</v>
      </c>
      <c r="H153" s="211">
        <f>A!G1674</f>
        <v>0.18999999999999995</v>
      </c>
      <c r="I153" s="211"/>
      <c r="J153" s="188">
        <f t="shared" si="18"/>
        <v>0.18999999999999995</v>
      </c>
      <c r="K153" s="211">
        <f t="shared" si="19"/>
        <v>0.25826036346901748</v>
      </c>
      <c r="L153" s="27">
        <f t="shared" si="20"/>
        <v>0.30638767275176881</v>
      </c>
      <c r="M153" s="35"/>
      <c r="N153" s="222">
        <f>A!H1674</f>
        <v>0</v>
      </c>
      <c r="Y153" s="2"/>
    </row>
    <row r="154" spans="2:25" ht="12" customHeight="1">
      <c r="B154" s="215" t="s">
        <v>424</v>
      </c>
      <c r="C154" s="211">
        <f>A!B1675</f>
        <v>3.6452147961048453E-2</v>
      </c>
      <c r="D154" s="211">
        <f>A!C1675</f>
        <v>1.6832812931246277E-2</v>
      </c>
      <c r="E154" s="211">
        <f>A!D1675</f>
        <v>4.081455028746328E-2</v>
      </c>
      <c r="F154" s="211">
        <f>A!E1675</f>
        <v>4.3961136471490025E-2</v>
      </c>
      <c r="G154" s="211">
        <f>A!F1675</f>
        <v>4.7743558282734355E-2</v>
      </c>
      <c r="H154" s="211">
        <f>A!G1675</f>
        <v>4.0000000000000036E-2</v>
      </c>
      <c r="I154" s="211"/>
      <c r="J154" s="188">
        <f t="shared" si="18"/>
        <v>1.6832812931246277E-2</v>
      </c>
      <c r="K154" s="211">
        <f t="shared" si="19"/>
        <v>4.7743558282734355E-2</v>
      </c>
      <c r="L154" s="27">
        <f t="shared" si="20"/>
        <v>0.82135083065349135</v>
      </c>
      <c r="M154" s="35"/>
      <c r="N154" s="222">
        <f>A!H1675</f>
        <v>0</v>
      </c>
      <c r="Y154" s="2"/>
    </row>
    <row r="155" spans="2:25" ht="12" customHeight="1">
      <c r="B155" s="215" t="s">
        <v>298</v>
      </c>
      <c r="C155" s="211">
        <f>A!B1676</f>
        <v>-1.1501304028538328E-4</v>
      </c>
      <c r="D155" s="211">
        <f>A!C1676</f>
        <v>3.0960240556585639E-3</v>
      </c>
      <c r="E155" s="211">
        <f>A!D1676</f>
        <v>-1.9178441745544283E-3</v>
      </c>
      <c r="F155" s="211">
        <f>A!E1676</f>
        <v>4.3634996221117994E-3</v>
      </c>
      <c r="G155" s="211">
        <f>A!F1676</f>
        <v>2.532500625511247E-3</v>
      </c>
      <c r="H155" s="211">
        <f>A!G1676</f>
        <v>0</v>
      </c>
      <c r="I155" s="211"/>
      <c r="J155" s="188">
        <f t="shared" si="18"/>
        <v>-1.9178441745544283E-3</v>
      </c>
      <c r="K155" s="211">
        <f t="shared" si="19"/>
        <v>4.3634996221117994E-3</v>
      </c>
      <c r="L155" s="27">
        <f t="shared" si="20"/>
        <v>4.7351767290735101</v>
      </c>
      <c r="M155" s="35"/>
      <c r="N155" s="222">
        <f>A!H1676</f>
        <v>0</v>
      </c>
      <c r="Y155" s="2"/>
    </row>
    <row r="156" spans="2:25" ht="12" customHeight="1">
      <c r="B156" s="215" t="s">
        <v>299</v>
      </c>
      <c r="C156" s="211">
        <f>A!B1677</f>
        <v>0.41996347475500828</v>
      </c>
      <c r="D156" s="211">
        <f>A!C1677</f>
        <v>0.46293089227817585</v>
      </c>
      <c r="E156" s="211">
        <f>A!D1677</f>
        <v>0.46845118630956062</v>
      </c>
      <c r="F156" s="211">
        <f>A!E1677</f>
        <v>0.43775165348703338</v>
      </c>
      <c r="G156" s="211">
        <f>A!F1677</f>
        <v>0.44030929939147168</v>
      </c>
      <c r="H156" s="211">
        <f>A!G1677</f>
        <v>0.43000000000000016</v>
      </c>
      <c r="I156" s="211"/>
      <c r="J156" s="188">
        <f t="shared" si="18"/>
        <v>0.41996347475500828</v>
      </c>
      <c r="K156" s="211">
        <f t="shared" si="19"/>
        <v>0.46845118630956062</v>
      </c>
      <c r="L156" s="27">
        <f t="shared" si="20"/>
        <v>0.1093951859735393</v>
      </c>
      <c r="M156" s="35"/>
      <c r="N156" s="222">
        <f>A!H1677</f>
        <v>0</v>
      </c>
      <c r="Y156" s="2"/>
    </row>
    <row r="157" spans="2:25" ht="12" customHeight="1">
      <c r="B157" s="215" t="s">
        <v>300</v>
      </c>
      <c r="C157" s="211">
        <f>A!B1678</f>
        <v>1.210608694129256E-3</v>
      </c>
      <c r="D157" s="211">
        <f>A!C1678</f>
        <v>1.3724131510370885E-2</v>
      </c>
      <c r="E157" s="211">
        <f>A!D1678</f>
        <v>1.454754124542168E-2</v>
      </c>
      <c r="F157" s="211">
        <f>A!E1678</f>
        <v>1.6855010360993461E-2</v>
      </c>
      <c r="G157" s="211"/>
      <c r="H157" s="211">
        <f>A!G1678</f>
        <v>2.9999999999999805E-2</v>
      </c>
      <c r="I157" s="211"/>
      <c r="J157" s="188">
        <f t="shared" si="18"/>
        <v>1.210608694129256E-3</v>
      </c>
      <c r="K157" s="211">
        <f t="shared" si="19"/>
        <v>2.9999999999999805E-2</v>
      </c>
      <c r="L157" s="27">
        <f t="shared" si="20"/>
        <v>1.8856702027877086</v>
      </c>
      <c r="M157" s="35"/>
      <c r="N157" s="222">
        <f>A!H1678</f>
        <v>0</v>
      </c>
      <c r="Y157" s="2"/>
    </row>
    <row r="158" spans="2:25" ht="12" customHeight="1">
      <c r="B158" s="215" t="s">
        <v>306</v>
      </c>
      <c r="C158" s="211">
        <f>A!B1679</f>
        <v>-9.551085122376346E-3</v>
      </c>
      <c r="D158" s="211">
        <f>A!C1679</f>
        <v>-2.5269055819481245E-2</v>
      </c>
      <c r="E158" s="211">
        <f>A!D1679</f>
        <v>-2.6661273644267069E-2</v>
      </c>
      <c r="F158" s="211"/>
      <c r="G158" s="211"/>
      <c r="H158" s="211">
        <f>A!G1679</f>
        <v>-2.0000000000000018E-2</v>
      </c>
      <c r="I158" s="211"/>
      <c r="J158" s="188">
        <f t="shared" si="18"/>
        <v>-2.6661273644267069E-2</v>
      </c>
      <c r="K158" s="211">
        <f t="shared" si="19"/>
        <v>-9.551085122376346E-3</v>
      </c>
      <c r="L158" s="27">
        <f t="shared" si="20"/>
        <v>-0.83995539885015136</v>
      </c>
      <c r="M158" s="35"/>
      <c r="N158" s="222">
        <f>A!H1679</f>
        <v>0</v>
      </c>
      <c r="Y158" s="2"/>
    </row>
    <row r="159" spans="2:25" ht="12" customHeight="1">
      <c r="B159" s="215" t="s">
        <v>307</v>
      </c>
      <c r="C159" s="211">
        <f>A!B1680</f>
        <v>-2.2999937642001367E-2</v>
      </c>
      <c r="D159" s="211">
        <f>A!C1680</f>
        <v>-2.2393893669617526E-2</v>
      </c>
      <c r="E159" s="211">
        <f>A!D1680</f>
        <v>-1.9831019794521065E-2</v>
      </c>
      <c r="F159" s="211">
        <f>A!E1680</f>
        <v>-2.0418772804253305E-2</v>
      </c>
      <c r="G159" s="211"/>
      <c r="H159" s="211">
        <f>A!G1680</f>
        <v>-2.0000000000000018E-2</v>
      </c>
      <c r="I159" s="211"/>
      <c r="J159" s="188">
        <f t="shared" si="18"/>
        <v>-2.2999937642001367E-2</v>
      </c>
      <c r="K159" s="211">
        <f t="shared" si="19"/>
        <v>-1.9831019794521065E-2</v>
      </c>
      <c r="L159" s="27">
        <f t="shared" si="20"/>
        <v>-0.14998150054792569</v>
      </c>
      <c r="M159" s="35"/>
      <c r="N159" s="222">
        <f>A!H1680</f>
        <v>0</v>
      </c>
      <c r="Y159" s="2"/>
    </row>
    <row r="160" spans="2:25" ht="12" customHeight="1">
      <c r="B160" s="215" t="s">
        <v>308</v>
      </c>
      <c r="C160" s="211">
        <f>A!B1681</f>
        <v>-2.8270179604654722E-2</v>
      </c>
      <c r="D160" s="211">
        <f>A!C1681</f>
        <v>-2.4649107315888763E-2</v>
      </c>
      <c r="E160" s="211">
        <f>A!D1681</f>
        <v>-2.5889399176201255E-2</v>
      </c>
      <c r="F160" s="211">
        <f>A!E1681</f>
        <v>-2.4350810618261054E-2</v>
      </c>
      <c r="G160" s="211"/>
      <c r="H160" s="211">
        <f>A!G1681</f>
        <v>-2.0000000000000018E-2</v>
      </c>
      <c r="I160" s="211"/>
      <c r="J160" s="188">
        <f t="shared" si="18"/>
        <v>-2.8270179604654722E-2</v>
      </c>
      <c r="K160" s="211">
        <f t="shared" si="19"/>
        <v>-2.0000000000000018E-2</v>
      </c>
      <c r="L160" s="27">
        <f t="shared" si="20"/>
        <v>-0.33575078760642019</v>
      </c>
      <c r="M160" s="35"/>
      <c r="N160" s="222">
        <f>A!H1681</f>
        <v>0</v>
      </c>
      <c r="Y160" s="2"/>
    </row>
    <row r="161" spans="2:25" ht="12" customHeight="1">
      <c r="B161" s="215" t="s">
        <v>309</v>
      </c>
      <c r="C161" s="211">
        <f>A!B1682</f>
        <v>-1.7725316134948432E-2</v>
      </c>
      <c r="D161" s="211">
        <f>A!C1682</f>
        <v>-1.5393276109397558E-2</v>
      </c>
      <c r="E161" s="211">
        <f>A!D1682</f>
        <v>-1.5474084779643071E-2</v>
      </c>
      <c r="F161" s="211">
        <f>A!E1682</f>
        <v>-1.4740312922222998E-2</v>
      </c>
      <c r="G161" s="211"/>
      <c r="H161" s="211">
        <f>A!G1682</f>
        <v>-9.9999999999997868E-3</v>
      </c>
      <c r="I161" s="211"/>
      <c r="J161" s="188">
        <f t="shared" si="18"/>
        <v>-1.7725316134948432E-2</v>
      </c>
      <c r="K161" s="211">
        <f t="shared" si="19"/>
        <v>-9.9999999999997868E-3</v>
      </c>
      <c r="L161" s="27">
        <f t="shared" si="20"/>
        <v>-0.5267285665438568</v>
      </c>
      <c r="M161" s="35"/>
      <c r="N161" s="222">
        <f>A!H1682</f>
        <v>0</v>
      </c>
      <c r="Y161" s="2"/>
    </row>
    <row r="162" spans="2:25" ht="12" customHeight="1">
      <c r="B162" s="215" t="s">
        <v>301</v>
      </c>
      <c r="C162" s="211">
        <f>A!B1683</f>
        <v>-4.5013431078735344E-2</v>
      </c>
      <c r="D162" s="211">
        <f>A!C1683</f>
        <v>-1.0183447425757386E-2</v>
      </c>
      <c r="E162" s="211">
        <f>A!D1683</f>
        <v>-1.0822384240921856E-2</v>
      </c>
      <c r="F162" s="211">
        <f>A!E1683</f>
        <v>-3.3871432050562422E-2</v>
      </c>
      <c r="G162" s="211">
        <f>A!F1683</f>
        <v>-3.4365252209703989E-2</v>
      </c>
      <c r="H162" s="211">
        <f>A!G1683</f>
        <v>-2.9999999999999805E-2</v>
      </c>
      <c r="I162" s="211"/>
      <c r="J162" s="188">
        <f t="shared" si="18"/>
        <v>-4.5013431078735344E-2</v>
      </c>
      <c r="K162" s="211">
        <f t="shared" si="19"/>
        <v>-1.0183447425757386E-2</v>
      </c>
      <c r="L162" s="27">
        <f t="shared" si="20"/>
        <v>-1.2722821044077033</v>
      </c>
      <c r="M162" s="35"/>
      <c r="N162" s="222">
        <f>A!H1683</f>
        <v>0</v>
      </c>
      <c r="Y162" s="2"/>
    </row>
    <row r="163" spans="2:25" ht="12" customHeight="1">
      <c r="B163" s="215" t="s">
        <v>302</v>
      </c>
      <c r="C163" s="211">
        <f>A!B1684</f>
        <v>0.40948138278354662</v>
      </c>
      <c r="D163" s="211">
        <f>A!C1684</f>
        <v>0.41598491592011166</v>
      </c>
      <c r="E163" s="211">
        <f>A!D1684</f>
        <v>0.4157662817379939</v>
      </c>
      <c r="F163" s="211">
        <f>A!E1684</f>
        <v>0.40813576878035107</v>
      </c>
      <c r="G163" s="211">
        <f>A!F1684</f>
        <v>0.39712878570291199</v>
      </c>
      <c r="H163" s="211">
        <f>A!G1684</f>
        <v>0.4099999999999997</v>
      </c>
      <c r="I163" s="211"/>
      <c r="J163" s="188">
        <f t="shared" si="18"/>
        <v>0.39712878570291199</v>
      </c>
      <c r="K163" s="211">
        <f t="shared" si="19"/>
        <v>0.41598491592011166</v>
      </c>
      <c r="L163" s="27">
        <f t="shared" si="20"/>
        <v>4.6056142176879096E-2</v>
      </c>
      <c r="M163" s="35"/>
      <c r="N163" s="222">
        <f>A!H1684</f>
        <v>0</v>
      </c>
      <c r="Y163" s="2"/>
    </row>
    <row r="164" spans="2:25" ht="12" customHeight="1">
      <c r="B164" s="215" t="s">
        <v>303</v>
      </c>
      <c r="C164" s="211">
        <f>A!B1685</f>
        <v>0.582472929172408</v>
      </c>
      <c r="D164" s="211">
        <f>A!C1685</f>
        <v>0.57413854735219161</v>
      </c>
      <c r="E164" s="211">
        <f>A!D1685</f>
        <v>0.57203585317648553</v>
      </c>
      <c r="F164" s="211">
        <f>A!E1685</f>
        <v>0.57773378434848244</v>
      </c>
      <c r="G164" s="211">
        <f>A!F1685</f>
        <v>0.60629102758884601</v>
      </c>
      <c r="H164" s="211">
        <f>A!G1685</f>
        <v>0.49000000000000021</v>
      </c>
      <c r="I164" s="211"/>
      <c r="J164" s="188">
        <f t="shared" si="18"/>
        <v>0.49000000000000021</v>
      </c>
      <c r="K164" s="211">
        <f t="shared" si="19"/>
        <v>0.60629102758884601</v>
      </c>
      <c r="L164" s="27">
        <f t="shared" si="20"/>
        <v>0.20505830020905405</v>
      </c>
      <c r="M164" s="35"/>
      <c r="N164" s="222">
        <f>A!H1685</f>
        <v>0</v>
      </c>
      <c r="Y164" s="2"/>
    </row>
    <row r="165" spans="2:25" ht="12" customHeight="1">
      <c r="B165" s="215" t="s">
        <v>304</v>
      </c>
      <c r="C165" s="211">
        <f>A!B1686</f>
        <v>-0.24222778262640654</v>
      </c>
      <c r="D165" s="211">
        <f>A!C1686</f>
        <v>-0.25848576199149109</v>
      </c>
      <c r="E165" s="211">
        <f>A!D1686</f>
        <v>-0.25718157954594156</v>
      </c>
      <c r="F165" s="211">
        <f>A!E1686</f>
        <v>-0.24762251643361433</v>
      </c>
      <c r="G165" s="211">
        <f>A!F1686</f>
        <v>-0.27644510664767408</v>
      </c>
      <c r="H165" s="211">
        <f>A!G1686</f>
        <v>-0.2200000000000002</v>
      </c>
      <c r="I165" s="211"/>
      <c r="J165" s="188">
        <f t="shared" si="18"/>
        <v>-0.27644510664767408</v>
      </c>
      <c r="K165" s="211">
        <f t="shared" si="19"/>
        <v>-0.2200000000000002</v>
      </c>
      <c r="L165" s="27">
        <f t="shared" si="20"/>
        <v>-0.22548537938589133</v>
      </c>
      <c r="M165" s="35"/>
      <c r="N165" s="222">
        <f>A!H1686</f>
        <v>0</v>
      </c>
      <c r="Y165" s="2"/>
    </row>
    <row r="166" spans="2:25" ht="12" customHeight="1" thickBot="1">
      <c r="B166" s="216" t="s">
        <v>305</v>
      </c>
      <c r="C166" s="211">
        <f>A!B1687</f>
        <v>0.56009649461553357</v>
      </c>
      <c r="D166" s="211">
        <f>A!C1687</f>
        <v>0.55852744677689747</v>
      </c>
      <c r="E166" s="211">
        <f>A!D1687</f>
        <v>0.5603586594324832</v>
      </c>
      <c r="F166" s="211">
        <f>A!E1687</f>
        <v>0.4697372067489245</v>
      </c>
      <c r="G166" s="211">
        <f>A!F1687</f>
        <v>0.54603541998267113</v>
      </c>
      <c r="H166" s="211">
        <f>A!G1687</f>
        <v>0.51000000000000023</v>
      </c>
      <c r="I166" s="211"/>
      <c r="J166" s="189">
        <f t="shared" si="18"/>
        <v>0.4697372067489245</v>
      </c>
      <c r="K166" s="153">
        <f t="shared" si="19"/>
        <v>0.5603586594324832</v>
      </c>
      <c r="L166" s="30">
        <f t="shared" si="20"/>
        <v>0.16966310294965095</v>
      </c>
      <c r="M166" s="35"/>
      <c r="N166" s="222">
        <f>A!H1687</f>
        <v>0</v>
      </c>
      <c r="Y166" s="2"/>
    </row>
    <row r="167" spans="2:25" ht="12" customHeight="1" thickTop="1">
      <c r="B167" s="19" t="s">
        <v>264</v>
      </c>
      <c r="C167" s="144"/>
      <c r="D167" s="145"/>
      <c r="E167" s="144"/>
      <c r="F167" s="145"/>
      <c r="G167" s="145"/>
      <c r="H167" s="145"/>
      <c r="I167" s="20"/>
      <c r="J167" s="147" t="s">
        <v>24</v>
      </c>
      <c r="K167" s="144"/>
      <c r="L167" s="146"/>
      <c r="M167" s="35"/>
      <c r="N167" s="673"/>
      <c r="Y167" s="2"/>
    </row>
    <row r="168" spans="2:25" ht="12" customHeight="1">
      <c r="B168" s="170"/>
      <c r="C168" s="205" t="s">
        <v>245</v>
      </c>
      <c r="D168" s="22" t="s">
        <v>536</v>
      </c>
      <c r="E168" s="205" t="s">
        <v>258</v>
      </c>
      <c r="F168" s="352" t="s">
        <v>433</v>
      </c>
      <c r="G168" s="436" t="s">
        <v>469</v>
      </c>
      <c r="H168" s="437" t="s">
        <v>482</v>
      </c>
      <c r="I168" s="438"/>
      <c r="J168" s="200"/>
      <c r="K168" s="200"/>
      <c r="L168" s="23" t="s">
        <v>25</v>
      </c>
      <c r="M168" s="35"/>
      <c r="N168" s="673"/>
      <c r="Y168" s="2"/>
    </row>
    <row r="169" spans="2:25" ht="12" customHeight="1">
      <c r="B169" s="171"/>
      <c r="C169" s="24" t="s">
        <v>26</v>
      </c>
      <c r="D169" s="24" t="s">
        <v>13</v>
      </c>
      <c r="E169" s="24" t="s">
        <v>13</v>
      </c>
      <c r="F169" s="353" t="s">
        <v>434</v>
      </c>
      <c r="G169" s="353" t="s">
        <v>452</v>
      </c>
      <c r="H169" s="353" t="s">
        <v>483</v>
      </c>
      <c r="I169" s="439"/>
      <c r="J169" s="24" t="s">
        <v>27</v>
      </c>
      <c r="K169" s="24" t="s">
        <v>28</v>
      </c>
      <c r="L169" s="25" t="s">
        <v>259</v>
      </c>
      <c r="M169" s="35"/>
      <c r="N169" s="685" t="s">
        <v>522</v>
      </c>
      <c r="Y169" s="2"/>
    </row>
    <row r="170" spans="2:25" ht="12" customHeight="1">
      <c r="B170" s="214" t="s">
        <v>295</v>
      </c>
      <c r="C170" s="219">
        <f>A!B1700</f>
        <v>0.13129856164381337</v>
      </c>
      <c r="D170" s="219">
        <f>A!C1700</f>
        <v>5.5555555555560687E-2</v>
      </c>
      <c r="E170" s="219">
        <f>A!D1700</f>
        <v>0</v>
      </c>
      <c r="F170" s="219">
        <f>A!E1700</f>
        <v>2.3646671946799813E-3</v>
      </c>
      <c r="G170" s="219">
        <f>A!F1700</f>
        <v>8.0616438356280185E-3</v>
      </c>
      <c r="H170" s="219">
        <f>A!G1700</f>
        <v>2.0000000000003126E-2</v>
      </c>
      <c r="I170" s="219"/>
      <c r="J170" s="471">
        <f t="shared" ref="J170:J187" si="21">MINA(C170:I170)</f>
        <v>0</v>
      </c>
      <c r="K170" s="219">
        <f t="shared" ref="K170:K187" si="22">MAXA(C170:I170)</f>
        <v>0.13129856164381337</v>
      </c>
      <c r="L170" s="27">
        <f t="shared" ref="L170:L187" si="23">(K170-J170)/AVERAGE(C170:I170)</f>
        <v>3.625689512311312</v>
      </c>
      <c r="M170" s="35"/>
      <c r="N170" s="598">
        <f>A!H1700</f>
        <v>0</v>
      </c>
      <c r="Y170" s="2"/>
    </row>
    <row r="171" spans="2:25" ht="12" customHeight="1">
      <c r="B171" s="215" t="s">
        <v>296</v>
      </c>
      <c r="C171" s="219">
        <f>A!B1701</f>
        <v>0.27622477625561714</v>
      </c>
      <c r="D171" s="219">
        <f>A!C1701</f>
        <v>0.33333333333333925</v>
      </c>
      <c r="E171" s="219">
        <f>A!D1701</f>
        <v>0.33333333333333925</v>
      </c>
      <c r="F171" s="219">
        <f>A!E1701</f>
        <v>0.14305113383518986</v>
      </c>
      <c r="G171" s="219">
        <f>A!F1701</f>
        <v>0.24570662100454754</v>
      </c>
      <c r="H171" s="219">
        <f>A!G1701</f>
        <v>0.5400000000000027</v>
      </c>
      <c r="I171" s="219"/>
      <c r="J171" s="190">
        <f t="shared" si="21"/>
        <v>0.14305113383518986</v>
      </c>
      <c r="K171" s="219">
        <f t="shared" si="22"/>
        <v>0.5400000000000027</v>
      </c>
      <c r="L171" s="27">
        <f t="shared" si="23"/>
        <v>1.2725104682205992</v>
      </c>
      <c r="M171" s="35"/>
      <c r="N171" s="598">
        <f>A!H1701</f>
        <v>0</v>
      </c>
      <c r="Y171" s="2"/>
    </row>
    <row r="172" spans="2:25" ht="12" customHeight="1">
      <c r="B172" s="215" t="s">
        <v>297</v>
      </c>
      <c r="C172" s="219">
        <f>A!B1702</f>
        <v>0.25545473744285019</v>
      </c>
      <c r="D172" s="219">
        <f>A!C1702</f>
        <v>0.22222222222222499</v>
      </c>
      <c r="E172" s="219">
        <f>A!D1702</f>
        <v>0.22222222222222499</v>
      </c>
      <c r="F172" s="219">
        <f>A!E1702</f>
        <v>0.20615181614234501</v>
      </c>
      <c r="G172" s="219">
        <f>A!F1702</f>
        <v>0.21382191780817195</v>
      </c>
      <c r="H172" s="219">
        <f>A!G1702</f>
        <v>0.19000000000000128</v>
      </c>
      <c r="I172" s="219"/>
      <c r="J172" s="190">
        <f t="shared" si="21"/>
        <v>0.19000000000000128</v>
      </c>
      <c r="K172" s="219">
        <f t="shared" si="22"/>
        <v>0.25545473744285019</v>
      </c>
      <c r="L172" s="27">
        <f t="shared" si="23"/>
        <v>0.29982177653157843</v>
      </c>
      <c r="M172" s="35"/>
      <c r="N172" s="598">
        <f>A!H1702</f>
        <v>0</v>
      </c>
      <c r="Y172" s="2"/>
    </row>
    <row r="173" spans="2:25" ht="12" customHeight="1">
      <c r="B173" s="215" t="s">
        <v>422</v>
      </c>
      <c r="C173" s="219">
        <f>A!B1703</f>
        <v>-2.0770038812766956E-2</v>
      </c>
      <c r="D173" s="219">
        <f>A!C1703</f>
        <v>-0.11111111111111427</v>
      </c>
      <c r="E173" s="219">
        <f>A!D1703</f>
        <v>-0.11111111111111427</v>
      </c>
      <c r="F173" s="219">
        <f>A!E1703</f>
        <v>6.3100682307155154E-2</v>
      </c>
      <c r="G173" s="219">
        <f>A!F1703</f>
        <v>-3.1884703196375597E-2</v>
      </c>
      <c r="H173" s="219">
        <f>A!G1703</f>
        <v>-0.35000000000000142</v>
      </c>
      <c r="I173" s="219"/>
      <c r="J173" s="190">
        <f t="shared" si="21"/>
        <v>-0.35000000000000142</v>
      </c>
      <c r="K173" s="219">
        <f t="shared" si="22"/>
        <v>6.3100682307155154E-2</v>
      </c>
      <c r="L173" s="27">
        <f t="shared" si="23"/>
        <v>-4.4120839088349033</v>
      </c>
      <c r="M173" s="35"/>
      <c r="N173" s="598">
        <f>A!H1703</f>
        <v>0</v>
      </c>
      <c r="Y173" s="2"/>
    </row>
    <row r="174" spans="2:25" ht="12" customHeight="1">
      <c r="B174" s="215" t="s">
        <v>423</v>
      </c>
      <c r="C174" s="219">
        <f>A!B1704</f>
        <v>0.25135318493148162</v>
      </c>
      <c r="D174" s="219">
        <f>A!C1704</f>
        <v>0.22222222222222499</v>
      </c>
      <c r="E174" s="219">
        <f>A!D1704</f>
        <v>0.22222222222222499</v>
      </c>
      <c r="F174" s="219">
        <f>A!E1704</f>
        <v>0.2213932691713012</v>
      </c>
      <c r="G174" s="219">
        <f>A!F1704</f>
        <v>0.22721575342464106</v>
      </c>
      <c r="H174" s="219">
        <f>A!G1704</f>
        <v>0.22000000000000242</v>
      </c>
      <c r="I174" s="219"/>
      <c r="J174" s="190">
        <f t="shared" si="21"/>
        <v>0.22000000000000242</v>
      </c>
      <c r="K174" s="219">
        <f t="shared" si="22"/>
        <v>0.25135318493148162</v>
      </c>
      <c r="L174" s="27">
        <f t="shared" si="23"/>
        <v>0.13787613049012959</v>
      </c>
      <c r="M174" s="35"/>
      <c r="N174" s="598">
        <f>A!H1704</f>
        <v>0</v>
      </c>
      <c r="Y174" s="2"/>
    </row>
    <row r="175" spans="2:25" ht="12" customHeight="1">
      <c r="B175" s="215" t="s">
        <v>424</v>
      </c>
      <c r="C175" s="219">
        <f>A!B1705</f>
        <v>4.1015525113685669E-3</v>
      </c>
      <c r="D175" s="219">
        <f>A!C1705</f>
        <v>0</v>
      </c>
      <c r="E175" s="219">
        <f>A!D1705</f>
        <v>0</v>
      </c>
      <c r="F175" s="219">
        <f>A!E1705</f>
        <v>-1.5241453028956187E-2</v>
      </c>
      <c r="G175" s="219">
        <f>A!F1705</f>
        <v>-1.3393835616469119E-2</v>
      </c>
      <c r="H175" s="219">
        <f>A!G1705</f>
        <v>-3.0000000000001137E-2</v>
      </c>
      <c r="I175" s="219"/>
      <c r="J175" s="190">
        <f t="shared" si="21"/>
        <v>-3.0000000000001137E-2</v>
      </c>
      <c r="K175" s="219">
        <f t="shared" si="22"/>
        <v>4.1015525113685669E-3</v>
      </c>
      <c r="L175" s="27">
        <f t="shared" si="23"/>
        <v>-3.7519768417340083</v>
      </c>
      <c r="M175" s="35"/>
      <c r="N175" s="598">
        <f>A!H1705</f>
        <v>0</v>
      </c>
      <c r="Y175" s="2"/>
    </row>
    <row r="176" spans="2:25" ht="12" customHeight="1">
      <c r="B176" s="215" t="s">
        <v>298</v>
      </c>
      <c r="C176" s="219">
        <f>A!B1706</f>
        <v>2.0351909817350169</v>
      </c>
      <c r="D176" s="219">
        <f>A!C1706</f>
        <v>2.1111111111111107</v>
      </c>
      <c r="E176" s="219">
        <f>A!D1706</f>
        <v>2.1111111111111107</v>
      </c>
      <c r="F176" s="219">
        <f>A!E1706</f>
        <v>2.1477256947672601</v>
      </c>
      <c r="G176" s="219">
        <f>A!F1706</f>
        <v>2.1869520547945172</v>
      </c>
      <c r="H176" s="219">
        <f>A!G1706</f>
        <v>2.16</v>
      </c>
      <c r="I176" s="219"/>
      <c r="J176" s="190">
        <f t="shared" si="21"/>
        <v>2.0351909817350169</v>
      </c>
      <c r="K176" s="219">
        <f t="shared" si="22"/>
        <v>2.1869520547945172</v>
      </c>
      <c r="L176" s="27">
        <f t="shared" si="23"/>
        <v>7.1405265354206507E-2</v>
      </c>
      <c r="M176" s="35"/>
      <c r="N176" s="598">
        <f>A!H1706</f>
        <v>0</v>
      </c>
      <c r="Y176" s="2"/>
    </row>
    <row r="177" spans="2:25" ht="12" customHeight="1">
      <c r="B177" s="215" t="s">
        <v>299</v>
      </c>
      <c r="C177" s="219">
        <f>A!B1707</f>
        <v>1.7406740296803136</v>
      </c>
      <c r="D177" s="219">
        <f>A!C1707</f>
        <v>1.5555555555555536</v>
      </c>
      <c r="E177" s="219">
        <f>A!D1707</f>
        <v>1.5</v>
      </c>
      <c r="F177" s="219">
        <f>A!E1707</f>
        <v>1.3420175834029422</v>
      </c>
      <c r="G177" s="219">
        <f>A!F1707</f>
        <v>1.3992294520547652</v>
      </c>
      <c r="H177" s="219">
        <f>A!G1707</f>
        <v>1.3800000000000026</v>
      </c>
      <c r="I177" s="219"/>
      <c r="J177" s="190">
        <f t="shared" si="21"/>
        <v>1.3420175834029422</v>
      </c>
      <c r="K177" s="219">
        <f t="shared" si="22"/>
        <v>1.7406740296803136</v>
      </c>
      <c r="L177" s="27">
        <f t="shared" si="23"/>
        <v>0.26823044000065904</v>
      </c>
      <c r="M177" s="35"/>
      <c r="N177" s="598">
        <f>A!H1707</f>
        <v>0</v>
      </c>
      <c r="Y177" s="2"/>
    </row>
    <row r="178" spans="2:25" ht="12" customHeight="1">
      <c r="B178" s="215" t="s">
        <v>300</v>
      </c>
      <c r="C178" s="219">
        <f>A!B1708</f>
        <v>0.50201984018265478</v>
      </c>
      <c r="D178" s="219">
        <f>A!C1708</f>
        <v>0</v>
      </c>
      <c r="E178" s="219">
        <f>A!D1708</f>
        <v>0</v>
      </c>
      <c r="F178" s="219">
        <f>A!E1708</f>
        <v>1.3587400040400155E-3</v>
      </c>
      <c r="G178" s="219"/>
      <c r="H178" s="219">
        <f>A!G1708</f>
        <v>0</v>
      </c>
      <c r="I178" s="219"/>
      <c r="J178" s="190">
        <f t="shared" si="21"/>
        <v>0</v>
      </c>
      <c r="K178" s="219">
        <f t="shared" si="22"/>
        <v>0.50201984018265478</v>
      </c>
      <c r="L178" s="27">
        <f t="shared" si="23"/>
        <v>4.986503795974631</v>
      </c>
      <c r="M178" s="35"/>
      <c r="N178" s="598">
        <f>A!H1708</f>
        <v>0</v>
      </c>
      <c r="Y178" s="2"/>
    </row>
    <row r="179" spans="2:25" ht="12" customHeight="1">
      <c r="B179" s="215" t="s">
        <v>306</v>
      </c>
      <c r="C179" s="219">
        <f>A!B1709</f>
        <v>0.49787178082191019</v>
      </c>
      <c r="D179" s="219">
        <f>A!C1709</f>
        <v>0</v>
      </c>
      <c r="E179" s="219">
        <f>A!D1709</f>
        <v>0</v>
      </c>
      <c r="F179" s="219"/>
      <c r="G179" s="219"/>
      <c r="H179" s="219">
        <f>A!G1709</f>
        <v>0</v>
      </c>
      <c r="I179" s="219"/>
      <c r="J179" s="190">
        <f t="shared" si="21"/>
        <v>0</v>
      </c>
      <c r="K179" s="219">
        <f t="shared" si="22"/>
        <v>0.49787178082191019</v>
      </c>
      <c r="L179" s="27">
        <f t="shared" si="23"/>
        <v>4</v>
      </c>
      <c r="M179" s="35"/>
      <c r="N179" s="598">
        <f>A!H1709</f>
        <v>0</v>
      </c>
      <c r="Y179" s="2"/>
    </row>
    <row r="180" spans="2:25" ht="12" customHeight="1">
      <c r="B180" s="215" t="s">
        <v>307</v>
      </c>
      <c r="C180" s="219">
        <f>A!B1710</f>
        <v>0.30189928082198136</v>
      </c>
      <c r="D180" s="219">
        <f>A!C1710</f>
        <v>0</v>
      </c>
      <c r="E180" s="219">
        <f>A!D1710</f>
        <v>0</v>
      </c>
      <c r="F180" s="219">
        <f>A!E1710</f>
        <v>-6.2526505463011972E-5</v>
      </c>
      <c r="G180" s="219"/>
      <c r="H180" s="219">
        <f>A!G1710</f>
        <v>0</v>
      </c>
      <c r="I180" s="219"/>
      <c r="J180" s="190">
        <f t="shared" si="21"/>
        <v>-6.2526505463011972E-5</v>
      </c>
      <c r="K180" s="219">
        <f t="shared" si="22"/>
        <v>0.30189928082198136</v>
      </c>
      <c r="L180" s="27">
        <f t="shared" si="23"/>
        <v>5.0020715338529467</v>
      </c>
      <c r="M180" s="35"/>
      <c r="N180" s="598">
        <f>A!H1710</f>
        <v>0</v>
      </c>
      <c r="Y180" s="2"/>
    </row>
    <row r="181" spans="2:25" ht="12" customHeight="1">
      <c r="B181" s="215" t="s">
        <v>308</v>
      </c>
      <c r="C181" s="219">
        <f>A!B1711</f>
        <v>0.36730779680366865</v>
      </c>
      <c r="D181" s="219">
        <f>A!C1711</f>
        <v>0</v>
      </c>
      <c r="E181" s="219">
        <f>A!D1711</f>
        <v>0</v>
      </c>
      <c r="F181" s="219">
        <f>A!E1711</f>
        <v>-6.9725084234306678E-5</v>
      </c>
      <c r="G181" s="219"/>
      <c r="H181" s="219">
        <f>A!G1711</f>
        <v>0</v>
      </c>
      <c r="I181" s="219"/>
      <c r="J181" s="190">
        <f t="shared" si="21"/>
        <v>-6.9725084234306678E-5</v>
      </c>
      <c r="K181" s="219">
        <f t="shared" si="22"/>
        <v>0.36730779680366865</v>
      </c>
      <c r="L181" s="27">
        <f t="shared" si="23"/>
        <v>5.0018986344173912</v>
      </c>
      <c r="M181" s="35"/>
      <c r="N181" s="598">
        <f>A!H1711</f>
        <v>0</v>
      </c>
      <c r="Y181" s="2"/>
    </row>
    <row r="182" spans="2:25" ht="12" customHeight="1">
      <c r="B182" s="215" t="s">
        <v>309</v>
      </c>
      <c r="C182" s="219">
        <f>A!B1712</f>
        <v>0.28749655251141704</v>
      </c>
      <c r="D182" s="219">
        <f>A!C1712</f>
        <v>0</v>
      </c>
      <c r="E182" s="219">
        <f>A!D1712</f>
        <v>0</v>
      </c>
      <c r="F182" s="219">
        <f>A!E1712</f>
        <v>-3.3825975634727001E-5</v>
      </c>
      <c r="G182" s="219"/>
      <c r="H182" s="219">
        <f>A!G1712</f>
        <v>0</v>
      </c>
      <c r="I182" s="219"/>
      <c r="J182" s="190">
        <f t="shared" si="21"/>
        <v>-3.3825975634727001E-5</v>
      </c>
      <c r="K182" s="219">
        <f t="shared" si="22"/>
        <v>0.28749655251141704</v>
      </c>
      <c r="L182" s="27">
        <f t="shared" si="23"/>
        <v>5.0011767082307461</v>
      </c>
      <c r="M182" s="35"/>
      <c r="N182" s="598">
        <f>A!H1712</f>
        <v>0</v>
      </c>
      <c r="Y182" s="2"/>
    </row>
    <row r="183" spans="2:25" ht="12" customHeight="1">
      <c r="B183" s="215" t="s">
        <v>301</v>
      </c>
      <c r="C183" s="219">
        <f>A!B1713</f>
        <v>-3.3900918367580601</v>
      </c>
      <c r="D183" s="219">
        <f>A!C1713</f>
        <v>-3.3888888888888857</v>
      </c>
      <c r="E183" s="219">
        <f>A!D1713</f>
        <v>-3.5</v>
      </c>
      <c r="F183" s="219">
        <f>A!E1713</f>
        <v>-3.685407287967049</v>
      </c>
      <c r="G183" s="219">
        <f>A!F1713</f>
        <v>-2.9838184931507072</v>
      </c>
      <c r="H183" s="219">
        <f>A!G1713</f>
        <v>-1.129999999999999</v>
      </c>
      <c r="I183" s="219"/>
      <c r="J183" s="190">
        <f t="shared" si="21"/>
        <v>-3.685407287967049</v>
      </c>
      <c r="K183" s="219">
        <f t="shared" si="22"/>
        <v>-1.129999999999999</v>
      </c>
      <c r="L183" s="27">
        <f t="shared" si="23"/>
        <v>-0.84811752327671652</v>
      </c>
      <c r="M183" s="35"/>
      <c r="N183" s="598">
        <f>A!H1713</f>
        <v>0</v>
      </c>
      <c r="Y183" s="2"/>
    </row>
    <row r="184" spans="2:25" ht="12" customHeight="1">
      <c r="B184" s="215" t="s">
        <v>302</v>
      </c>
      <c r="C184" s="219">
        <f>A!B1714</f>
        <v>1.2445157952069188</v>
      </c>
      <c r="D184" s="219">
        <f>A!C1714</f>
        <v>0.11111111111111072</v>
      </c>
      <c r="E184" s="219">
        <f>A!D1714</f>
        <v>0.11111111111111072</v>
      </c>
      <c r="F184" s="219">
        <f>A!E1714</f>
        <v>-2.2969494277099045E-2</v>
      </c>
      <c r="G184" s="219">
        <f>A!F1714</f>
        <v>0</v>
      </c>
      <c r="H184" s="219">
        <f>A!G1714</f>
        <v>0</v>
      </c>
      <c r="I184" s="219"/>
      <c r="J184" s="190">
        <f t="shared" si="21"/>
        <v>-2.2969494277099045E-2</v>
      </c>
      <c r="K184" s="219">
        <f t="shared" si="22"/>
        <v>1.2445157952069188</v>
      </c>
      <c r="L184" s="27">
        <f t="shared" si="23"/>
        <v>5.2674037527158672</v>
      </c>
      <c r="M184" s="35"/>
      <c r="N184" s="598">
        <f>A!H1714</f>
        <v>0</v>
      </c>
      <c r="Y184" s="2"/>
    </row>
    <row r="185" spans="2:25" ht="12" customHeight="1">
      <c r="B185" s="215" t="s">
        <v>303</v>
      </c>
      <c r="C185" s="219">
        <f>A!B1715</f>
        <v>13.3271614098173</v>
      </c>
      <c r="D185" s="219">
        <f>A!C1715</f>
        <v>13.611111111111111</v>
      </c>
      <c r="E185" s="219">
        <f>A!D1715</f>
        <v>13.555555555555546</v>
      </c>
      <c r="F185" s="219">
        <f>A!E1715</f>
        <v>13.502765643540672</v>
      </c>
      <c r="G185" s="219">
        <f>A!F1715</f>
        <v>13.62885844748866</v>
      </c>
      <c r="H185" s="219">
        <f>A!G1715</f>
        <v>15.8</v>
      </c>
      <c r="I185" s="219"/>
      <c r="J185" s="190">
        <f t="shared" si="21"/>
        <v>13.3271614098173</v>
      </c>
      <c r="K185" s="219">
        <f t="shared" si="22"/>
        <v>15.8</v>
      </c>
      <c r="L185" s="27">
        <f t="shared" si="23"/>
        <v>0.17784778093026496</v>
      </c>
      <c r="M185" s="35"/>
      <c r="N185" s="598">
        <f>A!H1715</f>
        <v>0</v>
      </c>
      <c r="Y185" s="2"/>
    </row>
    <row r="186" spans="2:25" ht="12" customHeight="1">
      <c r="B186" s="215" t="s">
        <v>304</v>
      </c>
      <c r="C186" s="219">
        <f>A!B1716</f>
        <v>-0.20888162442924596</v>
      </c>
      <c r="D186" s="219">
        <f>A!C1716</f>
        <v>-5.5555555555560687E-2</v>
      </c>
      <c r="E186" s="219">
        <f>A!D1716</f>
        <v>0</v>
      </c>
      <c r="F186" s="219">
        <f>A!E1716</f>
        <v>0.19140152601516291</v>
      </c>
      <c r="G186" s="219">
        <f>A!F1716</f>
        <v>0</v>
      </c>
      <c r="H186" s="219">
        <f>A!G1716</f>
        <v>0</v>
      </c>
      <c r="I186" s="219"/>
      <c r="J186" s="190">
        <f t="shared" si="21"/>
        <v>-0.20888162442924596</v>
      </c>
      <c r="K186" s="219">
        <f t="shared" si="22"/>
        <v>0.19140152601516291</v>
      </c>
      <c r="L186" s="27">
        <f t="shared" si="23"/>
        <v>-32.883924112799569</v>
      </c>
      <c r="M186" s="35"/>
      <c r="N186" s="598">
        <f>A!H1716</f>
        <v>0</v>
      </c>
      <c r="Y186" s="2"/>
    </row>
    <row r="187" spans="2:25" ht="12" customHeight="1" thickBot="1">
      <c r="B187" s="216" t="s">
        <v>305</v>
      </c>
      <c r="C187" s="158">
        <f>A!B1717</f>
        <v>13.31593417237451</v>
      </c>
      <c r="D187" s="158">
        <f>A!C1717</f>
        <v>13.555555555555561</v>
      </c>
      <c r="E187" s="158">
        <f>A!D1717</f>
        <v>13.555555555555546</v>
      </c>
      <c r="F187" s="158">
        <f>A!E1717</f>
        <v>13.520225258436518</v>
      </c>
      <c r="G187" s="158">
        <f>A!F1717</f>
        <v>13.575986301369944</v>
      </c>
      <c r="H187" s="158">
        <f>A!G1717</f>
        <v>15.71</v>
      </c>
      <c r="I187" s="158"/>
      <c r="J187" s="191">
        <f t="shared" si="21"/>
        <v>13.31593417237451</v>
      </c>
      <c r="K187" s="158">
        <f t="shared" si="22"/>
        <v>15.71</v>
      </c>
      <c r="L187" s="30">
        <f t="shared" si="23"/>
        <v>0.17257999398963322</v>
      </c>
      <c r="M187" s="35"/>
      <c r="N187" s="598">
        <f>A!H1717</f>
        <v>0</v>
      </c>
      <c r="Y187" s="2"/>
    </row>
    <row r="188" spans="2:25" ht="12" customHeight="1" thickTop="1">
      <c r="E188" s="32" t="s">
        <v>560</v>
      </c>
      <c r="M188" s="35"/>
      <c r="N188" s="673"/>
      <c r="Y188" s="2"/>
    </row>
    <row r="189" spans="2:25" ht="12" customHeight="1">
      <c r="M189" s="35"/>
      <c r="N189" s="673"/>
      <c r="Y189" s="2"/>
    </row>
    <row r="190" spans="2:25" ht="12" customHeight="1">
      <c r="M190" s="35"/>
      <c r="N190" s="673"/>
      <c r="Y190" s="2"/>
    </row>
    <row r="191" spans="2:25" ht="17.25" customHeight="1" thickBot="1">
      <c r="B191" s="192" t="s">
        <v>525</v>
      </c>
      <c r="M191" s="35"/>
      <c r="N191" s="673"/>
      <c r="Y191" s="2"/>
    </row>
    <row r="192" spans="2:25" ht="12" customHeight="1" thickTop="1">
      <c r="B192" s="19" t="s">
        <v>243</v>
      </c>
      <c r="C192" s="144"/>
      <c r="D192" s="145"/>
      <c r="E192" s="144"/>
      <c r="F192" s="145"/>
      <c r="G192" s="145"/>
      <c r="H192" s="145"/>
      <c r="I192" s="20"/>
      <c r="J192" s="147" t="s">
        <v>24</v>
      </c>
      <c r="K192" s="144"/>
      <c r="L192" s="146"/>
      <c r="M192" s="35"/>
      <c r="N192" s="673"/>
      <c r="Y192" s="2"/>
    </row>
    <row r="193" spans="2:25" ht="12" customHeight="1">
      <c r="B193" s="170"/>
      <c r="C193" s="205" t="s">
        <v>245</v>
      </c>
      <c r="D193" s="22" t="s">
        <v>536</v>
      </c>
      <c r="E193" s="205" t="s">
        <v>258</v>
      </c>
      <c r="F193" s="352" t="s">
        <v>433</v>
      </c>
      <c r="G193" s="436" t="s">
        <v>469</v>
      </c>
      <c r="H193" s="437" t="s">
        <v>482</v>
      </c>
      <c r="I193" s="437"/>
      <c r="J193" s="148"/>
      <c r="K193" s="200"/>
      <c r="L193" s="23" t="s">
        <v>25</v>
      </c>
      <c r="M193" s="35"/>
      <c r="N193" s="673"/>
      <c r="Y193" s="2"/>
    </row>
    <row r="194" spans="2:25" ht="12" customHeight="1">
      <c r="B194" s="171"/>
      <c r="C194" s="24" t="s">
        <v>26</v>
      </c>
      <c r="D194" s="24" t="s">
        <v>13</v>
      </c>
      <c r="E194" s="24" t="s">
        <v>13</v>
      </c>
      <c r="F194" s="353" t="s">
        <v>434</v>
      </c>
      <c r="G194" s="353" t="s">
        <v>452</v>
      </c>
      <c r="H194" s="353" t="s">
        <v>483</v>
      </c>
      <c r="I194" s="353"/>
      <c r="J194" s="149" t="s">
        <v>27</v>
      </c>
      <c r="K194" s="24" t="s">
        <v>28</v>
      </c>
      <c r="L194" s="25" t="s">
        <v>259</v>
      </c>
      <c r="M194" s="35"/>
      <c r="N194" s="685" t="s">
        <v>522</v>
      </c>
      <c r="Y194" s="2"/>
    </row>
    <row r="195" spans="2:25" ht="12" customHeight="1">
      <c r="B195" s="214" t="s">
        <v>295</v>
      </c>
      <c r="C195" s="210">
        <f>A!B1730</f>
        <v>2.0018038824201213E-3</v>
      </c>
      <c r="D195" s="210">
        <f>A!C1730</f>
        <v>2.0999999999999994E-3</v>
      </c>
      <c r="E195" s="210">
        <f>A!D1730</f>
        <v>2.0999999999999994E-3</v>
      </c>
      <c r="F195" s="210">
        <f>A!E1730</f>
        <v>1.9881190888771418E-3</v>
      </c>
      <c r="G195" s="210">
        <f>A!F1730</f>
        <v>1.9998186073059507E-3</v>
      </c>
      <c r="H195" s="210">
        <f>A!G1730</f>
        <v>1.9000000000000006E-3</v>
      </c>
      <c r="I195" s="210"/>
      <c r="J195" s="426">
        <f t="shared" ref="J195:J212" si="24">MINA(C195:I195)</f>
        <v>1.9000000000000006E-3</v>
      </c>
      <c r="K195" s="210">
        <f t="shared" ref="K195:K212" si="25">MAXA(C195:I195)</f>
        <v>2.0999999999999994E-3</v>
      </c>
      <c r="L195" s="27">
        <f t="shared" ref="L195:L212" si="26">(K195-J195)/AVERAGE(C195:I195)</f>
        <v>9.9257704740669458E-2</v>
      </c>
      <c r="M195" s="35"/>
      <c r="N195" s="674">
        <f>A!H1730</f>
        <v>0</v>
      </c>
      <c r="Y195" s="2"/>
    </row>
    <row r="196" spans="2:25" ht="12" customHeight="1">
      <c r="B196" s="215" t="s">
        <v>296</v>
      </c>
      <c r="C196" s="210">
        <f>A!B1731</f>
        <v>9.189551221461395E-4</v>
      </c>
      <c r="D196" s="210">
        <f>A!C1731</f>
        <v>8.9999999999999976E-4</v>
      </c>
      <c r="E196" s="210">
        <f>A!D1731</f>
        <v>8.9999999999999976E-4</v>
      </c>
      <c r="F196" s="210">
        <f>A!E1731</f>
        <v>8.7149856487888158E-4</v>
      </c>
      <c r="G196" s="210">
        <f>A!F1731</f>
        <v>8.7437876712331483E-4</v>
      </c>
      <c r="H196" s="210">
        <f>A!G1731</f>
        <v>7.0000000000000097E-4</v>
      </c>
      <c r="I196" s="210"/>
      <c r="J196" s="426">
        <f t="shared" si="24"/>
        <v>7.0000000000000097E-4</v>
      </c>
      <c r="K196" s="210">
        <f t="shared" si="25"/>
        <v>9.189551221461395E-4</v>
      </c>
      <c r="L196" s="27">
        <f t="shared" si="26"/>
        <v>0.25436076475659092</v>
      </c>
      <c r="M196" s="35"/>
      <c r="N196" s="674">
        <f>A!H1731</f>
        <v>0</v>
      </c>
      <c r="Y196" s="2"/>
    </row>
    <row r="197" spans="2:25" ht="12" customHeight="1">
      <c r="B197" s="215" t="s">
        <v>297</v>
      </c>
      <c r="C197" s="210">
        <f>A!B1732</f>
        <v>6.7186241552512523E-4</v>
      </c>
      <c r="D197" s="210">
        <f>A!C1732</f>
        <v>7.0000000000000097E-4</v>
      </c>
      <c r="E197" s="210">
        <f>A!D1732</f>
        <v>7.0000000000000097E-4</v>
      </c>
      <c r="F197" s="210">
        <f>A!E1732</f>
        <v>7.1519293080870953E-4</v>
      </c>
      <c r="G197" s="210">
        <f>A!F1732</f>
        <v>6.3678458904108982E-4</v>
      </c>
      <c r="H197" s="210">
        <f>A!G1732</f>
        <v>7.0000000000000097E-4</v>
      </c>
      <c r="I197" s="210"/>
      <c r="J197" s="426">
        <f t="shared" si="24"/>
        <v>6.3678458904108982E-4</v>
      </c>
      <c r="K197" s="210">
        <f t="shared" si="25"/>
        <v>7.1519293080870953E-4</v>
      </c>
      <c r="L197" s="27">
        <f t="shared" si="26"/>
        <v>0.11408057974562157</v>
      </c>
      <c r="M197" s="35"/>
      <c r="N197" s="674">
        <f>A!H1732</f>
        <v>0</v>
      </c>
      <c r="Y197" s="2"/>
    </row>
    <row r="198" spans="2:25" ht="12" customHeight="1">
      <c r="B198" s="215" t="s">
        <v>422</v>
      </c>
      <c r="C198" s="210">
        <f>A!B1733</f>
        <v>-2.4709270662101428E-4</v>
      </c>
      <c r="D198" s="210">
        <f>A!C1733</f>
        <v>-1.9999999999999879E-4</v>
      </c>
      <c r="E198" s="210">
        <f>A!D1733</f>
        <v>-1.9999999999999879E-4</v>
      </c>
      <c r="F198" s="210">
        <f>A!E1733</f>
        <v>-1.5630563407017205E-4</v>
      </c>
      <c r="G198" s="210">
        <f>A!F1733</f>
        <v>-2.3759417808222501E-4</v>
      </c>
      <c r="H198" s="210">
        <f>A!G1733</f>
        <v>0</v>
      </c>
      <c r="I198" s="210"/>
      <c r="J198" s="426">
        <f t="shared" si="24"/>
        <v>-2.4709270662101428E-4</v>
      </c>
      <c r="K198" s="210">
        <f t="shared" si="25"/>
        <v>0</v>
      </c>
      <c r="L198" s="27">
        <f t="shared" si="26"/>
        <v>-1.4241756909770753</v>
      </c>
      <c r="M198" s="35"/>
      <c r="N198" s="674">
        <f>A!H1733</f>
        <v>0</v>
      </c>
      <c r="Y198" s="2"/>
    </row>
    <row r="199" spans="2:25" ht="12" customHeight="1">
      <c r="B199" s="215" t="s">
        <v>423</v>
      </c>
      <c r="C199" s="210">
        <f>A!B1734</f>
        <v>7.2232370091324279E-4</v>
      </c>
      <c r="D199" s="210">
        <f>A!C1734</f>
        <v>7.0000000000000097E-4</v>
      </c>
      <c r="E199" s="210">
        <f>A!D1734</f>
        <v>7.0000000000000097E-4</v>
      </c>
      <c r="F199" s="210">
        <f>A!E1734</f>
        <v>7.3674821021327795E-4</v>
      </c>
      <c r="G199" s="210">
        <f>A!F1734</f>
        <v>6.9351347031964584E-4</v>
      </c>
      <c r="H199" s="210">
        <f>A!G1734</f>
        <v>7.0000000000000097E-4</v>
      </c>
      <c r="I199" s="210"/>
      <c r="J199" s="426">
        <f t="shared" si="24"/>
        <v>6.9351347031964584E-4</v>
      </c>
      <c r="K199" s="210">
        <f t="shared" si="25"/>
        <v>7.3674821021327795E-4</v>
      </c>
      <c r="L199" s="27">
        <f t="shared" si="26"/>
        <v>6.1000171917436272E-2</v>
      </c>
      <c r="M199" s="35"/>
      <c r="N199" s="674">
        <f>A!H1734</f>
        <v>0</v>
      </c>
      <c r="Y199" s="2"/>
    </row>
    <row r="200" spans="2:25" ht="12" customHeight="1">
      <c r="B200" s="215" t="s">
        <v>424</v>
      </c>
      <c r="C200" s="210">
        <f>A!B1735</f>
        <v>-5.046128538811756E-5</v>
      </c>
      <c r="D200" s="210">
        <f>A!C1735</f>
        <v>0</v>
      </c>
      <c r="E200" s="210">
        <f>A!D1735</f>
        <v>0</v>
      </c>
      <c r="F200" s="210">
        <f>A!E1735</f>
        <v>-2.1555279404568417E-5</v>
      </c>
      <c r="G200" s="210">
        <f>A!F1735</f>
        <v>-5.672888127855602E-5</v>
      </c>
      <c r="H200" s="210">
        <f>A!G1735</f>
        <v>0</v>
      </c>
      <c r="I200" s="210"/>
      <c r="J200" s="426">
        <f t="shared" si="24"/>
        <v>-5.672888127855602E-5</v>
      </c>
      <c r="K200" s="210">
        <f t="shared" si="25"/>
        <v>0</v>
      </c>
      <c r="L200" s="27">
        <f t="shared" si="26"/>
        <v>-2.6437695317237764</v>
      </c>
      <c r="M200" s="35"/>
      <c r="N200" s="674">
        <f>A!H1735</f>
        <v>0</v>
      </c>
      <c r="Y200" s="2"/>
    </row>
    <row r="201" spans="2:25" ht="12" customHeight="1">
      <c r="B201" s="215" t="s">
        <v>298</v>
      </c>
      <c r="C201" s="210">
        <f>A!B1736</f>
        <v>6.3684866095889241E-4</v>
      </c>
      <c r="D201" s="210">
        <f>A!C1736</f>
        <v>8.0000000000000036E-4</v>
      </c>
      <c r="E201" s="210">
        <f>A!D1736</f>
        <v>8.0000000000000036E-4</v>
      </c>
      <c r="F201" s="210">
        <f>A!E1736</f>
        <v>6.3099153733846974E-4</v>
      </c>
      <c r="G201" s="210">
        <f>A!F1736</f>
        <v>5.8372796803650775E-4</v>
      </c>
      <c r="H201" s="210">
        <f>A!G1736</f>
        <v>5.6999999999999933E-4</v>
      </c>
      <c r="I201" s="210"/>
      <c r="J201" s="426">
        <f t="shared" si="24"/>
        <v>5.6999999999999933E-4</v>
      </c>
      <c r="K201" s="210">
        <f t="shared" si="25"/>
        <v>8.0000000000000036E-4</v>
      </c>
      <c r="L201" s="27">
        <f t="shared" si="26"/>
        <v>0.34314972242731812</v>
      </c>
      <c r="M201" s="35"/>
      <c r="N201" s="674">
        <f>A!H1736</f>
        <v>0</v>
      </c>
      <c r="Y201" s="2"/>
    </row>
    <row r="202" spans="2:25" ht="12" customHeight="1">
      <c r="B202" s="215" t="s">
        <v>299</v>
      </c>
      <c r="C202" s="210">
        <f>A!B1737</f>
        <v>-5.6960109246573763E-4</v>
      </c>
      <c r="D202" s="210">
        <f>A!C1737</f>
        <v>-5.0000000000000044E-4</v>
      </c>
      <c r="E202" s="210">
        <f>A!D1737</f>
        <v>-5.0000000000000044E-4</v>
      </c>
      <c r="F202" s="210">
        <f>A!E1737</f>
        <v>-5.59090523765347E-4</v>
      </c>
      <c r="G202" s="210">
        <f>A!F1737</f>
        <v>-6.2237066210045662E-4</v>
      </c>
      <c r="H202" s="210">
        <f>A!G1737</f>
        <v>-6.1999999999999902E-4</v>
      </c>
      <c r="I202" s="210"/>
      <c r="J202" s="426">
        <f t="shared" si="24"/>
        <v>-6.2237066210045662E-4</v>
      </c>
      <c r="K202" s="210">
        <f t="shared" si="25"/>
        <v>-5.0000000000000044E-4</v>
      </c>
      <c r="L202" s="27">
        <f t="shared" si="26"/>
        <v>-0.21780196032632498</v>
      </c>
      <c r="M202" s="35"/>
      <c r="N202" s="674">
        <f>A!H1737</f>
        <v>0</v>
      </c>
      <c r="Y202" s="2"/>
    </row>
    <row r="203" spans="2:25" ht="12" customHeight="1">
      <c r="B203" s="215" t="s">
        <v>300</v>
      </c>
      <c r="C203" s="210">
        <f>A!B1738</f>
        <v>7.3206289269409086E-4</v>
      </c>
      <c r="D203" s="210">
        <f>A!C1738</f>
        <v>8.0000000000000036E-4</v>
      </c>
      <c r="E203" s="210">
        <f>A!D1738</f>
        <v>8.0000000000000036E-4</v>
      </c>
      <c r="F203" s="210">
        <f>A!E1738</f>
        <v>8.7651396751430369E-4</v>
      </c>
      <c r="G203" s="210"/>
      <c r="H203" s="210">
        <f>A!G1738</f>
        <v>8.0000000000000036E-4</v>
      </c>
      <c r="I203" s="210"/>
      <c r="J203" s="426">
        <f t="shared" si="24"/>
        <v>7.3206289269409086E-4</v>
      </c>
      <c r="K203" s="210">
        <f t="shared" si="25"/>
        <v>8.7651396751430369E-4</v>
      </c>
      <c r="L203" s="27">
        <f t="shared" si="26"/>
        <v>0.18017750420869216</v>
      </c>
      <c r="M203" s="35"/>
      <c r="N203" s="674">
        <f>A!H1738</f>
        <v>0</v>
      </c>
      <c r="Y203" s="2"/>
    </row>
    <row r="204" spans="2:25" ht="12" customHeight="1">
      <c r="B204" s="215" t="s">
        <v>306</v>
      </c>
      <c r="C204" s="210">
        <f>A!B1739</f>
        <v>6.7139499086758814E-4</v>
      </c>
      <c r="D204" s="210">
        <f>A!C1739</f>
        <v>2.9999999999999992E-4</v>
      </c>
      <c r="E204" s="210">
        <f>A!D1739</f>
        <v>2.9999999999999992E-4</v>
      </c>
      <c r="F204" s="210"/>
      <c r="G204" s="210"/>
      <c r="H204" s="210">
        <f>A!G1739</f>
        <v>2.9999999999999992E-4</v>
      </c>
      <c r="I204" s="210"/>
      <c r="J204" s="426">
        <f t="shared" si="24"/>
        <v>2.9999999999999992E-4</v>
      </c>
      <c r="K204" s="210">
        <f t="shared" si="25"/>
        <v>6.7139499086758814E-4</v>
      </c>
      <c r="L204" s="27">
        <f t="shared" si="26"/>
        <v>0.94538927010970331</v>
      </c>
      <c r="M204" s="35"/>
      <c r="N204" s="674">
        <f>A!H1739</f>
        <v>0</v>
      </c>
      <c r="Y204" s="2"/>
    </row>
    <row r="205" spans="2:25" ht="12" customHeight="1">
      <c r="B205" s="215" t="s">
        <v>307</v>
      </c>
      <c r="C205" s="210">
        <f>A!B1740</f>
        <v>1.948053356164315E-4</v>
      </c>
      <c r="D205" s="210">
        <f>A!C1740</f>
        <v>2.0000000000000052E-4</v>
      </c>
      <c r="E205" s="210">
        <f>A!D1740</f>
        <v>2.0000000000000052E-4</v>
      </c>
      <c r="F205" s="210">
        <f>A!E1740</f>
        <v>1.8217592191088067E-4</v>
      </c>
      <c r="G205" s="210"/>
      <c r="H205" s="210">
        <f>A!G1740</f>
        <v>9.9999999999999395E-5</v>
      </c>
      <c r="I205" s="210"/>
      <c r="J205" s="426">
        <f t="shared" si="24"/>
        <v>9.9999999999999395E-5</v>
      </c>
      <c r="K205" s="210">
        <f t="shared" si="25"/>
        <v>2.0000000000000052E-4</v>
      </c>
      <c r="L205" s="27">
        <f t="shared" si="26"/>
        <v>0.57013761207369207</v>
      </c>
      <c r="M205" s="35"/>
      <c r="N205" s="674">
        <f>A!H1740</f>
        <v>0</v>
      </c>
      <c r="Y205" s="2"/>
    </row>
    <row r="206" spans="2:25" ht="12" customHeight="1">
      <c r="B206" s="215" t="s">
        <v>308</v>
      </c>
      <c r="C206" s="210">
        <f>A!B1741</f>
        <v>2.4119457648403946E-4</v>
      </c>
      <c r="D206" s="210">
        <f>A!C1741</f>
        <v>2.0000000000000052E-4</v>
      </c>
      <c r="E206" s="210">
        <f>A!D1741</f>
        <v>2.0000000000000052E-4</v>
      </c>
      <c r="F206" s="210">
        <f>A!E1741</f>
        <v>2.2162878483350697E-4</v>
      </c>
      <c r="G206" s="210"/>
      <c r="H206" s="210">
        <f>A!G1741</f>
        <v>2.0000000000000052E-4</v>
      </c>
      <c r="I206" s="210"/>
      <c r="J206" s="426">
        <f t="shared" si="24"/>
        <v>2.0000000000000052E-4</v>
      </c>
      <c r="K206" s="210">
        <f t="shared" si="25"/>
        <v>2.4119457648403946E-4</v>
      </c>
      <c r="L206" s="27">
        <f t="shared" si="26"/>
        <v>0.19379785006311553</v>
      </c>
      <c r="M206" s="35"/>
      <c r="N206" s="674">
        <f>A!H1741</f>
        <v>0</v>
      </c>
      <c r="Y206" s="2"/>
    </row>
    <row r="207" spans="2:25" ht="12" customHeight="1">
      <c r="B207" s="215" t="s">
        <v>309</v>
      </c>
      <c r="C207" s="210">
        <f>A!B1742</f>
        <v>8.8737745433848519E-5</v>
      </c>
      <c r="D207" s="210">
        <f>A!C1742</f>
        <v>9.9999999999999395E-5</v>
      </c>
      <c r="E207" s="210">
        <f>A!D1742</f>
        <v>9.9999999999999395E-5</v>
      </c>
      <c r="F207" s="210">
        <f>A!E1742</f>
        <v>6.5315778344969891E-5</v>
      </c>
      <c r="G207" s="210"/>
      <c r="H207" s="210">
        <f>A!G1742</f>
        <v>0</v>
      </c>
      <c r="I207" s="210"/>
      <c r="J207" s="426">
        <f t="shared" si="24"/>
        <v>0</v>
      </c>
      <c r="K207" s="210">
        <f t="shared" si="25"/>
        <v>9.9999999999999395E-5</v>
      </c>
      <c r="L207" s="27">
        <f t="shared" si="26"/>
        <v>1.4122158555675182</v>
      </c>
      <c r="M207" s="35"/>
      <c r="N207" s="674">
        <f>A!H1742</f>
        <v>0</v>
      </c>
      <c r="Y207" s="2"/>
    </row>
    <row r="208" spans="2:25" ht="12" customHeight="1">
      <c r="B208" s="215" t="s">
        <v>301</v>
      </c>
      <c r="C208" s="210">
        <f>A!B1743</f>
        <v>7.0621746232890983E-4</v>
      </c>
      <c r="D208" s="210"/>
      <c r="E208" s="210"/>
      <c r="F208" s="210">
        <f>A!E1743</f>
        <v>-1.9753348091282319E-5</v>
      </c>
      <c r="G208" s="210">
        <f>A!F1743</f>
        <v>1.0434691780819433E-3</v>
      </c>
      <c r="H208" s="210">
        <f>A!G1743</f>
        <v>1.4999999999999996E-3</v>
      </c>
      <c r="I208" s="210"/>
      <c r="J208" s="426">
        <f t="shared" si="24"/>
        <v>-1.9753348091282319E-5</v>
      </c>
      <c r="K208" s="210">
        <f t="shared" si="25"/>
        <v>1.4999999999999996E-3</v>
      </c>
      <c r="L208" s="27">
        <f t="shared" si="26"/>
        <v>1.8820863597463018</v>
      </c>
      <c r="M208" s="35"/>
      <c r="N208" s="674">
        <f>A!H1743</f>
        <v>0</v>
      </c>
      <c r="Y208" s="2"/>
    </row>
    <row r="209" spans="2:25" ht="12" customHeight="1">
      <c r="B209" s="215" t="s">
        <v>302</v>
      </c>
      <c r="C209" s="210">
        <f>A!B1744</f>
        <v>3.7456849128538784E-4</v>
      </c>
      <c r="D209" s="210"/>
      <c r="E209" s="210"/>
      <c r="F209" s="210">
        <f>A!E1744</f>
        <v>8.37685486957708E-6</v>
      </c>
      <c r="G209" s="210">
        <f>A!F1744</f>
        <v>-8.8997821353319073E-7</v>
      </c>
      <c r="H209" s="210">
        <f>A!G1744</f>
        <v>0</v>
      </c>
      <c r="I209" s="210"/>
      <c r="J209" s="426">
        <f t="shared" si="24"/>
        <v>-8.8997821353319073E-7</v>
      </c>
      <c r="K209" s="210">
        <f t="shared" si="25"/>
        <v>3.7456849128538784E-4</v>
      </c>
      <c r="L209" s="27">
        <f t="shared" si="26"/>
        <v>3.9309325401911694</v>
      </c>
      <c r="M209" s="35"/>
      <c r="N209" s="674">
        <f>A!H1744</f>
        <v>0</v>
      </c>
      <c r="Y209" s="2"/>
    </row>
    <row r="210" spans="2:25" ht="12" customHeight="1">
      <c r="B210" s="215" t="s">
        <v>303</v>
      </c>
      <c r="C210" s="210">
        <f>A!B1745</f>
        <v>7.0203072796806484E-3</v>
      </c>
      <c r="D210" s="210"/>
      <c r="E210" s="210"/>
      <c r="F210" s="210">
        <f>A!E1745</f>
        <v>7.3646007556345296E-3</v>
      </c>
      <c r="G210" s="210">
        <f>A!F1745</f>
        <v>6.9569328767116667E-3</v>
      </c>
      <c r="H210" s="210">
        <f>A!G1745</f>
        <v>7.4700000000000009E-3</v>
      </c>
      <c r="I210" s="210"/>
      <c r="J210" s="426">
        <f t="shared" si="24"/>
        <v>6.9569328767116667E-3</v>
      </c>
      <c r="K210" s="210">
        <f t="shared" si="25"/>
        <v>7.4700000000000009E-3</v>
      </c>
      <c r="L210" s="27">
        <f t="shared" si="26"/>
        <v>7.1230036963610494E-2</v>
      </c>
      <c r="M210" s="35"/>
      <c r="N210" s="674">
        <f>A!H1745</f>
        <v>0</v>
      </c>
      <c r="Y210" s="2"/>
    </row>
    <row r="211" spans="2:25" ht="12" customHeight="1">
      <c r="B211" s="215" t="s">
        <v>304</v>
      </c>
      <c r="C211" s="210">
        <f>A!B1746</f>
        <v>-3.5487509520560241E-3</v>
      </c>
      <c r="D211" s="210"/>
      <c r="E211" s="210"/>
      <c r="F211" s="210">
        <f>A!E1746</f>
        <v>-2.6608656183615556E-3</v>
      </c>
      <c r="G211" s="210">
        <f>A!F1746</f>
        <v>-4.4207799086762129E-3</v>
      </c>
      <c r="H211" s="210">
        <f>A!G1746</f>
        <v>-4.0299999999999997E-3</v>
      </c>
      <c r="I211" s="210"/>
      <c r="J211" s="426">
        <f t="shared" si="24"/>
        <v>-4.4207799086762129E-3</v>
      </c>
      <c r="K211" s="210">
        <f t="shared" si="25"/>
        <v>-2.6608656183615556E-3</v>
      </c>
      <c r="L211" s="27">
        <f t="shared" si="26"/>
        <v>-0.48018190853824533</v>
      </c>
      <c r="M211" s="35"/>
      <c r="N211" s="674">
        <f>A!H1746</f>
        <v>0</v>
      </c>
      <c r="Y211" s="2"/>
    </row>
    <row r="212" spans="2:25" ht="12" customHeight="1" thickBot="1">
      <c r="B212" s="216" t="s">
        <v>305</v>
      </c>
      <c r="C212" s="163">
        <f>A!B1747</f>
        <v>1.766440163240555E-3</v>
      </c>
      <c r="D212" s="163"/>
      <c r="E212" s="163"/>
      <c r="F212" s="163">
        <f>A!E1747</f>
        <v>2.4077235955689315E-3</v>
      </c>
      <c r="G212" s="163">
        <f>A!F1747</f>
        <v>2.8944619863000192E-3</v>
      </c>
      <c r="H212" s="163">
        <f>A!G1747</f>
        <v>2.5900000000000003E-3</v>
      </c>
      <c r="I212" s="449"/>
      <c r="J212" s="427">
        <f t="shared" si="24"/>
        <v>1.766440163240555E-3</v>
      </c>
      <c r="K212" s="163">
        <f t="shared" si="25"/>
        <v>2.8944619863000192E-3</v>
      </c>
      <c r="L212" s="30">
        <f t="shared" si="26"/>
        <v>0.46715624057827088</v>
      </c>
      <c r="M212" s="35"/>
      <c r="N212" s="674">
        <f>A!H1747</f>
        <v>0</v>
      </c>
      <c r="Y212" s="2"/>
    </row>
    <row r="213" spans="2:25" ht="12" customHeight="1" thickTop="1">
      <c r="B213" s="19" t="s">
        <v>265</v>
      </c>
      <c r="C213" s="145"/>
      <c r="D213" s="145"/>
      <c r="E213" s="145"/>
      <c r="F213" s="145"/>
      <c r="G213" s="145"/>
      <c r="H213" s="145"/>
      <c r="I213" s="20"/>
      <c r="J213" s="147" t="s">
        <v>24</v>
      </c>
      <c r="K213" s="144"/>
      <c r="L213" s="146"/>
      <c r="N213" s="673"/>
      <c r="Y213" s="2"/>
    </row>
    <row r="214" spans="2:25" ht="12" customHeight="1">
      <c r="B214" s="170"/>
      <c r="C214" s="205" t="s">
        <v>245</v>
      </c>
      <c r="D214" s="22" t="s">
        <v>536</v>
      </c>
      <c r="E214" s="205" t="s">
        <v>258</v>
      </c>
      <c r="F214" s="352" t="s">
        <v>433</v>
      </c>
      <c r="G214" s="436" t="s">
        <v>469</v>
      </c>
      <c r="H214" s="437" t="s">
        <v>482</v>
      </c>
      <c r="I214" s="437"/>
      <c r="J214" s="148"/>
      <c r="K214" s="200"/>
      <c r="L214" s="23" t="s">
        <v>25</v>
      </c>
      <c r="N214" s="673"/>
      <c r="Y214" s="12"/>
    </row>
    <row r="215" spans="2:25" ht="12" customHeight="1">
      <c r="B215" s="171"/>
      <c r="C215" s="24" t="s">
        <v>26</v>
      </c>
      <c r="D215" s="24" t="s">
        <v>13</v>
      </c>
      <c r="E215" s="24" t="s">
        <v>13</v>
      </c>
      <c r="F215" s="353" t="s">
        <v>434</v>
      </c>
      <c r="G215" s="353" t="s">
        <v>452</v>
      </c>
      <c r="H215" s="353" t="s">
        <v>483</v>
      </c>
      <c r="I215" s="353"/>
      <c r="J215" s="149" t="s">
        <v>27</v>
      </c>
      <c r="K215" s="24" t="s">
        <v>28</v>
      </c>
      <c r="L215" s="25" t="s">
        <v>259</v>
      </c>
      <c r="N215" s="685" t="s">
        <v>522</v>
      </c>
      <c r="Y215" s="12"/>
    </row>
    <row r="216" spans="2:25" ht="12" customHeight="1">
      <c r="B216" s="214" t="s">
        <v>295</v>
      </c>
      <c r="C216" s="219">
        <f>A!B1760</f>
        <v>9.71584081050176</v>
      </c>
      <c r="D216" s="219">
        <f>A!C1760</f>
        <v>10.25</v>
      </c>
      <c r="E216" s="219">
        <f>A!D1760</f>
        <v>10.25</v>
      </c>
      <c r="F216" s="219">
        <f>A!E1760</f>
        <v>10.016303972415322</v>
      </c>
      <c r="G216" s="219">
        <f>A!F1760</f>
        <v>10.014840182646743</v>
      </c>
      <c r="H216" s="219">
        <f>A!G1760</f>
        <v>9.8699999999999974</v>
      </c>
      <c r="I216" s="219"/>
      <c r="J216" s="190">
        <f t="shared" ref="J216:J233" si="27">MINA(C216:I216)</f>
        <v>9.71584081050176</v>
      </c>
      <c r="K216" s="219">
        <f t="shared" ref="K216:K233" si="28">MAXA(C216:I216)</f>
        <v>10.25</v>
      </c>
      <c r="L216" s="27">
        <f t="shared" ref="L216:L233" si="29">(K216-J216)/AVERAGE(C216:I216)</f>
        <v>5.3311973959194743E-2</v>
      </c>
      <c r="N216" s="598">
        <f>A!H1760</f>
        <v>0</v>
      </c>
      <c r="Y216" s="12"/>
    </row>
    <row r="217" spans="2:25" ht="12" customHeight="1">
      <c r="B217" s="215" t="s">
        <v>296</v>
      </c>
      <c r="C217" s="219">
        <f>A!B1761</f>
        <v>3.3904429109588961</v>
      </c>
      <c r="D217" s="219">
        <f>A!C1761</f>
        <v>2.9500000000000028</v>
      </c>
      <c r="E217" s="219">
        <f>A!D1761</f>
        <v>2.9699999999999989</v>
      </c>
      <c r="F217" s="219">
        <f>A!E1761</f>
        <v>3.5083361998683955</v>
      </c>
      <c r="G217" s="219">
        <f>A!F1761</f>
        <v>3.2772831050228106</v>
      </c>
      <c r="H217" s="219">
        <f>A!G1761</f>
        <v>2.009999999999998</v>
      </c>
      <c r="I217" s="219"/>
      <c r="J217" s="190">
        <f t="shared" si="27"/>
        <v>2.009999999999998</v>
      </c>
      <c r="K217" s="219">
        <f t="shared" si="28"/>
        <v>3.5083361998683955</v>
      </c>
      <c r="L217" s="27">
        <f t="shared" si="29"/>
        <v>0.49651973422141982</v>
      </c>
      <c r="N217" s="598">
        <f>A!H1761</f>
        <v>0</v>
      </c>
      <c r="Y217" s="12"/>
    </row>
    <row r="218" spans="2:25" ht="12" customHeight="1">
      <c r="B218" s="215" t="s">
        <v>297</v>
      </c>
      <c r="C218" s="219">
        <f>A!B1762</f>
        <v>2.2296104452054237</v>
      </c>
      <c r="D218" s="219">
        <f>A!C1762</f>
        <v>2.3200000000000003</v>
      </c>
      <c r="E218" s="219">
        <f>A!D1762</f>
        <v>2.3699999999999974</v>
      </c>
      <c r="F218" s="219">
        <f>A!E1762</f>
        <v>2.6617427477498623</v>
      </c>
      <c r="G218" s="219">
        <f>A!F1762</f>
        <v>2.2586757990866175</v>
      </c>
      <c r="H218" s="219">
        <f>A!G1762</f>
        <v>2.7700000000000031</v>
      </c>
      <c r="I218" s="219"/>
      <c r="J218" s="190">
        <f t="shared" si="27"/>
        <v>2.2296104452054237</v>
      </c>
      <c r="K218" s="219">
        <f t="shared" si="28"/>
        <v>2.7700000000000031</v>
      </c>
      <c r="L218" s="27">
        <f t="shared" si="29"/>
        <v>0.22192545480461268</v>
      </c>
      <c r="N218" s="598">
        <f>A!H1762</f>
        <v>0</v>
      </c>
      <c r="Y218" s="12"/>
    </row>
    <row r="219" spans="2:25" ht="12" customHeight="1">
      <c r="B219" s="215" t="s">
        <v>422</v>
      </c>
      <c r="C219" s="219">
        <f>A!B1763</f>
        <v>-1.1608324657534723</v>
      </c>
      <c r="D219" s="219">
        <f>A!C1763</f>
        <v>-0.63000000000000256</v>
      </c>
      <c r="E219" s="219">
        <f>A!D1763</f>
        <v>-0.60000000000000142</v>
      </c>
      <c r="F219" s="219">
        <f>A!E1763</f>
        <v>-0.84659345211853321</v>
      </c>
      <c r="G219" s="219">
        <f>A!F1763</f>
        <v>-1.0186073059361931</v>
      </c>
      <c r="H219" s="219">
        <f>A!G1763</f>
        <v>0.76000000000000512</v>
      </c>
      <c r="I219" s="219"/>
      <c r="J219" s="190">
        <f t="shared" si="27"/>
        <v>-1.1608324657534723</v>
      </c>
      <c r="K219" s="219">
        <f t="shared" si="28"/>
        <v>0.76000000000000512</v>
      </c>
      <c r="L219" s="27">
        <f t="shared" si="29"/>
        <v>-3.2965918962196796</v>
      </c>
      <c r="N219" s="598">
        <f>A!H1763</f>
        <v>0</v>
      </c>
      <c r="Y219" s="12"/>
    </row>
    <row r="220" spans="2:25" ht="12" customHeight="1">
      <c r="B220" s="215" t="s">
        <v>423</v>
      </c>
      <c r="C220" s="219">
        <f>A!B1764</f>
        <v>2.4701719406391831</v>
      </c>
      <c r="D220" s="219">
        <f>A!C1764</f>
        <v>2.4299999999999997</v>
      </c>
      <c r="E220" s="219">
        <f>A!D1764</f>
        <v>2.4499999999999957</v>
      </c>
      <c r="F220" s="219">
        <f>A!E1764</f>
        <v>2.7026421637180604</v>
      </c>
      <c r="G220" s="219">
        <f>A!F1764</f>
        <v>2.470547945205503</v>
      </c>
      <c r="H220" s="219">
        <f>A!G1764</f>
        <v>2.8500000000000014</v>
      </c>
      <c r="I220" s="219"/>
      <c r="J220" s="190">
        <f t="shared" si="27"/>
        <v>2.4299999999999997</v>
      </c>
      <c r="K220" s="219">
        <f t="shared" si="28"/>
        <v>2.8500000000000014</v>
      </c>
      <c r="L220" s="27">
        <f t="shared" si="29"/>
        <v>0.16391990196260844</v>
      </c>
      <c r="N220" s="598">
        <f>A!H1764</f>
        <v>0</v>
      </c>
      <c r="Y220" s="12"/>
    </row>
    <row r="221" spans="2:25" ht="12" customHeight="1">
      <c r="B221" s="215" t="s">
        <v>424</v>
      </c>
      <c r="C221" s="219">
        <f>A!B1765</f>
        <v>-0.24056149543375938</v>
      </c>
      <c r="D221" s="219">
        <f>A!C1765</f>
        <v>-0.10999999999999943</v>
      </c>
      <c r="E221" s="219">
        <f>A!D1765</f>
        <v>-7.9999999999998295E-2</v>
      </c>
      <c r="F221" s="219">
        <f>A!E1765</f>
        <v>-4.0899415968198127E-2</v>
      </c>
      <c r="G221" s="219">
        <f>A!F1765</f>
        <v>-0.2118721461188855</v>
      </c>
      <c r="H221" s="219">
        <f>A!G1765</f>
        <v>-7.9999999999998295E-2</v>
      </c>
      <c r="I221" s="219"/>
      <c r="J221" s="190">
        <f t="shared" si="27"/>
        <v>-0.24056149543375938</v>
      </c>
      <c r="K221" s="219">
        <f t="shared" si="28"/>
        <v>-4.0899415968198127E-2</v>
      </c>
      <c r="L221" s="27">
        <f t="shared" si="29"/>
        <v>-1.5693968248724282</v>
      </c>
      <c r="N221" s="598">
        <f>A!H1765</f>
        <v>0</v>
      </c>
      <c r="Y221" s="12"/>
    </row>
    <row r="222" spans="2:25" ht="12" customHeight="1">
      <c r="B222" s="215" t="s">
        <v>298</v>
      </c>
      <c r="C222" s="219">
        <f>A!B1766</f>
        <v>-3.1309044748858241</v>
      </c>
      <c r="D222" s="219">
        <f>A!C1766</f>
        <v>-2.8099999999999952</v>
      </c>
      <c r="E222" s="219">
        <f>A!D1766</f>
        <v>-2.730000000000004</v>
      </c>
      <c r="F222" s="219">
        <f>A!E1766</f>
        <v>-3.3505316843834692</v>
      </c>
      <c r="G222" s="219">
        <f>A!F1766</f>
        <v>-3.5099315068494761</v>
      </c>
      <c r="H222" s="219">
        <f>A!G1766</f>
        <v>-3.3699999999999974</v>
      </c>
      <c r="I222" s="219"/>
      <c r="J222" s="190">
        <f t="shared" si="27"/>
        <v>-3.5099315068494761</v>
      </c>
      <c r="K222" s="219">
        <f t="shared" si="28"/>
        <v>-2.730000000000004</v>
      </c>
      <c r="L222" s="27">
        <f t="shared" si="29"/>
        <v>-0.24757938810349303</v>
      </c>
      <c r="N222" s="598">
        <f>A!H1766</f>
        <v>0</v>
      </c>
      <c r="Y222" s="12"/>
    </row>
    <row r="223" spans="2:25" ht="12" customHeight="1">
      <c r="B223" s="215" t="s">
        <v>299</v>
      </c>
      <c r="C223" s="219">
        <f>A!B1767</f>
        <v>-7.5813861187215963</v>
      </c>
      <c r="D223" s="219">
        <f>A!C1767</f>
        <v>-6.769999999999996</v>
      </c>
      <c r="E223" s="219">
        <f>A!D1767</f>
        <v>-6.7899999999999991</v>
      </c>
      <c r="F223" s="219">
        <f>A!E1767</f>
        <v>-6.5810420142511532</v>
      </c>
      <c r="G223" s="219">
        <f>A!F1767</f>
        <v>-6.9551369862997703</v>
      </c>
      <c r="H223" s="219">
        <f>A!G1767</f>
        <v>-6.7199999999999989</v>
      </c>
      <c r="I223" s="219"/>
      <c r="J223" s="190">
        <f t="shared" si="27"/>
        <v>-7.5813861187215963</v>
      </c>
      <c r="K223" s="219">
        <f t="shared" si="28"/>
        <v>-6.5810420142511532</v>
      </c>
      <c r="L223" s="27">
        <f t="shared" si="29"/>
        <v>-0.14498593358159645</v>
      </c>
      <c r="N223" s="598">
        <f>A!H1767</f>
        <v>0</v>
      </c>
      <c r="Y223" s="12"/>
    </row>
    <row r="224" spans="2:25" ht="12" customHeight="1">
      <c r="B224" s="215" t="s">
        <v>300</v>
      </c>
      <c r="C224" s="219">
        <f>A!B1768</f>
        <v>2.1560376255706188</v>
      </c>
      <c r="D224" s="219">
        <f>A!C1768</f>
        <v>3.9500000000000028</v>
      </c>
      <c r="E224" s="219">
        <f>A!D1768</f>
        <v>3.9699999999999989</v>
      </c>
      <c r="F224" s="219">
        <f>A!E1768</f>
        <v>4.3298394843467491</v>
      </c>
      <c r="G224" s="219"/>
      <c r="H224" s="219">
        <f>A!G1768</f>
        <v>4.0799999999999983</v>
      </c>
      <c r="I224" s="219"/>
      <c r="J224" s="190">
        <f t="shared" si="27"/>
        <v>2.1560376255706188</v>
      </c>
      <c r="K224" s="219">
        <f t="shared" si="28"/>
        <v>4.3298394843467491</v>
      </c>
      <c r="L224" s="27">
        <f t="shared" si="29"/>
        <v>0.58796286642247597</v>
      </c>
      <c r="N224" s="598">
        <f>A!H1768</f>
        <v>0</v>
      </c>
      <c r="Y224" s="12"/>
    </row>
    <row r="225" spans="2:25" ht="12" customHeight="1">
      <c r="B225" s="215" t="s">
        <v>306</v>
      </c>
      <c r="C225" s="219">
        <f>A!B1769</f>
        <v>1.8822388470317151</v>
      </c>
      <c r="D225" s="219">
        <f>A!C1769</f>
        <v>1.3900000000000006</v>
      </c>
      <c r="E225" s="219">
        <f>A!D1769</f>
        <v>1.3500000000000014</v>
      </c>
      <c r="F225" s="219"/>
      <c r="G225" s="219"/>
      <c r="H225" s="219">
        <f>A!G1769</f>
        <v>1.8200000000000003</v>
      </c>
      <c r="I225" s="219"/>
      <c r="J225" s="190">
        <f t="shared" si="27"/>
        <v>1.3500000000000014</v>
      </c>
      <c r="K225" s="219">
        <f t="shared" si="28"/>
        <v>1.8822388470317151</v>
      </c>
      <c r="L225" s="27">
        <f t="shared" si="29"/>
        <v>0.3304682484890758</v>
      </c>
      <c r="N225" s="598">
        <f>A!H1769</f>
        <v>0</v>
      </c>
      <c r="Y225" s="12"/>
    </row>
    <row r="226" spans="2:25" ht="12" customHeight="1">
      <c r="B226" s="215" t="s">
        <v>307</v>
      </c>
      <c r="C226" s="219">
        <f>A!B1770</f>
        <v>0.164507899543473</v>
      </c>
      <c r="D226" s="219">
        <f>A!C1770</f>
        <v>0.88000000000000256</v>
      </c>
      <c r="E226" s="219">
        <f>A!D1770</f>
        <v>0.68999999999999773</v>
      </c>
      <c r="F226" s="219">
        <f>A!E1770</f>
        <v>0.90472324323579301</v>
      </c>
      <c r="G226" s="219"/>
      <c r="H226" s="219">
        <f>A!G1770</f>
        <v>0.82999999999999829</v>
      </c>
      <c r="I226" s="219"/>
      <c r="J226" s="190">
        <f t="shared" si="27"/>
        <v>0.164507899543473</v>
      </c>
      <c r="K226" s="219">
        <f t="shared" si="28"/>
        <v>0.90472324323579301</v>
      </c>
      <c r="L226" s="27">
        <f t="shared" si="29"/>
        <v>1.066829094442119</v>
      </c>
      <c r="N226" s="598">
        <f>A!H1770</f>
        <v>0</v>
      </c>
      <c r="Y226" s="12"/>
    </row>
    <row r="227" spans="2:25" ht="12" customHeight="1">
      <c r="B227" s="215" t="s">
        <v>308</v>
      </c>
      <c r="C227" s="219">
        <f>A!B1771</f>
        <v>0.20708473744288369</v>
      </c>
      <c r="D227" s="219">
        <f>A!C1771</f>
        <v>0.91000000000000369</v>
      </c>
      <c r="E227" s="219">
        <f>A!D1771</f>
        <v>1.019999999999996</v>
      </c>
      <c r="F227" s="219">
        <f>A!E1771</f>
        <v>1.0996807144149443</v>
      </c>
      <c r="G227" s="219"/>
      <c r="H227" s="219">
        <f>A!G1771</f>
        <v>1.240000000000002</v>
      </c>
      <c r="I227" s="219"/>
      <c r="J227" s="190">
        <f t="shared" si="27"/>
        <v>0.20708473744288369</v>
      </c>
      <c r="K227" s="219">
        <f t="shared" si="28"/>
        <v>1.240000000000002</v>
      </c>
      <c r="L227" s="27">
        <f t="shared" si="29"/>
        <v>1.1536401378013503</v>
      </c>
      <c r="N227" s="598">
        <f>A!H1771</f>
        <v>0</v>
      </c>
      <c r="Y227" s="12"/>
    </row>
    <row r="228" spans="2:25" ht="12" customHeight="1">
      <c r="B228" s="215" t="s">
        <v>309</v>
      </c>
      <c r="C228" s="219">
        <f>A!B1772</f>
        <v>-0.28509143835612605</v>
      </c>
      <c r="D228" s="219">
        <f>A!C1772</f>
        <v>0.20000000000000284</v>
      </c>
      <c r="E228" s="219">
        <f>A!D1772</f>
        <v>0.28999999999999915</v>
      </c>
      <c r="F228" s="219">
        <f>A!E1772</f>
        <v>0.32416350654671078</v>
      </c>
      <c r="G228" s="219"/>
      <c r="H228" s="219">
        <f>A!G1772</f>
        <v>0.29999999999999716</v>
      </c>
      <c r="I228" s="219"/>
      <c r="J228" s="190">
        <f t="shared" si="27"/>
        <v>-0.28509143835612605</v>
      </c>
      <c r="K228" s="219">
        <f t="shared" si="28"/>
        <v>0.32416350654671078</v>
      </c>
      <c r="L228" s="27">
        <f t="shared" si="29"/>
        <v>3.6743183631340459</v>
      </c>
      <c r="N228" s="598">
        <f>A!H1772</f>
        <v>0</v>
      </c>
      <c r="Y228" s="12"/>
    </row>
    <row r="229" spans="2:25" ht="12" customHeight="1">
      <c r="B229" s="215" t="s">
        <v>301</v>
      </c>
      <c r="C229" s="219">
        <f>A!B1773</f>
        <v>17.911262100456398</v>
      </c>
      <c r="D229" s="219"/>
      <c r="E229" s="219"/>
      <c r="F229" s="219">
        <f>A!E1773</f>
        <v>9.9914558361476011</v>
      </c>
      <c r="G229" s="219">
        <f>A!F1773</f>
        <v>18.115753424659552</v>
      </c>
      <c r="H229" s="219">
        <f>A!G1773</f>
        <v>15.799999999999997</v>
      </c>
      <c r="I229" s="219"/>
      <c r="J229" s="190">
        <f t="shared" si="27"/>
        <v>9.9914558361476011</v>
      </c>
      <c r="K229" s="219">
        <f t="shared" si="28"/>
        <v>18.115753424659552</v>
      </c>
      <c r="L229" s="27">
        <f t="shared" si="29"/>
        <v>0.52568738175578811</v>
      </c>
      <c r="N229" s="598">
        <f>A!H1773</f>
        <v>0</v>
      </c>
      <c r="Y229" s="12"/>
    </row>
    <row r="230" spans="2:25" ht="12" customHeight="1">
      <c r="B230" s="215" t="s">
        <v>302</v>
      </c>
      <c r="C230" s="219">
        <f>A!B1774</f>
        <v>-2.3475590686273549</v>
      </c>
      <c r="D230" s="219"/>
      <c r="E230" s="219"/>
      <c r="F230" s="219">
        <f>A!E1774</f>
        <v>0.11781526126443254</v>
      </c>
      <c r="G230" s="219">
        <f>A!F1774</f>
        <v>-1.0620915032731659E-2</v>
      </c>
      <c r="H230" s="219">
        <f>A!G1774</f>
        <v>0.10999999999999943</v>
      </c>
      <c r="I230" s="219"/>
      <c r="J230" s="190">
        <f t="shared" si="27"/>
        <v>-2.3475590686273549</v>
      </c>
      <c r="K230" s="219">
        <f t="shared" si="28"/>
        <v>0.11781526126443254</v>
      </c>
      <c r="L230" s="27">
        <f t="shared" si="29"/>
        <v>-4.6290183159236795</v>
      </c>
      <c r="N230" s="598">
        <f>A!H1774</f>
        <v>0</v>
      </c>
      <c r="Y230" s="12"/>
    </row>
    <row r="231" spans="2:25" ht="12" customHeight="1">
      <c r="B231" s="215" t="s">
        <v>303</v>
      </c>
      <c r="C231" s="219">
        <f>A!B1775</f>
        <v>-8.4070569178079779</v>
      </c>
      <c r="D231" s="219"/>
      <c r="E231" s="219"/>
      <c r="F231" s="219">
        <f>A!E1775</f>
        <v>-7.2115222511503916</v>
      </c>
      <c r="G231" s="219">
        <f>A!F1775</f>
        <v>-10.088127853884934</v>
      </c>
      <c r="H231" s="219">
        <f>A!G1775</f>
        <v>-14.800000000000004</v>
      </c>
      <c r="I231" s="219"/>
      <c r="J231" s="190">
        <f t="shared" si="27"/>
        <v>-14.800000000000004</v>
      </c>
      <c r="K231" s="219">
        <f t="shared" si="28"/>
        <v>-7.2115222511503916</v>
      </c>
      <c r="L231" s="27">
        <f t="shared" si="29"/>
        <v>-0.74935518649493527</v>
      </c>
      <c r="N231" s="598">
        <f>A!H1775</f>
        <v>0</v>
      </c>
      <c r="Y231" s="12"/>
    </row>
    <row r="232" spans="2:25" ht="12" customHeight="1">
      <c r="B232" s="215" t="s">
        <v>304</v>
      </c>
      <c r="C232" s="219">
        <f>A!B1776</f>
        <v>-19.79618232876696</v>
      </c>
      <c r="D232" s="219"/>
      <c r="E232" s="219"/>
      <c r="F232" s="219">
        <f>A!E1776</f>
        <v>-10.40469219254431</v>
      </c>
      <c r="G232" s="219">
        <f>A!F1776</f>
        <v>-24.490296803649507</v>
      </c>
      <c r="H232" s="219">
        <f>A!G1776</f>
        <v>-24.129999999999995</v>
      </c>
      <c r="I232" s="219"/>
      <c r="J232" s="190">
        <f t="shared" si="27"/>
        <v>-24.490296803649507</v>
      </c>
      <c r="K232" s="219">
        <f t="shared" si="28"/>
        <v>-10.40469219254431</v>
      </c>
      <c r="L232" s="27">
        <f t="shared" si="29"/>
        <v>-0.71481326015994506</v>
      </c>
      <c r="N232" s="598">
        <f>A!H1776</f>
        <v>0</v>
      </c>
      <c r="Y232" s="12"/>
    </row>
    <row r="233" spans="2:25" ht="12" customHeight="1" thickBot="1">
      <c r="B233" s="216" t="s">
        <v>305</v>
      </c>
      <c r="C233" s="158">
        <f>A!B1777</f>
        <v>-11.896106038813087</v>
      </c>
      <c r="D233" s="158"/>
      <c r="E233" s="158"/>
      <c r="F233" s="158">
        <f>A!E1777</f>
        <v>-7.5468826748804503</v>
      </c>
      <c r="G233" s="158">
        <f>A!F1777</f>
        <v>-3.17625570775607</v>
      </c>
      <c r="H233" s="158">
        <f>A!G1777</f>
        <v>-14.620000000000001</v>
      </c>
      <c r="I233" s="451"/>
      <c r="J233" s="191">
        <f t="shared" si="27"/>
        <v>-14.620000000000001</v>
      </c>
      <c r="K233" s="158">
        <f t="shared" si="28"/>
        <v>-3.17625570775607</v>
      </c>
      <c r="L233" s="30">
        <f t="shared" si="29"/>
        <v>-1.2292133710051747</v>
      </c>
      <c r="N233" s="598">
        <f>A!H1777</f>
        <v>0</v>
      </c>
      <c r="Y233" s="12"/>
    </row>
    <row r="234" spans="2:25" ht="12" customHeight="1" thickTop="1">
      <c r="E234" s="32" t="s">
        <v>561</v>
      </c>
      <c r="M234" s="34"/>
      <c r="N234" s="18"/>
      <c r="O234" s="26"/>
      <c r="P234" s="32"/>
      <c r="Q234" s="26"/>
      <c r="R234" s="26"/>
      <c r="S234" s="26"/>
      <c r="T234" s="26"/>
      <c r="U234" s="18"/>
      <c r="V234" s="18"/>
      <c r="W234" s="18"/>
      <c r="X234" s="18"/>
      <c r="Y234" s="12"/>
    </row>
    <row r="235" spans="2:25" ht="12" customHeight="1">
      <c r="M235" s="35"/>
      <c r="N235" s="35"/>
      <c r="O235" s="2"/>
      <c r="P235" s="12"/>
      <c r="Q235" s="12"/>
      <c r="R235" s="12"/>
      <c r="S235" s="12"/>
      <c r="T235" s="2"/>
      <c r="U235" s="2"/>
      <c r="V235" s="2"/>
      <c r="W235" s="2"/>
      <c r="X235" s="12"/>
      <c r="Y235" s="12"/>
    </row>
    <row r="236" spans="2:25" ht="12" customHeight="1">
      <c r="N236" s="673"/>
      <c r="O236" s="2"/>
      <c r="P236" s="12"/>
      <c r="Q236" s="12"/>
      <c r="R236" s="12"/>
      <c r="S236" s="12"/>
      <c r="T236" s="2"/>
      <c r="U236" s="2"/>
      <c r="V236" s="2"/>
      <c r="W236" s="2"/>
      <c r="X236" s="12"/>
      <c r="Y236" s="12"/>
    </row>
    <row r="237" spans="2:25" ht="12" customHeight="1">
      <c r="N237" s="673"/>
      <c r="O237" s="2"/>
      <c r="P237" s="12"/>
      <c r="Q237" s="12"/>
      <c r="R237" s="12"/>
      <c r="S237" s="12"/>
      <c r="T237" s="2"/>
      <c r="U237" s="2"/>
      <c r="V237" s="2"/>
      <c r="W237" s="2"/>
      <c r="X237" s="12"/>
      <c r="Y237" s="12"/>
    </row>
    <row r="238" spans="2:25" ht="12" customHeight="1">
      <c r="N238" s="673"/>
      <c r="O238" s="16"/>
      <c r="P238" s="16"/>
      <c r="Q238" s="16"/>
      <c r="R238" s="16"/>
      <c r="S238" s="16"/>
      <c r="T238" s="16"/>
      <c r="U238" s="16"/>
      <c r="V238" s="16"/>
      <c r="W238" s="17"/>
      <c r="X238" s="2"/>
      <c r="Y238" s="2"/>
    </row>
    <row r="239" spans="2:25" ht="12" customHeight="1">
      <c r="N239" s="673"/>
      <c r="O239" s="16"/>
      <c r="P239" s="16"/>
      <c r="Q239" s="16"/>
      <c r="R239" s="16"/>
      <c r="S239" s="16"/>
      <c r="T239" s="16"/>
      <c r="U239" s="16"/>
      <c r="V239" s="16"/>
      <c r="W239" s="17"/>
      <c r="X239" s="2"/>
      <c r="Y239" s="2"/>
    </row>
    <row r="240" spans="2:25" ht="12" customHeight="1">
      <c r="N240" s="673"/>
      <c r="O240" s="16"/>
      <c r="P240" s="16"/>
      <c r="Q240" s="16"/>
      <c r="R240" s="16"/>
      <c r="S240" s="16"/>
      <c r="T240" s="16"/>
      <c r="U240" s="16"/>
      <c r="V240" s="16"/>
      <c r="W240" s="17"/>
      <c r="X240" s="2"/>
      <c r="Y240" s="2"/>
    </row>
    <row r="241" spans="2:25" ht="16.5" customHeight="1">
      <c r="N241" s="673"/>
      <c r="O241" s="16"/>
      <c r="P241" s="16"/>
      <c r="Q241" s="16"/>
      <c r="R241" s="16"/>
      <c r="S241" s="16"/>
      <c r="T241" s="16"/>
      <c r="U241" s="16"/>
      <c r="V241" s="16"/>
      <c r="W241" s="17"/>
      <c r="X241" s="2"/>
      <c r="Y241" s="2"/>
    </row>
    <row r="242" spans="2:25" ht="15.75" customHeight="1" thickBot="1">
      <c r="B242" s="192" t="s">
        <v>581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ht="12" customHeight="1" thickTop="1">
      <c r="B243" s="19" t="s">
        <v>327</v>
      </c>
      <c r="C243" s="20"/>
      <c r="D243" s="20"/>
      <c r="E243" s="20"/>
      <c r="F243" s="20"/>
      <c r="G243" s="20"/>
      <c r="H243" s="20"/>
      <c r="I243" s="140"/>
      <c r="J243" s="20" t="s">
        <v>24</v>
      </c>
      <c r="K243" s="20"/>
      <c r="L243" s="21"/>
      <c r="M243" s="34"/>
      <c r="N243" s="673"/>
      <c r="Y243" s="2"/>
    </row>
    <row r="244" spans="2:25" ht="12" customHeight="1">
      <c r="B244" s="170"/>
      <c r="C244" s="22" t="s">
        <v>245</v>
      </c>
      <c r="D244" s="22" t="s">
        <v>536</v>
      </c>
      <c r="E244" s="22" t="s">
        <v>258</v>
      </c>
      <c r="F244" s="352" t="s">
        <v>433</v>
      </c>
      <c r="G244" s="436" t="s">
        <v>469</v>
      </c>
      <c r="H244" s="437" t="s">
        <v>482</v>
      </c>
      <c r="I244" s="438"/>
      <c r="J244" s="18"/>
      <c r="K244" s="18"/>
      <c r="L244" s="23" t="s">
        <v>25</v>
      </c>
      <c r="M244" s="34"/>
      <c r="N244" s="673"/>
      <c r="Y244" s="2"/>
    </row>
    <row r="245" spans="2:25" ht="12" customHeight="1">
      <c r="B245" s="171"/>
      <c r="C245" s="24" t="s">
        <v>26</v>
      </c>
      <c r="D245" s="24" t="s">
        <v>13</v>
      </c>
      <c r="E245" s="24" t="s">
        <v>13</v>
      </c>
      <c r="F245" s="353" t="s">
        <v>434</v>
      </c>
      <c r="G245" s="353" t="s">
        <v>452</v>
      </c>
      <c r="H245" s="353" t="s">
        <v>483</v>
      </c>
      <c r="I245" s="439"/>
      <c r="J245" s="24" t="s">
        <v>27</v>
      </c>
      <c r="K245" s="24" t="s">
        <v>28</v>
      </c>
      <c r="L245" s="25" t="s">
        <v>259</v>
      </c>
      <c r="M245" s="59"/>
      <c r="N245" s="685" t="s">
        <v>522</v>
      </c>
      <c r="Y245" s="2"/>
    </row>
    <row r="246" spans="2:25" ht="12" customHeight="1">
      <c r="B246" s="214" t="s">
        <v>295</v>
      </c>
      <c r="C246" s="201">
        <f>A!B1790</f>
        <v>968.3644875039754</v>
      </c>
      <c r="D246" s="201">
        <f>A!C1790</f>
        <v>1019</v>
      </c>
      <c r="E246" s="201">
        <f>A!D1790</f>
        <v>993</v>
      </c>
      <c r="F246" s="201">
        <f>A!E1790</f>
        <v>576.37039825340071</v>
      </c>
      <c r="G246" s="201">
        <f>A!F1790</f>
        <v>721</v>
      </c>
      <c r="H246" s="201">
        <f>A!G1790</f>
        <v>614</v>
      </c>
      <c r="I246" s="201"/>
      <c r="J246" s="209">
        <f t="shared" ref="J246:J263" si="30">MINA(C246:I246)</f>
        <v>576.37039825340071</v>
      </c>
      <c r="K246" s="201">
        <f t="shared" ref="K246:K263" si="31">MAXA(C246:I246)</f>
        <v>1019</v>
      </c>
      <c r="L246" s="27">
        <f t="shared" ref="L246:L263" si="32">(K246-J246)/AVERAGE(C246:I246)</f>
        <v>0.54291119050872438</v>
      </c>
      <c r="M246" s="35"/>
      <c r="N246" s="676">
        <f>A!H1790</f>
        <v>0</v>
      </c>
      <c r="Y246" s="2"/>
    </row>
    <row r="247" spans="2:25" ht="12" customHeight="1">
      <c r="B247" s="215" t="s">
        <v>296</v>
      </c>
      <c r="C247" s="201">
        <f>A!B1791</f>
        <v>1402.1615356183192</v>
      </c>
      <c r="D247" s="201">
        <f>A!C1791</f>
        <v>1352</v>
      </c>
      <c r="E247" s="201">
        <f>A!D1791</f>
        <v>1379</v>
      </c>
      <c r="F247" s="201">
        <f>A!E1791</f>
        <v>993.1302551726003</v>
      </c>
      <c r="G247" s="201">
        <f>A!F1791</f>
        <v>1172</v>
      </c>
      <c r="H247" s="201">
        <f>A!G1791</f>
        <v>1327</v>
      </c>
      <c r="I247" s="141"/>
      <c r="J247" s="201">
        <f t="shared" si="30"/>
        <v>993.1302551726003</v>
      </c>
      <c r="K247" s="201">
        <f t="shared" si="31"/>
        <v>1402.1615356183192</v>
      </c>
      <c r="L247" s="27">
        <f t="shared" si="32"/>
        <v>0.32184836331617384</v>
      </c>
      <c r="M247" s="35"/>
      <c r="N247" s="676">
        <f>A!H1791</f>
        <v>0</v>
      </c>
      <c r="Y247" s="2"/>
    </row>
    <row r="248" spans="2:25" ht="12" customHeight="1">
      <c r="B248" s="215" t="s">
        <v>297</v>
      </c>
      <c r="C248" s="201">
        <f>A!B1792</f>
        <v>1720.6639535603426</v>
      </c>
      <c r="D248" s="201">
        <f>A!C1792</f>
        <v>1648</v>
      </c>
      <c r="E248" s="201">
        <f>A!D1792</f>
        <v>1805</v>
      </c>
      <c r="F248" s="201">
        <f>A!E1792</f>
        <v>1360.5259578706009</v>
      </c>
      <c r="G248" s="201">
        <f>A!F1792</f>
        <v>1535</v>
      </c>
      <c r="H248" s="201">
        <f>A!G1792</f>
        <v>1787</v>
      </c>
      <c r="I248" s="141"/>
      <c r="J248" s="201">
        <f t="shared" si="30"/>
        <v>1360.5259578706009</v>
      </c>
      <c r="K248" s="201">
        <f t="shared" si="31"/>
        <v>1805</v>
      </c>
      <c r="L248" s="27">
        <f t="shared" si="32"/>
        <v>0.27057557501844204</v>
      </c>
      <c r="M248" s="35"/>
      <c r="N248" s="676">
        <f>A!H1792</f>
        <v>0</v>
      </c>
      <c r="Y248" s="2"/>
    </row>
    <row r="249" spans="2:25" ht="12" customHeight="1">
      <c r="B249" s="215" t="s">
        <v>422</v>
      </c>
      <c r="C249" s="201">
        <f>A!B1793</f>
        <v>318.50241794202338</v>
      </c>
      <c r="D249" s="201">
        <f>A!C1793</f>
        <v>296</v>
      </c>
      <c r="E249" s="201">
        <f>A!D1793</f>
        <v>426</v>
      </c>
      <c r="F249" s="201">
        <f>A!E1793</f>
        <v>367.3957026980006</v>
      </c>
      <c r="G249" s="201">
        <f>A!F1793</f>
        <v>363</v>
      </c>
      <c r="H249" s="201">
        <f>A!G1793</f>
        <v>460</v>
      </c>
      <c r="I249" s="141"/>
      <c r="J249" s="150">
        <f t="shared" si="30"/>
        <v>296</v>
      </c>
      <c r="K249" s="201">
        <f t="shared" si="31"/>
        <v>460</v>
      </c>
      <c r="L249" s="27">
        <f t="shared" si="32"/>
        <v>0.44107796357715323</v>
      </c>
      <c r="M249" s="35"/>
      <c r="N249" s="676">
        <f>A!H1793</f>
        <v>0</v>
      </c>
      <c r="Y249" s="2"/>
    </row>
    <row r="250" spans="2:25" ht="12" customHeight="1">
      <c r="B250" s="215" t="s">
        <v>423</v>
      </c>
      <c r="C250" s="201">
        <f>A!B1794</f>
        <v>1554.8647652256695</v>
      </c>
      <c r="D250" s="201">
        <f>A!C1794</f>
        <v>1594</v>
      </c>
      <c r="E250" s="201">
        <f>A!D1794</f>
        <v>1588</v>
      </c>
      <c r="F250" s="201">
        <f>A!E1794</f>
        <v>1179.2168695704004</v>
      </c>
      <c r="G250" s="201">
        <f>A!F1794</f>
        <v>1345</v>
      </c>
      <c r="H250" s="201">
        <f>A!G1794</f>
        <v>1553</v>
      </c>
      <c r="I250" s="141"/>
      <c r="J250" s="150">
        <f t="shared" si="30"/>
        <v>1179.2168695704004</v>
      </c>
      <c r="K250" s="201">
        <f t="shared" si="31"/>
        <v>1594</v>
      </c>
      <c r="L250" s="27">
        <f t="shared" si="32"/>
        <v>0.2823548596092823</v>
      </c>
      <c r="M250" s="35"/>
      <c r="N250" s="676">
        <f>A!H1794</f>
        <v>0</v>
      </c>
      <c r="Y250" s="2"/>
    </row>
    <row r="251" spans="2:25" ht="12" customHeight="1">
      <c r="B251" s="215" t="s">
        <v>424</v>
      </c>
      <c r="C251" s="201">
        <f>A!B1795</f>
        <v>165.79918833467309</v>
      </c>
      <c r="D251" s="201">
        <f>A!C1795</f>
        <v>54</v>
      </c>
      <c r="E251" s="201">
        <f>A!D1795</f>
        <v>217</v>
      </c>
      <c r="F251" s="201">
        <f>A!E1795</f>
        <v>181.30908830020053</v>
      </c>
      <c r="G251" s="201">
        <f>A!F1795</f>
        <v>190</v>
      </c>
      <c r="H251" s="201">
        <f>A!G1795</f>
        <v>234</v>
      </c>
      <c r="I251" s="141"/>
      <c r="J251" s="150">
        <f t="shared" si="30"/>
        <v>54</v>
      </c>
      <c r="K251" s="201">
        <f t="shared" si="31"/>
        <v>234</v>
      </c>
      <c r="L251" s="27">
        <f t="shared" si="32"/>
        <v>1.0363606394985025</v>
      </c>
      <c r="M251" s="35"/>
      <c r="N251" s="676">
        <f>A!H1795</f>
        <v>0</v>
      </c>
      <c r="Y251" s="2"/>
    </row>
    <row r="252" spans="2:25" ht="12" customHeight="1">
      <c r="B252" s="215" t="s">
        <v>298</v>
      </c>
      <c r="C252" s="201">
        <f>A!B1796</f>
        <v>0.85194168084126431</v>
      </c>
      <c r="D252" s="201">
        <f>A!C1796</f>
        <v>90</v>
      </c>
      <c r="E252" s="201">
        <f>A!D1796</f>
        <v>0</v>
      </c>
      <c r="F252" s="201">
        <f>A!E1796</f>
        <v>-7.2418474992446136E-3</v>
      </c>
      <c r="G252" s="201">
        <f>A!F1796</f>
        <v>0</v>
      </c>
      <c r="H252" s="201">
        <f>A!G1796</f>
        <v>-2</v>
      </c>
      <c r="I252" s="141"/>
      <c r="J252" s="201">
        <f t="shared" si="30"/>
        <v>-2</v>
      </c>
      <c r="K252" s="201">
        <f t="shared" si="31"/>
        <v>90</v>
      </c>
      <c r="L252" s="27">
        <f t="shared" si="32"/>
        <v>6.2130886933656235</v>
      </c>
      <c r="M252" s="35"/>
      <c r="N252" s="676">
        <f>A!H1796</f>
        <v>0</v>
      </c>
      <c r="Y252" s="2"/>
    </row>
    <row r="253" spans="2:25" ht="12" customHeight="1">
      <c r="B253" s="215" t="s">
        <v>299</v>
      </c>
      <c r="C253" s="201">
        <f>A!B1797</f>
        <v>1143.4651129168324</v>
      </c>
      <c r="D253" s="201">
        <f>A!C1797</f>
        <v>1172</v>
      </c>
      <c r="E253" s="201">
        <f>A!D1797</f>
        <v>1124</v>
      </c>
      <c r="F253" s="201">
        <f>A!E1797</f>
        <v>780.71954574939991</v>
      </c>
      <c r="G253" s="201">
        <f>A!F1797</f>
        <v>931</v>
      </c>
      <c r="H253" s="201">
        <f>A!G1797</f>
        <v>1214</v>
      </c>
      <c r="I253" s="141"/>
      <c r="J253" s="201">
        <f t="shared" si="30"/>
        <v>780.71954574939991</v>
      </c>
      <c r="K253" s="201">
        <f t="shared" si="31"/>
        <v>1214</v>
      </c>
      <c r="L253" s="27">
        <f t="shared" si="32"/>
        <v>0.40842220059776568</v>
      </c>
      <c r="M253" s="35"/>
      <c r="N253" s="676">
        <f>A!H1797</f>
        <v>0</v>
      </c>
      <c r="Y253" s="2"/>
    </row>
    <row r="254" spans="2:25" ht="12" customHeight="1">
      <c r="B254" s="215" t="s">
        <v>300</v>
      </c>
      <c r="C254" s="201">
        <f>A!B1798</f>
        <v>1.8306604180033901</v>
      </c>
      <c r="D254" s="201">
        <f>A!C1798</f>
        <v>0</v>
      </c>
      <c r="E254" s="201">
        <f>A!D1798</f>
        <v>75</v>
      </c>
      <c r="F254" s="201">
        <f>A!E1798</f>
        <v>-1.1540031598997302E-2</v>
      </c>
      <c r="G254" s="201"/>
      <c r="H254" s="201">
        <f>A!G1798</f>
        <v>-29</v>
      </c>
      <c r="I254" s="141"/>
      <c r="J254" s="201">
        <f t="shared" si="30"/>
        <v>-29</v>
      </c>
      <c r="K254" s="201">
        <f t="shared" si="31"/>
        <v>75</v>
      </c>
      <c r="L254" s="27">
        <f t="shared" si="32"/>
        <v>10.874311275450454</v>
      </c>
      <c r="M254" s="35"/>
      <c r="N254" s="676">
        <f>A!H1798</f>
        <v>0</v>
      </c>
      <c r="Y254" s="2"/>
    </row>
    <row r="255" spans="2:25" ht="12" customHeight="1">
      <c r="B255" s="215" t="s">
        <v>306</v>
      </c>
      <c r="C255" s="201">
        <f>A!B1799</f>
        <v>1.8306604180033901</v>
      </c>
      <c r="D255" s="201">
        <f>A!C1799</f>
        <v>0</v>
      </c>
      <c r="E255" s="201">
        <f>A!D1799</f>
        <v>0</v>
      </c>
      <c r="F255" s="201"/>
      <c r="G255" s="201"/>
      <c r="H255" s="201">
        <f>A!G1799</f>
        <v>1</v>
      </c>
      <c r="I255" s="141"/>
      <c r="J255" s="201">
        <f t="shared" si="30"/>
        <v>0</v>
      </c>
      <c r="K255" s="201">
        <f t="shared" si="31"/>
        <v>1.8306604180033901</v>
      </c>
      <c r="L255" s="27">
        <f t="shared" si="32"/>
        <v>2.5869022032599003</v>
      </c>
      <c r="M255" s="35"/>
      <c r="N255" s="676">
        <f>A!H1799</f>
        <v>0</v>
      </c>
      <c r="Y255" s="2"/>
    </row>
    <row r="256" spans="2:25" ht="12" customHeight="1">
      <c r="B256" s="215" t="s">
        <v>307</v>
      </c>
      <c r="C256" s="201">
        <f>A!B1800</f>
        <v>0</v>
      </c>
      <c r="D256" s="201">
        <f>A!C1800</f>
        <v>0</v>
      </c>
      <c r="E256" s="201">
        <f>A!D1800</f>
        <v>0</v>
      </c>
      <c r="F256" s="201">
        <f>A!E1800</f>
        <v>0</v>
      </c>
      <c r="G256" s="201"/>
      <c r="H256" s="201">
        <f>A!G1800</f>
        <v>0</v>
      </c>
      <c r="I256" s="141"/>
      <c r="J256" s="201">
        <f t="shared" si="30"/>
        <v>0</v>
      </c>
      <c r="K256" s="201">
        <f t="shared" si="31"/>
        <v>0</v>
      </c>
      <c r="L256" s="27" t="e">
        <f t="shared" si="32"/>
        <v>#DIV/0!</v>
      </c>
      <c r="M256" s="35"/>
      <c r="N256" s="676">
        <f>A!H1800</f>
        <v>0</v>
      </c>
      <c r="Y256" s="2"/>
    </row>
    <row r="257" spans="2:25" ht="12" customHeight="1">
      <c r="B257" s="215" t="s">
        <v>308</v>
      </c>
      <c r="C257" s="201">
        <f>A!B1801</f>
        <v>0</v>
      </c>
      <c r="D257" s="201">
        <f>A!C1801</f>
        <v>0</v>
      </c>
      <c r="E257" s="201">
        <f>A!D1801</f>
        <v>0</v>
      </c>
      <c r="F257" s="201">
        <f>A!E1801</f>
        <v>1.0004441719502211E-10</v>
      </c>
      <c r="G257" s="201"/>
      <c r="H257" s="201">
        <f>A!G1801</f>
        <v>0</v>
      </c>
      <c r="I257" s="141"/>
      <c r="J257" s="201">
        <f t="shared" si="30"/>
        <v>0</v>
      </c>
      <c r="K257" s="201">
        <f t="shared" si="31"/>
        <v>1.0004441719502211E-10</v>
      </c>
      <c r="L257" s="27">
        <f t="shared" si="32"/>
        <v>5</v>
      </c>
      <c r="M257" s="35"/>
      <c r="N257" s="676">
        <f>A!H1801</f>
        <v>0</v>
      </c>
      <c r="Y257" s="2"/>
    </row>
    <row r="258" spans="2:25" ht="12" customHeight="1">
      <c r="B258" s="215" t="s">
        <v>309</v>
      </c>
      <c r="C258" s="201">
        <f>A!B1802</f>
        <v>0</v>
      </c>
      <c r="D258" s="201">
        <f>A!C1802</f>
        <v>0</v>
      </c>
      <c r="E258" s="201">
        <f>A!D1802</f>
        <v>0</v>
      </c>
      <c r="F258" s="201">
        <f>A!E1802</f>
        <v>1.0004441719502211E-10</v>
      </c>
      <c r="G258" s="201"/>
      <c r="H258" s="201">
        <f>A!G1802</f>
        <v>-87</v>
      </c>
      <c r="I258" s="141"/>
      <c r="J258" s="201">
        <f t="shared" si="30"/>
        <v>-87</v>
      </c>
      <c r="K258" s="201">
        <f t="shared" si="31"/>
        <v>1.0004441719502211E-10</v>
      </c>
      <c r="L258" s="27">
        <f t="shared" si="32"/>
        <v>-5.0000000000115001</v>
      </c>
      <c r="M258" s="35"/>
      <c r="N258" s="676">
        <f>A!H1802</f>
        <v>0</v>
      </c>
      <c r="Y258" s="2"/>
    </row>
    <row r="259" spans="2:25" ht="12" customHeight="1">
      <c r="B259" s="215" t="s">
        <v>301</v>
      </c>
      <c r="C259" s="201">
        <f>A!B1803</f>
        <v>-1459.5539439853874</v>
      </c>
      <c r="D259" s="201">
        <f>A!C1803</f>
        <v>-1133</v>
      </c>
      <c r="E259" s="201">
        <f>A!D1803</f>
        <v>-1177</v>
      </c>
      <c r="F259" s="201">
        <f>A!E1803</f>
        <v>-1557.1914618373303</v>
      </c>
      <c r="G259" s="201">
        <f>A!F1803</f>
        <v>-1755</v>
      </c>
      <c r="H259" s="201">
        <f>A!G1803</f>
        <v>-1274</v>
      </c>
      <c r="I259" s="141"/>
      <c r="J259" s="201">
        <f t="shared" si="30"/>
        <v>-1755</v>
      </c>
      <c r="K259" s="201">
        <f t="shared" si="31"/>
        <v>-1133</v>
      </c>
      <c r="L259" s="27">
        <f t="shared" si="32"/>
        <v>-0.44663878789310024</v>
      </c>
      <c r="M259" s="35"/>
      <c r="N259" s="676">
        <f>A!H1803</f>
        <v>0</v>
      </c>
      <c r="Y259" s="2"/>
    </row>
    <row r="260" spans="2:25" ht="12" customHeight="1">
      <c r="B260" s="215" t="s">
        <v>302</v>
      </c>
      <c r="C260" s="201">
        <f>A!B1804</f>
        <v>1038.4136281133397</v>
      </c>
      <c r="D260" s="201">
        <f>A!C1804</f>
        <v>1159</v>
      </c>
      <c r="E260" s="201">
        <f>A!D1804</f>
        <v>1162</v>
      </c>
      <c r="F260" s="201">
        <f>A!E1804</f>
        <v>1012.2339726927694</v>
      </c>
      <c r="G260" s="201">
        <f>A!F1804</f>
        <v>1009</v>
      </c>
      <c r="H260" s="201">
        <f>A!G1804</f>
        <v>1070</v>
      </c>
      <c r="I260" s="141"/>
      <c r="J260" s="201">
        <f t="shared" si="30"/>
        <v>1009</v>
      </c>
      <c r="K260" s="201">
        <f t="shared" si="31"/>
        <v>1162</v>
      </c>
      <c r="L260" s="27">
        <f t="shared" si="32"/>
        <v>0.14231129288248229</v>
      </c>
      <c r="M260" s="35"/>
      <c r="N260" s="676">
        <f>A!H1804</f>
        <v>0</v>
      </c>
      <c r="Y260" s="2"/>
    </row>
    <row r="261" spans="2:25" ht="12" customHeight="1">
      <c r="B261" s="215" t="s">
        <v>303</v>
      </c>
      <c r="C261" s="201">
        <f>A!B1805</f>
        <v>-1668.6417470918586</v>
      </c>
      <c r="D261" s="201">
        <f>A!C1805</f>
        <v>-1451</v>
      </c>
      <c r="E261" s="201">
        <f>A!D1805</f>
        <v>-1483</v>
      </c>
      <c r="F261" s="201">
        <f>A!E1805</f>
        <v>-1673.5790227854923</v>
      </c>
      <c r="G261" s="201">
        <f>A!F1805</f>
        <v>-1625</v>
      </c>
      <c r="H261" s="201">
        <f>A!G1805</f>
        <v>-1099</v>
      </c>
      <c r="I261" s="141"/>
      <c r="J261" s="201">
        <f t="shared" si="30"/>
        <v>-1673.5790227854923</v>
      </c>
      <c r="K261" s="201">
        <f t="shared" si="31"/>
        <v>-1099</v>
      </c>
      <c r="L261" s="27">
        <f t="shared" si="32"/>
        <v>-0.38304328581041391</v>
      </c>
      <c r="M261" s="35"/>
      <c r="N261" s="676">
        <f>A!H1805</f>
        <v>0</v>
      </c>
      <c r="Y261" s="2"/>
    </row>
    <row r="262" spans="2:25" ht="12" customHeight="1">
      <c r="B262" s="215" t="s">
        <v>304</v>
      </c>
      <c r="C262" s="201">
        <f>A!B1806</f>
        <v>-2138.1545786625256</v>
      </c>
      <c r="D262" s="201">
        <f>A!C1806</f>
        <v>-2372</v>
      </c>
      <c r="E262" s="201">
        <f>A!D1806</f>
        <v>-2370</v>
      </c>
      <c r="F262" s="201">
        <f>A!E1806</f>
        <v>-2145.4765133609162</v>
      </c>
      <c r="G262" s="201">
        <f>A!F1806</f>
        <v>-2185</v>
      </c>
      <c r="H262" s="201">
        <f>A!G1806</f>
        <v>-2185</v>
      </c>
      <c r="I262" s="141"/>
      <c r="J262" s="201">
        <f t="shared" si="30"/>
        <v>-2372</v>
      </c>
      <c r="K262" s="201">
        <f t="shared" si="31"/>
        <v>-2138.1545786625256</v>
      </c>
      <c r="L262" s="27">
        <f t="shared" si="32"/>
        <v>-0.10474105463088777</v>
      </c>
      <c r="M262" s="35"/>
      <c r="N262" s="676">
        <f>A!H1806</f>
        <v>0</v>
      </c>
      <c r="Y262" s="2"/>
    </row>
    <row r="263" spans="2:25" ht="12" customHeight="1" thickBot="1">
      <c r="B263" s="216" t="s">
        <v>305</v>
      </c>
      <c r="C263" s="29">
        <f>A!B1807</f>
        <v>-1494.1291365557972</v>
      </c>
      <c r="D263" s="29">
        <f>A!C1807</f>
        <v>-1593</v>
      </c>
      <c r="E263" s="29">
        <f>A!D1807</f>
        <v>-1593</v>
      </c>
      <c r="F263" s="29">
        <f>A!E1807</f>
        <v>-1308.453809558202</v>
      </c>
      <c r="G263" s="29">
        <f>A!F1807</f>
        <v>-1495</v>
      </c>
      <c r="H263" s="29">
        <f>A!G1807</f>
        <v>-1514</v>
      </c>
      <c r="I263" s="142"/>
      <c r="J263" s="29">
        <f t="shared" si="30"/>
        <v>-1593</v>
      </c>
      <c r="K263" s="29">
        <f t="shared" si="31"/>
        <v>-1308.453809558202</v>
      </c>
      <c r="L263" s="30">
        <f t="shared" si="32"/>
        <v>-0.18974841942281295</v>
      </c>
      <c r="M263" s="35"/>
      <c r="N263" s="676">
        <f>A!H1807</f>
        <v>0</v>
      </c>
      <c r="Y263" s="2"/>
    </row>
    <row r="264" spans="2:25" ht="12" customHeight="1" thickTop="1">
      <c r="D264" s="32" t="s">
        <v>562</v>
      </c>
      <c r="N264" s="673"/>
      <c r="Y264" s="2"/>
    </row>
    <row r="265" spans="2:25" ht="12" customHeight="1">
      <c r="N265" s="673"/>
      <c r="Y265" s="2"/>
    </row>
    <row r="266" spans="2:25" ht="18" customHeight="1" thickBot="1">
      <c r="B266" s="192" t="s">
        <v>582</v>
      </c>
      <c r="C266" s="201"/>
      <c r="D266" s="201"/>
      <c r="E266" s="201"/>
      <c r="F266" s="201"/>
      <c r="G266" s="201"/>
      <c r="H266" s="201"/>
      <c r="I266" s="35"/>
      <c r="J266" s="29"/>
      <c r="K266" s="201"/>
      <c r="L266" s="603"/>
      <c r="N266" s="673"/>
      <c r="Y266" s="2"/>
    </row>
    <row r="267" spans="2:25" ht="12" customHeight="1" thickTop="1">
      <c r="B267" s="19" t="s">
        <v>247</v>
      </c>
      <c r="C267" s="20"/>
      <c r="D267" s="20"/>
      <c r="E267" s="20"/>
      <c r="F267" s="20"/>
      <c r="G267" s="20"/>
      <c r="H267" s="20"/>
      <c r="I267" s="140"/>
      <c r="J267" s="20" t="s">
        <v>24</v>
      </c>
      <c r="K267" s="20"/>
      <c r="L267" s="21"/>
      <c r="N267" s="673"/>
      <c r="Y267" s="2"/>
    </row>
    <row r="268" spans="2:25" ht="12" customHeight="1">
      <c r="B268" s="170"/>
      <c r="C268" s="22" t="s">
        <v>245</v>
      </c>
      <c r="D268" s="22" t="s">
        <v>536</v>
      </c>
      <c r="E268" s="22" t="s">
        <v>258</v>
      </c>
      <c r="F268" s="352" t="s">
        <v>433</v>
      </c>
      <c r="G268" s="436" t="s">
        <v>469</v>
      </c>
      <c r="H268" s="437" t="s">
        <v>482</v>
      </c>
      <c r="I268" s="438"/>
      <c r="J268" s="18"/>
      <c r="K268" s="18"/>
      <c r="L268" s="23" t="s">
        <v>25</v>
      </c>
      <c r="N268" s="673"/>
      <c r="Y268" s="2"/>
    </row>
    <row r="269" spans="2:25" ht="12" customHeight="1">
      <c r="B269" s="171"/>
      <c r="C269" s="24" t="s">
        <v>26</v>
      </c>
      <c r="D269" s="24" t="s">
        <v>13</v>
      </c>
      <c r="E269" s="24" t="s">
        <v>13</v>
      </c>
      <c r="F269" s="353" t="s">
        <v>434</v>
      </c>
      <c r="G269" s="353" t="s">
        <v>452</v>
      </c>
      <c r="H269" s="353" t="s">
        <v>483</v>
      </c>
      <c r="I269" s="439"/>
      <c r="J269" s="24" t="s">
        <v>27</v>
      </c>
      <c r="K269" s="24" t="s">
        <v>28</v>
      </c>
      <c r="L269" s="25" t="s">
        <v>259</v>
      </c>
      <c r="N269" s="685" t="s">
        <v>522</v>
      </c>
      <c r="Y269" s="2"/>
    </row>
    <row r="270" spans="2:25" ht="12" customHeight="1">
      <c r="B270" s="214" t="s">
        <v>295</v>
      </c>
      <c r="C270" s="201">
        <f>A!B1880</f>
        <v>5153.9500000000007</v>
      </c>
      <c r="D270" s="201">
        <f>A!C1880</f>
        <v>5349</v>
      </c>
      <c r="E270" s="201">
        <f>A!D1880</f>
        <v>5578</v>
      </c>
      <c r="F270" s="201">
        <f>A!E1880</f>
        <v>4315.0470648236151</v>
      </c>
      <c r="G270" s="201">
        <f>A!F1880</f>
        <v>4759</v>
      </c>
      <c r="H270" s="201">
        <f>A!G1880</f>
        <v>4919</v>
      </c>
      <c r="I270" s="201"/>
      <c r="J270" s="209">
        <f t="shared" ref="J270:J287" si="33">MINA(C270:I270)</f>
        <v>4315.0470648236151</v>
      </c>
      <c r="K270" s="201">
        <f t="shared" ref="K270:K287" si="34">MAXA(C270:I270)</f>
        <v>5578</v>
      </c>
      <c r="L270" s="27">
        <f t="shared" ref="L270:L287" si="35">(K270-J270)/AVERAGE(C270:I270)</f>
        <v>0.2519690879374884</v>
      </c>
      <c r="N270" s="676">
        <f>A!H1880</f>
        <v>0</v>
      </c>
      <c r="Y270" s="2"/>
    </row>
    <row r="271" spans="2:25" ht="12" customHeight="1">
      <c r="B271" s="215" t="s">
        <v>296</v>
      </c>
      <c r="C271" s="201">
        <f>A!B1881</f>
        <v>8143.5499999999993</v>
      </c>
      <c r="D271" s="201">
        <f>A!C1881</f>
        <v>22412</v>
      </c>
      <c r="E271" s="201">
        <f>A!D1881</f>
        <v>22368</v>
      </c>
      <c r="F271" s="201">
        <f>A!E1881</f>
        <v>7039.5416400005561</v>
      </c>
      <c r="G271" s="201">
        <f>A!F1881</f>
        <v>7402</v>
      </c>
      <c r="H271" s="201">
        <f>A!G1881</f>
        <v>7848</v>
      </c>
      <c r="I271" s="141"/>
      <c r="J271" s="201">
        <f t="shared" si="33"/>
        <v>7039.5416400005561</v>
      </c>
      <c r="K271" s="201">
        <f t="shared" si="34"/>
        <v>22412</v>
      </c>
      <c r="L271" s="27">
        <f t="shared" si="35"/>
        <v>1.2263124430713268</v>
      </c>
      <c r="N271" s="676">
        <f>A!H1881</f>
        <v>0</v>
      </c>
      <c r="Y271" s="2"/>
    </row>
    <row r="272" spans="2:25" ht="12" customHeight="1">
      <c r="B272" s="215" t="s">
        <v>297</v>
      </c>
      <c r="C272" s="201">
        <f>A!B1882</f>
        <v>11317.95</v>
      </c>
      <c r="D272" s="201">
        <f>A!C1882</f>
        <v>12227</v>
      </c>
      <c r="E272" s="201">
        <f>A!D1882</f>
        <v>33117</v>
      </c>
      <c r="F272" s="201">
        <f>A!E1882</f>
        <v>10540.471101330557</v>
      </c>
      <c r="G272" s="201">
        <f>A!F1882</f>
        <v>11476</v>
      </c>
      <c r="H272" s="201">
        <f>A!G1882</f>
        <v>10343</v>
      </c>
      <c r="I272" s="141"/>
      <c r="J272" s="201">
        <f t="shared" si="33"/>
        <v>10343</v>
      </c>
      <c r="K272" s="201">
        <f t="shared" si="34"/>
        <v>33117</v>
      </c>
      <c r="L272" s="27">
        <f t="shared" si="35"/>
        <v>1.534956399364396</v>
      </c>
      <c r="N272" s="676">
        <f>A!H1882</f>
        <v>0</v>
      </c>
      <c r="Y272" s="2"/>
    </row>
    <row r="273" spans="2:25" ht="12" customHeight="1">
      <c r="B273" s="215" t="s">
        <v>422</v>
      </c>
      <c r="C273" s="201">
        <f>A!B1883</f>
        <v>3174.4000000000015</v>
      </c>
      <c r="D273" s="201">
        <f>A!C1883</f>
        <v>-10185</v>
      </c>
      <c r="E273" s="201">
        <f>A!D1883</f>
        <v>10749</v>
      </c>
      <c r="F273" s="201">
        <f>A!E1883</f>
        <v>3500.9294613300008</v>
      </c>
      <c r="G273" s="201">
        <f>A!F1883</f>
        <v>4074</v>
      </c>
      <c r="H273" s="201">
        <f>A!G1883</f>
        <v>2495</v>
      </c>
      <c r="I273" s="141"/>
      <c r="J273" s="150">
        <f t="shared" si="33"/>
        <v>-10185</v>
      </c>
      <c r="K273" s="201">
        <f t="shared" si="34"/>
        <v>10749</v>
      </c>
      <c r="L273" s="27">
        <f t="shared" si="35"/>
        <v>9.0962487788078867</v>
      </c>
      <c r="N273" s="676">
        <f>A!H1883</f>
        <v>0</v>
      </c>
      <c r="Y273" s="2"/>
    </row>
    <row r="274" spans="2:25" ht="12" customHeight="1">
      <c r="B274" s="215" t="s">
        <v>423</v>
      </c>
      <c r="C274" s="201">
        <f>A!B1884</f>
        <v>9477.6499999999978</v>
      </c>
      <c r="D274" s="201">
        <f>A!C1884</f>
        <v>19418</v>
      </c>
      <c r="E274" s="201">
        <f>A!D1884</f>
        <v>28094</v>
      </c>
      <c r="F274" s="201">
        <f>A!E1884</f>
        <v>8550.9999096952815</v>
      </c>
      <c r="G274" s="201">
        <f>A!F1884</f>
        <v>8864</v>
      </c>
      <c r="H274" s="201">
        <f>A!G1884</f>
        <v>9060</v>
      </c>
      <c r="I274" s="141"/>
      <c r="J274" s="150">
        <f t="shared" si="33"/>
        <v>8550.9999096952815</v>
      </c>
      <c r="K274" s="201">
        <f t="shared" si="34"/>
        <v>28094</v>
      </c>
      <c r="L274" s="27">
        <f t="shared" si="35"/>
        <v>1.4048821946620014</v>
      </c>
      <c r="N274" s="676">
        <f>A!H1884</f>
        <v>0</v>
      </c>
      <c r="Y274" s="2"/>
    </row>
    <row r="275" spans="2:25" ht="12" customHeight="1">
      <c r="B275" s="215" t="s">
        <v>424</v>
      </c>
      <c r="C275" s="201">
        <f>A!B1885</f>
        <v>1840.3000000000029</v>
      </c>
      <c r="D275" s="201">
        <f>A!C1885</f>
        <v>-7191</v>
      </c>
      <c r="E275" s="201">
        <f>A!D1885</f>
        <v>5023</v>
      </c>
      <c r="F275" s="201">
        <f>A!E1885</f>
        <v>1989.4711916352753</v>
      </c>
      <c r="G275" s="201">
        <f>A!F1885</f>
        <v>2612</v>
      </c>
      <c r="H275" s="201">
        <f>A!G1885</f>
        <v>1283</v>
      </c>
      <c r="I275" s="141"/>
      <c r="J275" s="150">
        <f t="shared" si="33"/>
        <v>-7191</v>
      </c>
      <c r="K275" s="201">
        <f t="shared" si="34"/>
        <v>5023</v>
      </c>
      <c r="L275" s="27">
        <f t="shared" si="35"/>
        <v>13.18823422319708</v>
      </c>
      <c r="N275" s="676">
        <f>A!H1885</f>
        <v>0</v>
      </c>
      <c r="Y275" s="2"/>
    </row>
    <row r="276" spans="2:25" ht="12" customHeight="1">
      <c r="B276" s="215" t="s">
        <v>298</v>
      </c>
      <c r="C276" s="201">
        <f>A!B1886</f>
        <v>-82.319999999999709</v>
      </c>
      <c r="D276" s="201">
        <f>A!C1886</f>
        <v>0</v>
      </c>
      <c r="E276" s="201">
        <f>A!D1886</f>
        <v>-1</v>
      </c>
      <c r="F276" s="201">
        <f>A!E1886</f>
        <v>-2.5077169717405923E-2</v>
      </c>
      <c r="G276" s="201">
        <f>A!F1886</f>
        <v>0</v>
      </c>
      <c r="H276" s="201">
        <f>A!G1886</f>
        <v>5</v>
      </c>
      <c r="I276" s="141"/>
      <c r="J276" s="201">
        <f t="shared" si="33"/>
        <v>-82.319999999999709</v>
      </c>
      <c r="K276" s="201">
        <f t="shared" si="34"/>
        <v>5</v>
      </c>
      <c r="L276" s="27">
        <f t="shared" si="35"/>
        <v>-6.6873378510438188</v>
      </c>
      <c r="N276" s="676">
        <f>A!H1886</f>
        <v>0</v>
      </c>
      <c r="Y276" s="2"/>
    </row>
    <row r="277" spans="2:25" ht="12" customHeight="1">
      <c r="B277" s="215" t="s">
        <v>299</v>
      </c>
      <c r="C277" s="201">
        <f>A!B1887</f>
        <v>6683.1100000000042</v>
      </c>
      <c r="D277" s="201">
        <f>A!C1887</f>
        <v>9212</v>
      </c>
      <c r="E277" s="201">
        <f>A!D1887</f>
        <v>9564</v>
      </c>
      <c r="F277" s="201">
        <f>A!E1887</f>
        <v>5634.0124646983386</v>
      </c>
      <c r="G277" s="201">
        <f>A!F1887</f>
        <v>5820</v>
      </c>
      <c r="H277" s="201">
        <f>A!G1887</f>
        <v>6379</v>
      </c>
      <c r="I277" s="141"/>
      <c r="J277" s="201">
        <f t="shared" si="33"/>
        <v>5634.0124646983386</v>
      </c>
      <c r="K277" s="201">
        <f t="shared" si="34"/>
        <v>9564</v>
      </c>
      <c r="L277" s="27">
        <f t="shared" si="35"/>
        <v>0.54467011246763719</v>
      </c>
      <c r="N277" s="676">
        <f>A!H1887</f>
        <v>0</v>
      </c>
      <c r="Y277" s="2"/>
    </row>
    <row r="278" spans="2:25" ht="12" customHeight="1">
      <c r="B278" s="215" t="s">
        <v>300</v>
      </c>
      <c r="C278" s="201">
        <f>A!B1888</f>
        <v>9004.5499999999993</v>
      </c>
      <c r="D278" s="201">
        <f>A!C1888</f>
        <v>9142</v>
      </c>
      <c r="E278" s="201">
        <f>A!D1888</f>
        <v>18383</v>
      </c>
      <c r="F278" s="201">
        <f>A!E1888</f>
        <v>8054.7321813286107</v>
      </c>
      <c r="G278" s="201"/>
      <c r="H278" s="201">
        <f>A!G1888</f>
        <v>8702</v>
      </c>
      <c r="I278" s="141"/>
      <c r="J278" s="201">
        <f t="shared" si="33"/>
        <v>8054.7321813286107</v>
      </c>
      <c r="K278" s="201">
        <f t="shared" si="34"/>
        <v>18383</v>
      </c>
      <c r="L278" s="27">
        <f t="shared" si="35"/>
        <v>0.96913008337916928</v>
      </c>
      <c r="N278" s="676">
        <f>A!H1888</f>
        <v>0</v>
      </c>
      <c r="Y278" s="2"/>
    </row>
    <row r="279" spans="2:25" ht="12" customHeight="1">
      <c r="B279" s="215" t="s">
        <v>306</v>
      </c>
      <c r="C279" s="201">
        <f>A!B1889</f>
        <v>-82.319999999999709</v>
      </c>
      <c r="D279" s="201">
        <f>A!C1889</f>
        <v>0</v>
      </c>
      <c r="E279" s="201">
        <f>A!D1889</f>
        <v>0</v>
      </c>
      <c r="F279" s="201"/>
      <c r="G279" s="201"/>
      <c r="H279" s="201">
        <f>A!G1889</f>
        <v>1</v>
      </c>
      <c r="I279" s="141"/>
      <c r="J279" s="201">
        <f t="shared" si="33"/>
        <v>-82.319999999999709</v>
      </c>
      <c r="K279" s="201">
        <f t="shared" si="34"/>
        <v>1</v>
      </c>
      <c r="L279" s="27">
        <f t="shared" si="35"/>
        <v>-4.0983767830791935</v>
      </c>
      <c r="N279" s="676">
        <f>A!H1889</f>
        <v>0</v>
      </c>
      <c r="Y279" s="2"/>
    </row>
    <row r="280" spans="2:25" ht="12" customHeight="1">
      <c r="B280" s="215" t="s">
        <v>307</v>
      </c>
      <c r="C280" s="201">
        <f>A!B1890</f>
        <v>0</v>
      </c>
      <c r="D280" s="201">
        <f>A!C1890</f>
        <v>0</v>
      </c>
      <c r="E280" s="201">
        <f>A!D1890</f>
        <v>0</v>
      </c>
      <c r="F280" s="201">
        <f>A!E1890</f>
        <v>0</v>
      </c>
      <c r="G280" s="201"/>
      <c r="H280" s="201">
        <f>A!G1890</f>
        <v>0</v>
      </c>
      <c r="I280" s="141"/>
      <c r="J280" s="201">
        <f t="shared" si="33"/>
        <v>0</v>
      </c>
      <c r="K280" s="201">
        <f t="shared" si="34"/>
        <v>0</v>
      </c>
      <c r="L280" s="27" t="e">
        <f t="shared" si="35"/>
        <v>#DIV/0!</v>
      </c>
      <c r="N280" s="676">
        <f>A!H1890</f>
        <v>0</v>
      </c>
      <c r="Y280" s="2"/>
    </row>
    <row r="281" spans="2:25" ht="12" customHeight="1">
      <c r="B281" s="215" t="s">
        <v>308</v>
      </c>
      <c r="C281" s="201">
        <f>A!B1891</f>
        <v>0</v>
      </c>
      <c r="D281" s="201">
        <f>A!C1891</f>
        <v>0</v>
      </c>
      <c r="E281" s="201">
        <f>A!D1891</f>
        <v>0</v>
      </c>
      <c r="F281" s="201">
        <f>A!E1891</f>
        <v>2.7648638933897018E-10</v>
      </c>
      <c r="G281" s="201"/>
      <c r="H281" s="201">
        <f>A!G1891</f>
        <v>0</v>
      </c>
      <c r="I281" s="141"/>
      <c r="J281" s="201">
        <f t="shared" si="33"/>
        <v>0</v>
      </c>
      <c r="K281" s="201">
        <f t="shared" si="34"/>
        <v>2.7648638933897018E-10</v>
      </c>
      <c r="L281" s="27">
        <f t="shared" si="35"/>
        <v>5</v>
      </c>
      <c r="N281" s="676">
        <f>A!H1891</f>
        <v>0</v>
      </c>
      <c r="Y281" s="2"/>
    </row>
    <row r="282" spans="2:25" ht="12" customHeight="1">
      <c r="B282" s="215" t="s">
        <v>309</v>
      </c>
      <c r="C282" s="201">
        <f>A!B1892</f>
        <v>0</v>
      </c>
      <c r="D282" s="201">
        <f>A!C1892</f>
        <v>0</v>
      </c>
      <c r="E282" s="201">
        <f>A!D1892</f>
        <v>0</v>
      </c>
      <c r="F282" s="201">
        <f>A!E1892</f>
        <v>2.7648638933897018E-10</v>
      </c>
      <c r="G282" s="201"/>
      <c r="H282" s="201">
        <f>A!G1892</f>
        <v>-295</v>
      </c>
      <c r="I282" s="141"/>
      <c r="J282" s="201">
        <f t="shared" si="33"/>
        <v>-295</v>
      </c>
      <c r="K282" s="201">
        <f t="shared" si="34"/>
        <v>2.7648638933897018E-10</v>
      </c>
      <c r="L282" s="27">
        <f t="shared" si="35"/>
        <v>-5.0000000000093721</v>
      </c>
      <c r="N282" s="676">
        <f>A!H1892</f>
        <v>0</v>
      </c>
      <c r="Y282" s="2"/>
    </row>
    <row r="283" spans="2:25" ht="12" customHeight="1">
      <c r="B283" s="215" t="s">
        <v>301</v>
      </c>
      <c r="C283" s="201">
        <f>A!B1893</f>
        <v>-4688.5400000000009</v>
      </c>
      <c r="D283" s="201">
        <f>A!C1893</f>
        <v>-3694</v>
      </c>
      <c r="E283" s="201">
        <f>A!D1893</f>
        <v>-3749</v>
      </c>
      <c r="F283" s="201">
        <f>A!E1893</f>
        <v>-5401.0537022594981</v>
      </c>
      <c r="G283" s="201">
        <f>A!F1893</f>
        <v>-5935</v>
      </c>
      <c r="H283" s="201">
        <f>A!G1893</f>
        <v>-4517</v>
      </c>
      <c r="I283" s="141"/>
      <c r="J283" s="201">
        <f t="shared" si="33"/>
        <v>-5935</v>
      </c>
      <c r="K283" s="201">
        <f t="shared" si="34"/>
        <v>-3694</v>
      </c>
      <c r="L283" s="27">
        <f t="shared" si="35"/>
        <v>-0.4804786570445852</v>
      </c>
      <c r="N283" s="676">
        <f>A!H1893</f>
        <v>0</v>
      </c>
      <c r="Y283" s="2"/>
    </row>
    <row r="284" spans="2:25" ht="12" customHeight="1">
      <c r="B284" s="215" t="s">
        <v>302</v>
      </c>
      <c r="C284" s="201">
        <f>A!B1894</f>
        <v>3107.5400000000009</v>
      </c>
      <c r="D284" s="201">
        <f>A!C1894</f>
        <v>3481</v>
      </c>
      <c r="E284" s="201">
        <f>A!D1894</f>
        <v>3482</v>
      </c>
      <c r="F284" s="201">
        <f>A!E1894</f>
        <v>3538.1292354497782</v>
      </c>
      <c r="G284" s="201">
        <f>A!F1894</f>
        <v>3381</v>
      </c>
      <c r="H284" s="201">
        <f>A!G1894</f>
        <v>3542</v>
      </c>
      <c r="I284" s="141"/>
      <c r="J284" s="201">
        <f t="shared" si="33"/>
        <v>3107.5400000000009</v>
      </c>
      <c r="K284" s="201">
        <f t="shared" si="34"/>
        <v>3542</v>
      </c>
      <c r="L284" s="27">
        <f t="shared" si="35"/>
        <v>0.12696288694828517</v>
      </c>
      <c r="N284" s="676">
        <f>A!H1894</f>
        <v>0</v>
      </c>
      <c r="Y284" s="2"/>
    </row>
    <row r="285" spans="2:25" ht="12" customHeight="1">
      <c r="B285" s="215" t="s">
        <v>303</v>
      </c>
      <c r="C285" s="201">
        <f>A!B1895</f>
        <v>410.17000000000189</v>
      </c>
      <c r="D285" s="201">
        <f>A!C1895</f>
        <v>-412</v>
      </c>
      <c r="E285" s="201">
        <f>A!D1895</f>
        <v>-412</v>
      </c>
      <c r="F285" s="201">
        <f>A!E1895</f>
        <v>-166.72959005152734</v>
      </c>
      <c r="G285" s="201">
        <f>A!F1895</f>
        <v>8</v>
      </c>
      <c r="H285" s="201">
        <f>A!G1895</f>
        <v>-881</v>
      </c>
      <c r="I285" s="141"/>
      <c r="J285" s="201">
        <f t="shared" si="33"/>
        <v>-881</v>
      </c>
      <c r="K285" s="201">
        <f t="shared" si="34"/>
        <v>410.17000000000189</v>
      </c>
      <c r="L285" s="27">
        <f t="shared" si="35"/>
        <v>-5.3296886161546331</v>
      </c>
      <c r="N285" s="676">
        <f>A!H1895</f>
        <v>0</v>
      </c>
      <c r="Y285" s="2"/>
    </row>
    <row r="286" spans="2:25" ht="12" customHeight="1">
      <c r="B286" s="215" t="s">
        <v>304</v>
      </c>
      <c r="C286" s="201">
        <f>A!B1896</f>
        <v>-7651.41</v>
      </c>
      <c r="D286" s="201">
        <f>A!C1896</f>
        <v>-8131</v>
      </c>
      <c r="E286" s="201">
        <f>A!D1896</f>
        <v>-8131</v>
      </c>
      <c r="F286" s="201">
        <f>A!E1896</f>
        <v>-8000.279931511639</v>
      </c>
      <c r="G286" s="201">
        <f>A!F1896</f>
        <v>-7791</v>
      </c>
      <c r="H286" s="201">
        <f>A!G1896</f>
        <v>-7929</v>
      </c>
      <c r="I286" s="141"/>
      <c r="J286" s="201">
        <f t="shared" si="33"/>
        <v>-8131</v>
      </c>
      <c r="K286" s="201">
        <f t="shared" si="34"/>
        <v>-7651.41</v>
      </c>
      <c r="L286" s="27">
        <f t="shared" si="35"/>
        <v>-6.0409764688340681E-2</v>
      </c>
      <c r="N286" s="676">
        <f>A!H1896</f>
        <v>0</v>
      </c>
      <c r="Y286" s="2"/>
    </row>
    <row r="287" spans="2:25" ht="12" customHeight="1" thickBot="1">
      <c r="B287" s="216" t="s">
        <v>305</v>
      </c>
      <c r="C287" s="201">
        <f>A!B1897</f>
        <v>500.20000000000073</v>
      </c>
      <c r="D287" s="201">
        <f>A!C1897</f>
        <v>-291</v>
      </c>
      <c r="E287" s="201">
        <f>A!D1897</f>
        <v>-292</v>
      </c>
      <c r="F287" s="201">
        <f>A!E1897</f>
        <v>-273.70410940313741</v>
      </c>
      <c r="G287" s="201">
        <f>A!F1897</f>
        <v>-30</v>
      </c>
      <c r="H287" s="201">
        <f>A!G1897</f>
        <v>-302</v>
      </c>
      <c r="I287" s="141"/>
      <c r="J287" s="201">
        <f t="shared" si="33"/>
        <v>-302</v>
      </c>
      <c r="K287" s="201">
        <f t="shared" si="34"/>
        <v>500.20000000000073</v>
      </c>
      <c r="L287" s="27">
        <f t="shared" si="35"/>
        <v>-6.9908079476425504</v>
      </c>
      <c r="N287" s="676">
        <f>A!H1897</f>
        <v>0</v>
      </c>
      <c r="Y287" s="2"/>
    </row>
    <row r="288" spans="2:25" ht="12" customHeight="1" thickTop="1">
      <c r="B288" s="19" t="s">
        <v>241</v>
      </c>
      <c r="C288" s="144"/>
      <c r="D288" s="145"/>
      <c r="E288" s="144"/>
      <c r="F288" s="145"/>
      <c r="G288" s="145"/>
      <c r="H288" s="145"/>
      <c r="I288" s="140"/>
      <c r="J288" s="20" t="s">
        <v>24</v>
      </c>
      <c r="K288" s="144"/>
      <c r="L288" s="146"/>
      <c r="N288" s="673"/>
      <c r="Y288" s="2"/>
    </row>
    <row r="289" spans="2:25" ht="12" customHeight="1">
      <c r="B289" s="170"/>
      <c r="C289" s="205" t="s">
        <v>245</v>
      </c>
      <c r="D289" s="22" t="s">
        <v>536</v>
      </c>
      <c r="E289" s="205" t="s">
        <v>258</v>
      </c>
      <c r="F289" s="352" t="s">
        <v>433</v>
      </c>
      <c r="G289" s="436" t="s">
        <v>469</v>
      </c>
      <c r="H289" s="437" t="s">
        <v>482</v>
      </c>
      <c r="I289" s="438"/>
      <c r="J289" s="200"/>
      <c r="K289" s="200"/>
      <c r="L289" s="23" t="s">
        <v>25</v>
      </c>
      <c r="N289" s="673"/>
      <c r="Y289" s="2"/>
    </row>
    <row r="290" spans="2:25" ht="12" customHeight="1">
      <c r="B290" s="171"/>
      <c r="C290" s="24" t="s">
        <v>26</v>
      </c>
      <c r="D290" s="24" t="s">
        <v>13</v>
      </c>
      <c r="E290" s="24" t="s">
        <v>13</v>
      </c>
      <c r="F290" s="353" t="s">
        <v>434</v>
      </c>
      <c r="G290" s="353" t="s">
        <v>452</v>
      </c>
      <c r="H290" s="353" t="s">
        <v>483</v>
      </c>
      <c r="I290" s="439"/>
      <c r="J290" s="24" t="s">
        <v>27</v>
      </c>
      <c r="K290" s="24" t="s">
        <v>28</v>
      </c>
      <c r="L290" s="25" t="s">
        <v>259</v>
      </c>
      <c r="N290" s="685" t="s">
        <v>522</v>
      </c>
      <c r="Y290" s="2"/>
    </row>
    <row r="291" spans="2:25" ht="12" customHeight="1">
      <c r="B291" s="214" t="s">
        <v>295</v>
      </c>
      <c r="C291" s="201">
        <f>A!B1820</f>
        <v>-183.10000000000218</v>
      </c>
      <c r="D291" s="201">
        <f>A!C1820</f>
        <v>-123</v>
      </c>
      <c r="E291" s="201">
        <f>A!D1820</f>
        <v>-86</v>
      </c>
      <c r="F291" s="201">
        <f>A!E1820</f>
        <v>-318.11036637811048</v>
      </c>
      <c r="G291" s="201">
        <f>A!F1820</f>
        <v>-379</v>
      </c>
      <c r="H291" s="201">
        <f>A!G1820</f>
        <v>-259</v>
      </c>
      <c r="I291" s="201"/>
      <c r="J291" s="209">
        <f t="shared" ref="J291:J308" si="36">MINA(C291:I291)</f>
        <v>-379</v>
      </c>
      <c r="K291" s="201">
        <f t="shared" ref="K291:K308" si="37">MAXA(C291:I291)</f>
        <v>-86</v>
      </c>
      <c r="L291" s="27">
        <f t="shared" ref="L291:L308" si="38">(K291-J291)/AVERAGE(C291:I291)</f>
        <v>-1.3039508105272644</v>
      </c>
      <c r="N291" s="676">
        <f>A!H1820</f>
        <v>0</v>
      </c>
      <c r="Y291" s="2"/>
    </row>
    <row r="292" spans="2:25" ht="12" customHeight="1">
      <c r="B292" s="215" t="s">
        <v>296</v>
      </c>
      <c r="C292" s="201">
        <f>A!B1821</f>
        <v>8038.1999999999971</v>
      </c>
      <c r="D292" s="201">
        <f>A!C1821</f>
        <v>7916</v>
      </c>
      <c r="E292" s="201">
        <f>A!D1821</f>
        <v>7867</v>
      </c>
      <c r="F292" s="201">
        <f>A!E1821</f>
        <v>8065.549900512724</v>
      </c>
      <c r="G292" s="201">
        <f>A!F1821</f>
        <v>7677</v>
      </c>
      <c r="H292" s="201">
        <f>A!G1821</f>
        <v>8059</v>
      </c>
      <c r="I292" s="141"/>
      <c r="J292" s="201">
        <f t="shared" si="36"/>
        <v>7677</v>
      </c>
      <c r="K292" s="201">
        <f t="shared" si="37"/>
        <v>8065.549900512724</v>
      </c>
      <c r="L292" s="27">
        <f t="shared" si="38"/>
        <v>4.8953481433696974E-2</v>
      </c>
      <c r="N292" s="676">
        <f>A!H1821</f>
        <v>0</v>
      </c>
      <c r="Y292" s="2"/>
    </row>
    <row r="293" spans="2:25" ht="12" customHeight="1">
      <c r="B293" s="215" t="s">
        <v>297</v>
      </c>
      <c r="C293" s="201">
        <f>A!B1822</f>
        <v>9948.6999999999971</v>
      </c>
      <c r="D293" s="201">
        <f>A!C1822</f>
        <v>10207</v>
      </c>
      <c r="E293" s="201">
        <f>A!D1822</f>
        <v>11285</v>
      </c>
      <c r="F293" s="201">
        <f>A!E1822</f>
        <v>11229.01763063022</v>
      </c>
      <c r="G293" s="201">
        <f>A!F1822</f>
        <v>10540</v>
      </c>
      <c r="H293" s="201">
        <f>A!G1822</f>
        <v>10513</v>
      </c>
      <c r="I293" s="141"/>
      <c r="J293" s="201">
        <f t="shared" si="36"/>
        <v>9948.6999999999971</v>
      </c>
      <c r="K293" s="201">
        <f t="shared" si="37"/>
        <v>11285</v>
      </c>
      <c r="L293" s="27">
        <f t="shared" si="38"/>
        <v>0.12582325892745705</v>
      </c>
      <c r="N293" s="676">
        <f>A!H1822</f>
        <v>0</v>
      </c>
      <c r="Y293" s="2"/>
    </row>
    <row r="294" spans="2:25" ht="12" customHeight="1">
      <c r="B294" s="215" t="s">
        <v>422</v>
      </c>
      <c r="C294" s="201">
        <f>A!B1823</f>
        <v>1910.5</v>
      </c>
      <c r="D294" s="201">
        <f>A!C1823</f>
        <v>2291</v>
      </c>
      <c r="E294" s="201">
        <f>A!D1823</f>
        <v>3418</v>
      </c>
      <c r="F294" s="201">
        <f>A!E1823</f>
        <v>3163.4677301174961</v>
      </c>
      <c r="G294" s="201">
        <f>A!F1823</f>
        <v>2863</v>
      </c>
      <c r="H294" s="201">
        <f>A!G1823</f>
        <v>2454</v>
      </c>
      <c r="I294" s="141"/>
      <c r="J294" s="150">
        <f t="shared" si="36"/>
        <v>1910.5</v>
      </c>
      <c r="K294" s="201">
        <f t="shared" si="37"/>
        <v>3418</v>
      </c>
      <c r="L294" s="27">
        <f t="shared" si="38"/>
        <v>0.56180236827928043</v>
      </c>
      <c r="N294" s="676">
        <f>A!H1823</f>
        <v>0</v>
      </c>
      <c r="Y294" s="2"/>
    </row>
    <row r="295" spans="2:25" ht="12" customHeight="1">
      <c r="B295" s="215" t="s">
        <v>423</v>
      </c>
      <c r="C295" s="201">
        <f>A!B1824</f>
        <v>9551.5</v>
      </c>
      <c r="D295" s="201">
        <f>A!C1824</f>
        <v>8883</v>
      </c>
      <c r="E295" s="201">
        <f>A!D1824</f>
        <v>8881</v>
      </c>
      <c r="F295" s="201">
        <f>A!E1824</f>
        <v>9273.9255864577244</v>
      </c>
      <c r="G295" s="201">
        <f>A!F1824</f>
        <v>9483</v>
      </c>
      <c r="H295" s="201">
        <f>A!G1824</f>
        <v>9272</v>
      </c>
      <c r="I295" s="141"/>
      <c r="J295" s="150">
        <f t="shared" si="36"/>
        <v>8881</v>
      </c>
      <c r="K295" s="201">
        <f t="shared" si="37"/>
        <v>9551.5</v>
      </c>
      <c r="L295" s="27">
        <f t="shared" si="38"/>
        <v>7.2690247615188747E-2</v>
      </c>
      <c r="N295" s="676">
        <f>A!H1824</f>
        <v>0</v>
      </c>
      <c r="Y295" s="2"/>
    </row>
    <row r="296" spans="2:25" ht="12" customHeight="1">
      <c r="B296" s="215" t="s">
        <v>424</v>
      </c>
      <c r="C296" s="201">
        <f>A!B1825</f>
        <v>397.19999999999709</v>
      </c>
      <c r="D296" s="201">
        <f>A!C1825</f>
        <v>1324</v>
      </c>
      <c r="E296" s="201">
        <f>A!D1825</f>
        <v>2404</v>
      </c>
      <c r="F296" s="201">
        <f>A!E1825</f>
        <v>1955.0920441724957</v>
      </c>
      <c r="G296" s="201">
        <f>A!F1825</f>
        <v>1057</v>
      </c>
      <c r="H296" s="201">
        <f>A!G1825</f>
        <v>1241</v>
      </c>
      <c r="I296" s="141"/>
      <c r="J296" s="150">
        <f t="shared" si="36"/>
        <v>397.19999999999709</v>
      </c>
      <c r="K296" s="201">
        <f t="shared" si="37"/>
        <v>2404</v>
      </c>
      <c r="L296" s="27">
        <f t="shared" si="38"/>
        <v>1.4371425508346867</v>
      </c>
      <c r="N296" s="676">
        <f>A!H1825</f>
        <v>0</v>
      </c>
      <c r="Y296" s="2"/>
    </row>
    <row r="297" spans="2:25" ht="12" customHeight="1">
      <c r="B297" s="215" t="s">
        <v>298</v>
      </c>
      <c r="C297" s="201">
        <f>A!B1826</f>
        <v>9.9999999998544808E-2</v>
      </c>
      <c r="D297" s="201">
        <f>A!C1826</f>
        <v>0</v>
      </c>
      <c r="E297" s="201">
        <f>A!D1826</f>
        <v>0</v>
      </c>
      <c r="F297" s="201">
        <f>A!E1826</f>
        <v>-3.9521538055851124E-2</v>
      </c>
      <c r="G297" s="201">
        <f>A!F1826</f>
        <v>0</v>
      </c>
      <c r="H297" s="201">
        <f>A!G1826</f>
        <v>-32</v>
      </c>
      <c r="I297" s="141"/>
      <c r="J297" s="201">
        <f t="shared" si="36"/>
        <v>-32</v>
      </c>
      <c r="K297" s="201">
        <f t="shared" si="37"/>
        <v>9.9999999998544808E-2</v>
      </c>
      <c r="L297" s="27">
        <f t="shared" si="38"/>
        <v>-6.0301466874041969</v>
      </c>
      <c r="N297" s="676">
        <f>A!H1826</f>
        <v>0</v>
      </c>
      <c r="Y297" s="2"/>
    </row>
    <row r="298" spans="2:25" ht="12" customHeight="1">
      <c r="B298" s="215" t="s">
        <v>299</v>
      </c>
      <c r="C298" s="201">
        <f>A!B1827</f>
        <v>8783.2999999999993</v>
      </c>
      <c r="D298" s="201">
        <f>A!C1827</f>
        <v>8908</v>
      </c>
      <c r="E298" s="201">
        <f>A!D1827</f>
        <v>8860</v>
      </c>
      <c r="F298" s="201">
        <f>A!E1827</f>
        <v>8946.1220933002223</v>
      </c>
      <c r="G298" s="201">
        <f>A!F1827</f>
        <v>8524</v>
      </c>
      <c r="H298" s="201">
        <f>A!G1827</f>
        <v>9271</v>
      </c>
      <c r="I298" s="141"/>
      <c r="J298" s="201">
        <f t="shared" si="36"/>
        <v>8524</v>
      </c>
      <c r="K298" s="201">
        <f t="shared" si="37"/>
        <v>9271</v>
      </c>
      <c r="L298" s="27">
        <f t="shared" si="38"/>
        <v>8.4102013456120714E-2</v>
      </c>
      <c r="N298" s="676">
        <f>A!H1827</f>
        <v>0</v>
      </c>
      <c r="Y298" s="2"/>
    </row>
    <row r="299" spans="2:25" ht="12" customHeight="1">
      <c r="B299" s="215" t="s">
        <v>300</v>
      </c>
      <c r="C299" s="201">
        <f>A!B1828</f>
        <v>9.9999999998544808E-2</v>
      </c>
      <c r="D299" s="201">
        <f>A!C1828</f>
        <v>0</v>
      </c>
      <c r="E299" s="201">
        <f>A!D1828</f>
        <v>0</v>
      </c>
      <c r="F299" s="201">
        <f>A!E1828</f>
        <v>-5.3330178750911728E-2</v>
      </c>
      <c r="G299" s="201"/>
      <c r="H299" s="201">
        <f>A!G1828</f>
        <v>-31</v>
      </c>
      <c r="I299" s="141"/>
      <c r="J299" s="201">
        <f t="shared" si="36"/>
        <v>-31</v>
      </c>
      <c r="K299" s="201">
        <f t="shared" si="37"/>
        <v>9.9999999998544808E-2</v>
      </c>
      <c r="L299" s="27">
        <f t="shared" si="38"/>
        <v>-5.0236920907054552</v>
      </c>
      <c r="N299" s="676">
        <f>A!H1828</f>
        <v>0</v>
      </c>
      <c r="Y299" s="2"/>
    </row>
    <row r="300" spans="2:25" ht="12" customHeight="1">
      <c r="B300" s="215" t="s">
        <v>306</v>
      </c>
      <c r="C300" s="201">
        <f>A!B1829</f>
        <v>-11.700000000000728</v>
      </c>
      <c r="D300" s="201">
        <f>A!C1829</f>
        <v>0</v>
      </c>
      <c r="E300" s="201">
        <f>A!D1829</f>
        <v>0</v>
      </c>
      <c r="F300" s="201"/>
      <c r="G300" s="201"/>
      <c r="H300" s="201">
        <f>A!G1829</f>
        <v>-15</v>
      </c>
      <c r="I300" s="141"/>
      <c r="J300" s="201">
        <f t="shared" si="36"/>
        <v>-15</v>
      </c>
      <c r="K300" s="201">
        <f t="shared" si="37"/>
        <v>0</v>
      </c>
      <c r="L300" s="27">
        <f t="shared" si="38"/>
        <v>-2.2471910112358939</v>
      </c>
      <c r="N300" s="676">
        <f>A!H1829</f>
        <v>0</v>
      </c>
      <c r="Y300" s="2"/>
    </row>
    <row r="301" spans="2:25" ht="12" customHeight="1">
      <c r="B301" s="215" t="s">
        <v>307</v>
      </c>
      <c r="C301" s="201">
        <f>A!B1830</f>
        <v>0</v>
      </c>
      <c r="D301" s="201">
        <f>A!C1830</f>
        <v>0</v>
      </c>
      <c r="E301" s="201">
        <f>A!D1830</f>
        <v>0</v>
      </c>
      <c r="F301" s="201">
        <f>A!E1830</f>
        <v>2.9103830456733704E-11</v>
      </c>
      <c r="G301" s="201"/>
      <c r="H301" s="201">
        <f>A!G1830</f>
        <v>-15</v>
      </c>
      <c r="I301" s="141"/>
      <c r="J301" s="201">
        <f t="shared" si="36"/>
        <v>-15</v>
      </c>
      <c r="K301" s="201">
        <f t="shared" si="37"/>
        <v>2.9103830456733704E-11</v>
      </c>
      <c r="L301" s="27">
        <f t="shared" si="38"/>
        <v>-5.0000000000194023</v>
      </c>
      <c r="N301" s="676">
        <f>A!H1830</f>
        <v>0</v>
      </c>
      <c r="Y301" s="2"/>
    </row>
    <row r="302" spans="2:25" ht="12" customHeight="1">
      <c r="B302" s="215" t="s">
        <v>308</v>
      </c>
      <c r="C302" s="201">
        <f>A!B1831</f>
        <v>0</v>
      </c>
      <c r="D302" s="201">
        <f>A!C1831</f>
        <v>0</v>
      </c>
      <c r="E302" s="201">
        <f>A!D1831</f>
        <v>0</v>
      </c>
      <c r="F302" s="201">
        <f>A!E1831</f>
        <v>5.0204107537865639E-10</v>
      </c>
      <c r="G302" s="201"/>
      <c r="H302" s="201">
        <f>A!G1831</f>
        <v>-15</v>
      </c>
      <c r="I302" s="141"/>
      <c r="J302" s="201">
        <f t="shared" si="36"/>
        <v>-15</v>
      </c>
      <c r="K302" s="201">
        <f t="shared" si="37"/>
        <v>5.0204107537865639E-10</v>
      </c>
      <c r="L302" s="27">
        <f t="shared" si="38"/>
        <v>-5.0000000003346941</v>
      </c>
      <c r="N302" s="676">
        <f>A!H1831</f>
        <v>0</v>
      </c>
      <c r="Y302" s="2"/>
    </row>
    <row r="303" spans="2:25" ht="12" customHeight="1">
      <c r="B303" s="215" t="s">
        <v>309</v>
      </c>
      <c r="C303" s="201">
        <f>A!B1832</f>
        <v>0</v>
      </c>
      <c r="D303" s="201">
        <f>A!C1832</f>
        <v>0</v>
      </c>
      <c r="E303" s="201">
        <f>A!D1832</f>
        <v>0</v>
      </c>
      <c r="F303" s="201">
        <f>A!E1832</f>
        <v>3.0559021979570389E-10</v>
      </c>
      <c r="G303" s="201"/>
      <c r="H303" s="201">
        <f>A!G1832</f>
        <v>-33</v>
      </c>
      <c r="I303" s="141"/>
      <c r="J303" s="201">
        <f t="shared" si="36"/>
        <v>-33</v>
      </c>
      <c r="K303" s="201">
        <f t="shared" si="37"/>
        <v>3.0559021979570389E-10</v>
      </c>
      <c r="L303" s="27">
        <f t="shared" si="38"/>
        <v>-5.0000000000926033</v>
      </c>
      <c r="N303" s="676">
        <f>A!H1832</f>
        <v>0</v>
      </c>
      <c r="Y303" s="2"/>
    </row>
    <row r="304" spans="2:25" ht="12" customHeight="1">
      <c r="B304" s="215" t="s">
        <v>301</v>
      </c>
      <c r="C304" s="201">
        <f>A!B1833</f>
        <v>-3728.2000000000007</v>
      </c>
      <c r="D304" s="201">
        <f>A!C1833</f>
        <v>-3194</v>
      </c>
      <c r="E304" s="201">
        <f>A!D1833</f>
        <v>-3197</v>
      </c>
      <c r="F304" s="201">
        <f>A!E1833</f>
        <v>-3667.2650504874728</v>
      </c>
      <c r="G304" s="201">
        <f>A!F1833</f>
        <v>-4681</v>
      </c>
      <c r="H304" s="201">
        <f>A!G1833</f>
        <v>-3090</v>
      </c>
      <c r="I304" s="141"/>
      <c r="J304" s="201">
        <f t="shared" si="36"/>
        <v>-4681</v>
      </c>
      <c r="K304" s="201">
        <f t="shared" si="37"/>
        <v>-3090</v>
      </c>
      <c r="L304" s="27">
        <f t="shared" si="38"/>
        <v>-0.44281644328975212</v>
      </c>
      <c r="N304" s="676">
        <f>A!H1833</f>
        <v>0</v>
      </c>
      <c r="Y304" s="2"/>
    </row>
    <row r="305" spans="2:25" ht="12" customHeight="1">
      <c r="B305" s="215" t="s">
        <v>302</v>
      </c>
      <c r="C305" s="201">
        <f>A!B1834</f>
        <v>2180</v>
      </c>
      <c r="D305" s="201">
        <f>A!C1834</f>
        <v>2504</v>
      </c>
      <c r="E305" s="201">
        <f>A!D1834</f>
        <v>2505</v>
      </c>
      <c r="F305" s="201">
        <f>A!E1834</f>
        <v>2432.0565721222229</v>
      </c>
      <c r="G305" s="201">
        <f>A!F1834</f>
        <v>2345</v>
      </c>
      <c r="H305" s="201">
        <f>A!G1834</f>
        <v>2451</v>
      </c>
      <c r="I305" s="141"/>
      <c r="J305" s="201">
        <f t="shared" si="36"/>
        <v>2180</v>
      </c>
      <c r="K305" s="201">
        <f t="shared" si="37"/>
        <v>2505</v>
      </c>
      <c r="L305" s="27">
        <f t="shared" si="38"/>
        <v>0.13525645753313123</v>
      </c>
      <c r="N305" s="676">
        <f>A!H1834</f>
        <v>0</v>
      </c>
      <c r="Y305" s="2"/>
    </row>
    <row r="306" spans="2:25" ht="12" customHeight="1">
      <c r="B306" s="215" t="s">
        <v>303</v>
      </c>
      <c r="C306" s="201">
        <f>A!B1835</f>
        <v>286.79999999999927</v>
      </c>
      <c r="D306" s="201">
        <f>A!C1835</f>
        <v>-309</v>
      </c>
      <c r="E306" s="201">
        <f>A!D1835</f>
        <v>-304</v>
      </c>
      <c r="F306" s="201">
        <f>A!E1835</f>
        <v>-413.52130712541839</v>
      </c>
      <c r="G306" s="201">
        <f>A!F1835</f>
        <v>-210</v>
      </c>
      <c r="H306" s="201">
        <f>A!G1835</f>
        <v>-717</v>
      </c>
      <c r="I306" s="141"/>
      <c r="J306" s="201">
        <f t="shared" si="36"/>
        <v>-717</v>
      </c>
      <c r="K306" s="201">
        <f t="shared" si="37"/>
        <v>286.79999999999927</v>
      </c>
      <c r="L306" s="27">
        <f t="shared" si="38"/>
        <v>-3.6135615320040939</v>
      </c>
      <c r="N306" s="676">
        <f>A!H1835</f>
        <v>0</v>
      </c>
      <c r="Y306" s="2"/>
    </row>
    <row r="307" spans="2:25" ht="12" customHeight="1">
      <c r="B307" s="215" t="s">
        <v>304</v>
      </c>
      <c r="C307" s="201">
        <f>A!B1836</f>
        <v>284.89999999999782</v>
      </c>
      <c r="D307" s="201">
        <f>A!C1836</f>
        <v>-433</v>
      </c>
      <c r="E307" s="201">
        <f>A!D1836</f>
        <v>-433</v>
      </c>
      <c r="F307" s="201">
        <f>A!E1836</f>
        <v>-139.77028901427548</v>
      </c>
      <c r="G307" s="201">
        <f>A!F1836</f>
        <v>0</v>
      </c>
      <c r="H307" s="201">
        <f>A!G1836</f>
        <v>-192</v>
      </c>
      <c r="I307" s="141"/>
      <c r="J307" s="201">
        <f t="shared" si="36"/>
        <v>-433</v>
      </c>
      <c r="K307" s="201">
        <f t="shared" si="37"/>
        <v>284.89999999999782</v>
      </c>
      <c r="L307" s="27">
        <f t="shared" si="38"/>
        <v>-4.7185235973131965</v>
      </c>
      <c r="N307" s="676">
        <f>A!H1836</f>
        <v>0</v>
      </c>
      <c r="Y307" s="2"/>
    </row>
    <row r="308" spans="2:25" ht="12" customHeight="1" thickBot="1">
      <c r="B308" s="216" t="s">
        <v>305</v>
      </c>
      <c r="C308" s="29">
        <f>A!B1837</f>
        <v>500.20000000000073</v>
      </c>
      <c r="D308" s="29">
        <f>A!C1837</f>
        <v>-291</v>
      </c>
      <c r="E308" s="29">
        <f>A!D1837</f>
        <v>-292</v>
      </c>
      <c r="F308" s="29">
        <f>A!E1837</f>
        <v>-273.70410940313741</v>
      </c>
      <c r="G308" s="29">
        <f>A!F1837</f>
        <v>-35</v>
      </c>
      <c r="H308" s="29">
        <f>A!G1837</f>
        <v>-302</v>
      </c>
      <c r="I308" s="142"/>
      <c r="J308" s="29">
        <f t="shared" si="36"/>
        <v>-302</v>
      </c>
      <c r="K308" s="29">
        <f t="shared" si="37"/>
        <v>500.20000000000073</v>
      </c>
      <c r="L308" s="30">
        <f t="shared" si="38"/>
        <v>-6.9404058818663357</v>
      </c>
      <c r="N308" s="676">
        <f>A!H1837</f>
        <v>0</v>
      </c>
      <c r="Y308" s="2"/>
    </row>
    <row r="309" spans="2:25" ht="12" customHeight="1" thickTop="1">
      <c r="B309" s="19" t="s">
        <v>242</v>
      </c>
      <c r="C309" s="145"/>
      <c r="D309" s="145"/>
      <c r="E309" s="145"/>
      <c r="F309" s="145"/>
      <c r="G309" s="145"/>
      <c r="H309" s="145"/>
      <c r="I309" s="20"/>
      <c r="J309" s="147" t="s">
        <v>24</v>
      </c>
      <c r="K309" s="144"/>
      <c r="L309" s="146"/>
      <c r="N309" s="673"/>
      <c r="Y309" s="2"/>
    </row>
    <row r="310" spans="2:25" ht="12" customHeight="1">
      <c r="B310" s="170"/>
      <c r="C310" s="205" t="s">
        <v>245</v>
      </c>
      <c r="D310" s="22" t="s">
        <v>536</v>
      </c>
      <c r="E310" s="205" t="s">
        <v>258</v>
      </c>
      <c r="F310" s="352" t="s">
        <v>433</v>
      </c>
      <c r="G310" s="436" t="s">
        <v>469</v>
      </c>
      <c r="H310" s="437" t="s">
        <v>482</v>
      </c>
      <c r="I310" s="438"/>
      <c r="J310" s="148"/>
      <c r="K310" s="200"/>
      <c r="L310" s="23" t="s">
        <v>25</v>
      </c>
      <c r="N310" s="673"/>
      <c r="Y310" s="2"/>
    </row>
    <row r="311" spans="2:25" ht="12" customHeight="1">
      <c r="B311" s="171"/>
      <c r="C311" s="24" t="s">
        <v>26</v>
      </c>
      <c r="D311" s="24" t="s">
        <v>13</v>
      </c>
      <c r="E311" s="24" t="s">
        <v>13</v>
      </c>
      <c r="F311" s="353" t="s">
        <v>434</v>
      </c>
      <c r="G311" s="353" t="s">
        <v>452</v>
      </c>
      <c r="H311" s="353" t="s">
        <v>483</v>
      </c>
      <c r="I311" s="439"/>
      <c r="J311" s="149" t="s">
        <v>27</v>
      </c>
      <c r="K311" s="24" t="s">
        <v>28</v>
      </c>
      <c r="L311" s="25" t="s">
        <v>259</v>
      </c>
      <c r="N311" s="685" t="s">
        <v>522</v>
      </c>
      <c r="Y311" s="2"/>
    </row>
    <row r="312" spans="2:25" ht="12" customHeight="1">
      <c r="B312" s="214" t="s">
        <v>295</v>
      </c>
      <c r="C312" s="201">
        <f>A!B1850</f>
        <v>6271.2999999999993</v>
      </c>
      <c r="D312" s="201">
        <f>A!C1850</f>
        <v>5835</v>
      </c>
      <c r="E312" s="201">
        <f>A!D1850</f>
        <v>5876</v>
      </c>
      <c r="F312" s="201">
        <f>A!E1850</f>
        <v>6049.2222306026397</v>
      </c>
      <c r="G312" s="201">
        <f>A!F1850</f>
        <v>5737</v>
      </c>
      <c r="H312" s="201">
        <f>A!G1850</f>
        <v>5685</v>
      </c>
      <c r="I312" s="201"/>
      <c r="J312" s="150">
        <f t="shared" ref="J312:J329" si="39">MINA(C312:I312)</f>
        <v>5685</v>
      </c>
      <c r="K312" s="201">
        <f t="shared" ref="K312:K329" si="40">MAXA(C312:I312)</f>
        <v>6271.2999999999993</v>
      </c>
      <c r="L312" s="27">
        <f t="shared" ref="L312:L329" si="41">(K312-J312)/AVERAGE(C312:I312)</f>
        <v>9.9222863587965712E-2</v>
      </c>
      <c r="N312" s="676">
        <f>A!H1850</f>
        <v>0</v>
      </c>
      <c r="Y312" s="2"/>
    </row>
    <row r="313" spans="2:25" ht="12" customHeight="1">
      <c r="B313" s="215" t="s">
        <v>296</v>
      </c>
      <c r="C313" s="201">
        <f>A!B1851</f>
        <v>13511.599999999999</v>
      </c>
      <c r="D313" s="201">
        <f>A!C1851</f>
        <v>22193</v>
      </c>
      <c r="E313" s="201">
        <f>A!D1851</f>
        <v>22109</v>
      </c>
      <c r="F313" s="201">
        <f>A!E1851</f>
        <v>12161.089970704275</v>
      </c>
      <c r="G313" s="201">
        <f>A!F1851</f>
        <v>11322</v>
      </c>
      <c r="H313" s="201">
        <f>A!G1851</f>
        <v>11537</v>
      </c>
      <c r="I313" s="35"/>
      <c r="J313" s="150">
        <f t="shared" si="39"/>
        <v>11322</v>
      </c>
      <c r="K313" s="201">
        <f t="shared" si="40"/>
        <v>22193</v>
      </c>
      <c r="L313" s="27">
        <f t="shared" si="41"/>
        <v>0.70261130437218977</v>
      </c>
      <c r="N313" s="676">
        <f>A!H1851</f>
        <v>0</v>
      </c>
      <c r="Y313" s="2"/>
    </row>
    <row r="314" spans="2:25" ht="12" customHeight="1">
      <c r="B314" s="215" t="s">
        <v>297</v>
      </c>
      <c r="C314" s="201">
        <f>A!B1852</f>
        <v>18189.5</v>
      </c>
      <c r="D314" s="201">
        <f>A!C1852</f>
        <v>17637</v>
      </c>
      <c r="E314" s="201">
        <f>A!D1852</f>
        <v>31415</v>
      </c>
      <c r="F314" s="201">
        <f>A!E1852</f>
        <v>17001.615463166723</v>
      </c>
      <c r="G314" s="201">
        <f>A!F1852</f>
        <v>17809</v>
      </c>
      <c r="H314" s="201">
        <f>A!G1852</f>
        <v>17096</v>
      </c>
      <c r="I314" s="35"/>
      <c r="J314" s="150">
        <f t="shared" si="39"/>
        <v>17001.615463166723</v>
      </c>
      <c r="K314" s="201">
        <f t="shared" si="40"/>
        <v>31415</v>
      </c>
      <c r="L314" s="27">
        <f t="shared" si="41"/>
        <v>0.72582186369312784</v>
      </c>
      <c r="N314" s="676">
        <f>A!H1852</f>
        <v>0</v>
      </c>
      <c r="Y314" s="2"/>
    </row>
    <row r="315" spans="2:25" ht="12" customHeight="1">
      <c r="B315" s="215" t="s">
        <v>422</v>
      </c>
      <c r="C315" s="201">
        <f>A!B1853</f>
        <v>4677.9000000000015</v>
      </c>
      <c r="D315" s="201">
        <f>A!C1853</f>
        <v>-4556</v>
      </c>
      <c r="E315" s="201">
        <f>A!D1853</f>
        <v>9306</v>
      </c>
      <c r="F315" s="201">
        <f>A!E1853</f>
        <v>4840.525492462446</v>
      </c>
      <c r="G315" s="201">
        <f>A!F1853</f>
        <v>6487</v>
      </c>
      <c r="H315" s="201">
        <f>A!G1853</f>
        <v>5559</v>
      </c>
      <c r="I315" s="35"/>
      <c r="J315" s="150">
        <f t="shared" si="39"/>
        <v>-4556</v>
      </c>
      <c r="K315" s="201">
        <f t="shared" si="40"/>
        <v>9306</v>
      </c>
      <c r="L315" s="27">
        <f t="shared" si="41"/>
        <v>3.1606998231378425</v>
      </c>
      <c r="N315" s="676">
        <f>A!H1853</f>
        <v>0</v>
      </c>
      <c r="Y315" s="2"/>
    </row>
    <row r="316" spans="2:25" ht="12" customHeight="1">
      <c r="B316" s="215" t="s">
        <v>423</v>
      </c>
      <c r="C316" s="201">
        <f>A!B1854</f>
        <v>15212.599999999999</v>
      </c>
      <c r="D316" s="201">
        <f>A!C1854</f>
        <v>21147</v>
      </c>
      <c r="E316" s="201">
        <f>A!D1854</f>
        <v>26617</v>
      </c>
      <c r="F316" s="201">
        <f>A!E1854</f>
        <v>13840.680225111611</v>
      </c>
      <c r="G316" s="201">
        <f>A!F1854</f>
        <v>13850</v>
      </c>
      <c r="H316" s="201">
        <f>A!G1854</f>
        <v>13402</v>
      </c>
      <c r="I316" s="35"/>
      <c r="J316" s="150">
        <f t="shared" si="39"/>
        <v>13402</v>
      </c>
      <c r="K316" s="201">
        <f t="shared" si="40"/>
        <v>26617</v>
      </c>
      <c r="L316" s="27">
        <f t="shared" si="41"/>
        <v>0.76189630435118127</v>
      </c>
      <c r="N316" s="676">
        <f>A!H1854</f>
        <v>0</v>
      </c>
      <c r="Y316" s="2"/>
    </row>
    <row r="317" spans="2:25" ht="12" customHeight="1">
      <c r="B317" s="215" t="s">
        <v>424</v>
      </c>
      <c r="C317" s="201">
        <f>A!B1855</f>
        <v>2976.9000000000015</v>
      </c>
      <c r="D317" s="201">
        <f>A!C1855</f>
        <v>-3510</v>
      </c>
      <c r="E317" s="201">
        <f>A!D1855</f>
        <v>4798</v>
      </c>
      <c r="F317" s="201">
        <f>A!E1855</f>
        <v>3160.9352380551099</v>
      </c>
      <c r="G317" s="201">
        <f>A!F1855</f>
        <v>3959</v>
      </c>
      <c r="H317" s="201">
        <f>A!G1855</f>
        <v>3694</v>
      </c>
      <c r="I317" s="35"/>
      <c r="J317" s="150">
        <f t="shared" si="39"/>
        <v>-3510</v>
      </c>
      <c r="K317" s="201">
        <f t="shared" si="40"/>
        <v>4798</v>
      </c>
      <c r="L317" s="27">
        <f t="shared" si="41"/>
        <v>3.3058256299661948</v>
      </c>
      <c r="N317" s="676">
        <f>A!H1855</f>
        <v>0</v>
      </c>
      <c r="Y317" s="2"/>
    </row>
    <row r="318" spans="2:25" ht="12" customHeight="1">
      <c r="B318" s="215" t="s">
        <v>298</v>
      </c>
      <c r="C318" s="201">
        <f>A!B1856</f>
        <v>115.55999999999949</v>
      </c>
      <c r="D318" s="201">
        <f>A!C1856</f>
        <v>-1</v>
      </c>
      <c r="E318" s="201">
        <f>A!D1856</f>
        <v>-1</v>
      </c>
      <c r="F318" s="201">
        <f>A!E1856</f>
        <v>0.55758901077751943</v>
      </c>
      <c r="G318" s="201">
        <f>A!F1856</f>
        <v>380</v>
      </c>
      <c r="H318" s="201">
        <f>A!G1856</f>
        <v>1211</v>
      </c>
      <c r="I318" s="35"/>
      <c r="J318" s="150">
        <f t="shared" si="39"/>
        <v>-1</v>
      </c>
      <c r="K318" s="201">
        <f t="shared" si="40"/>
        <v>1211</v>
      </c>
      <c r="L318" s="27">
        <f t="shared" si="41"/>
        <v>4.2648085075580306</v>
      </c>
      <c r="N318" s="676">
        <f>A!H1856</f>
        <v>0</v>
      </c>
      <c r="Y318" s="2"/>
    </row>
    <row r="319" spans="2:25" ht="12" customHeight="1">
      <c r="B319" s="215" t="s">
        <v>299</v>
      </c>
      <c r="C319" s="201">
        <f>A!B1857</f>
        <v>-360.54000000000087</v>
      </c>
      <c r="D319" s="201">
        <f>A!C1857</f>
        <v>722</v>
      </c>
      <c r="E319" s="201">
        <f>A!D1857</f>
        <v>942</v>
      </c>
      <c r="F319" s="201">
        <f>A!E1857</f>
        <v>-1687.8651001075559</v>
      </c>
      <c r="G319" s="201">
        <f>A!F1857</f>
        <v>-1516</v>
      </c>
      <c r="H319" s="201">
        <f>A!G1857</f>
        <v>-1458</v>
      </c>
      <c r="I319" s="35"/>
      <c r="J319" s="150">
        <f t="shared" si="39"/>
        <v>-1687.8651001075559</v>
      </c>
      <c r="K319" s="201">
        <f t="shared" si="40"/>
        <v>942</v>
      </c>
      <c r="L319" s="27">
        <f t="shared" si="41"/>
        <v>-4.6984178889378141</v>
      </c>
      <c r="N319" s="676">
        <f>A!H1857</f>
        <v>0</v>
      </c>
      <c r="Y319" s="2"/>
    </row>
    <row r="320" spans="2:25" ht="12" customHeight="1">
      <c r="B320" s="215" t="s">
        <v>300</v>
      </c>
      <c r="C320" s="201">
        <f>A!B1858</f>
        <v>17439.599999999999</v>
      </c>
      <c r="D320" s="201">
        <f>A!C1858</f>
        <v>16274</v>
      </c>
      <c r="E320" s="201">
        <f>A!D1858</f>
        <v>23002</v>
      </c>
      <c r="F320" s="201">
        <f>A!E1858</f>
        <v>16172.591647627169</v>
      </c>
      <c r="G320" s="201"/>
      <c r="H320" s="201">
        <f>A!G1858</f>
        <v>16253</v>
      </c>
      <c r="I320" s="35"/>
      <c r="J320" s="150">
        <f t="shared" si="39"/>
        <v>16172.591647627169</v>
      </c>
      <c r="K320" s="201">
        <f t="shared" si="40"/>
        <v>23002</v>
      </c>
      <c r="L320" s="27">
        <f t="shared" si="41"/>
        <v>0.3830669203620985</v>
      </c>
      <c r="N320" s="676">
        <f>A!H1858</f>
        <v>0</v>
      </c>
      <c r="Y320" s="2"/>
    </row>
    <row r="321" spans="2:25" ht="12" customHeight="1">
      <c r="B321" s="215" t="s">
        <v>306</v>
      </c>
      <c r="C321" s="201">
        <f>A!B1859</f>
        <v>1503.1999999999989</v>
      </c>
      <c r="D321" s="201">
        <f>A!C1859</f>
        <v>0</v>
      </c>
      <c r="E321" s="201">
        <f>A!D1859</f>
        <v>-3</v>
      </c>
      <c r="F321" s="201"/>
      <c r="G321" s="201"/>
      <c r="H321" s="201">
        <f>A!G1859</f>
        <v>-15</v>
      </c>
      <c r="I321" s="35"/>
      <c r="J321" s="150">
        <f t="shared" si="39"/>
        <v>-15</v>
      </c>
      <c r="K321" s="201">
        <f t="shared" si="40"/>
        <v>1503.1999999999989</v>
      </c>
      <c r="L321" s="27">
        <f t="shared" si="41"/>
        <v>4.0888769189334768</v>
      </c>
      <c r="N321" s="676">
        <f>A!H1859</f>
        <v>0</v>
      </c>
      <c r="Y321" s="2"/>
    </row>
    <row r="322" spans="2:25" ht="12" customHeight="1">
      <c r="B322" s="215" t="s">
        <v>307</v>
      </c>
      <c r="C322" s="201">
        <f>A!B1860</f>
        <v>115.34000000000015</v>
      </c>
      <c r="D322" s="201">
        <f>A!C1860</f>
        <v>0</v>
      </c>
      <c r="E322" s="201">
        <f>A!D1860</f>
        <v>0</v>
      </c>
      <c r="F322" s="201">
        <f>A!E1860</f>
        <v>-1.3824319466948509E-10</v>
      </c>
      <c r="G322" s="201"/>
      <c r="H322" s="201">
        <f>A!G1860</f>
        <v>2</v>
      </c>
      <c r="I322" s="35"/>
      <c r="J322" s="150">
        <f t="shared" si="39"/>
        <v>-1.3824319466948509E-10</v>
      </c>
      <c r="K322" s="201">
        <f t="shared" si="40"/>
        <v>115.34000000000015</v>
      </c>
      <c r="L322" s="27">
        <f t="shared" si="41"/>
        <v>4.9147775694679616</v>
      </c>
      <c r="N322" s="676">
        <f>A!H1860</f>
        <v>0</v>
      </c>
      <c r="Y322" s="2"/>
    </row>
    <row r="323" spans="2:25" ht="12" customHeight="1">
      <c r="B323" s="215" t="s">
        <v>308</v>
      </c>
      <c r="C323" s="201">
        <f>A!B1861</f>
        <v>0</v>
      </c>
      <c r="D323" s="201">
        <f>A!C1861</f>
        <v>1801</v>
      </c>
      <c r="E323" s="201">
        <f>A!D1861</f>
        <v>1707</v>
      </c>
      <c r="F323" s="201">
        <f>A!E1861</f>
        <v>780.23981644727792</v>
      </c>
      <c r="G323" s="201"/>
      <c r="H323" s="201">
        <f>A!G1861</f>
        <v>2</v>
      </c>
      <c r="I323" s="35"/>
      <c r="J323" s="150">
        <f t="shared" si="39"/>
        <v>0</v>
      </c>
      <c r="K323" s="201">
        <f t="shared" si="40"/>
        <v>1801</v>
      </c>
      <c r="L323" s="27">
        <f t="shared" si="41"/>
        <v>2.0989502650826144</v>
      </c>
      <c r="N323" s="676">
        <f>A!H1861</f>
        <v>0</v>
      </c>
      <c r="Y323" s="2"/>
    </row>
    <row r="324" spans="2:25" ht="12" customHeight="1">
      <c r="B324" s="215" t="s">
        <v>309</v>
      </c>
      <c r="C324" s="201">
        <f>A!B1862</f>
        <v>0</v>
      </c>
      <c r="D324" s="201">
        <f>A!C1862</f>
        <v>0</v>
      </c>
      <c r="E324" s="201">
        <f>A!D1862</f>
        <v>-3</v>
      </c>
      <c r="F324" s="201">
        <f>A!E1862</f>
        <v>-8.3673512563109398E-11</v>
      </c>
      <c r="G324" s="201"/>
      <c r="H324" s="201">
        <f>A!G1862</f>
        <v>-253</v>
      </c>
      <c r="I324" s="35"/>
      <c r="J324" s="150">
        <f t="shared" si="39"/>
        <v>-253</v>
      </c>
      <c r="K324" s="201">
        <f t="shared" si="40"/>
        <v>0</v>
      </c>
      <c r="L324" s="27">
        <f t="shared" si="41"/>
        <v>-4.9414062499983844</v>
      </c>
      <c r="N324" s="676">
        <f>A!H1862</f>
        <v>0</v>
      </c>
      <c r="Y324" s="2"/>
    </row>
    <row r="325" spans="2:25" ht="12" customHeight="1">
      <c r="B325" s="215" t="s">
        <v>301</v>
      </c>
      <c r="C325" s="201">
        <f>A!B1863</f>
        <v>-1670.2400000000007</v>
      </c>
      <c r="D325" s="201">
        <f>A!C1863</f>
        <v>-1571</v>
      </c>
      <c r="E325" s="201">
        <f>A!D1863</f>
        <v>-1661</v>
      </c>
      <c r="F325" s="201">
        <f>A!E1863</f>
        <v>-2686.1278053429451</v>
      </c>
      <c r="G325" s="201">
        <f>A!F1863</f>
        <v>-2570</v>
      </c>
      <c r="H325" s="201">
        <f>A!G1863</f>
        <v>-2630</v>
      </c>
      <c r="I325" s="35"/>
      <c r="J325" s="150">
        <f t="shared" si="39"/>
        <v>-2686.1278053429451</v>
      </c>
      <c r="K325" s="201">
        <f t="shared" si="40"/>
        <v>-1571</v>
      </c>
      <c r="L325" s="27">
        <f t="shared" si="41"/>
        <v>-0.52319161709301831</v>
      </c>
      <c r="N325" s="676">
        <f>A!H1863</f>
        <v>0</v>
      </c>
      <c r="Y325" s="15"/>
    </row>
    <row r="326" spans="2:25" ht="12" customHeight="1">
      <c r="B326" s="215" t="s">
        <v>302</v>
      </c>
      <c r="C326" s="201">
        <f>A!B1864</f>
        <v>927.09999999999945</v>
      </c>
      <c r="D326" s="201">
        <f>A!C1864</f>
        <v>990</v>
      </c>
      <c r="E326" s="201">
        <f>A!D1864</f>
        <v>990</v>
      </c>
      <c r="F326" s="201">
        <f>A!E1864</f>
        <v>1132.0803152907229</v>
      </c>
      <c r="G326" s="201">
        <f>A!F1864</f>
        <v>1045</v>
      </c>
      <c r="H326" s="201">
        <f>A!G1864</f>
        <v>1112</v>
      </c>
      <c r="I326" s="35"/>
      <c r="J326" s="150">
        <f t="shared" si="39"/>
        <v>927.09999999999945</v>
      </c>
      <c r="K326" s="201">
        <f t="shared" si="40"/>
        <v>1132.0803152907229</v>
      </c>
      <c r="L326" s="27">
        <f t="shared" si="41"/>
        <v>0.1984903326181906</v>
      </c>
      <c r="N326" s="676">
        <f>A!H1864</f>
        <v>0</v>
      </c>
      <c r="Y326" s="15"/>
    </row>
    <row r="327" spans="2:25" ht="12" customHeight="1">
      <c r="B327" s="215" t="s">
        <v>303</v>
      </c>
      <c r="C327" s="201">
        <f>A!B1865</f>
        <v>123.36999999999989</v>
      </c>
      <c r="D327" s="201">
        <f>A!C1865</f>
        <v>-122</v>
      </c>
      <c r="E327" s="201">
        <f>A!D1865</f>
        <v>-122</v>
      </c>
      <c r="F327" s="201">
        <f>A!E1865</f>
        <v>221.16939294900021</v>
      </c>
      <c r="G327" s="201">
        <f>A!F1865</f>
        <v>212</v>
      </c>
      <c r="H327" s="201">
        <f>A!G1865</f>
        <v>-144</v>
      </c>
      <c r="I327" s="35"/>
      <c r="J327" s="150">
        <f t="shared" si="39"/>
        <v>-144</v>
      </c>
      <c r="K327" s="201">
        <f t="shared" si="40"/>
        <v>221.16939294900021</v>
      </c>
      <c r="L327" s="27">
        <f t="shared" si="41"/>
        <v>13.000025212841493</v>
      </c>
      <c r="N327" s="676">
        <f>A!H1865</f>
        <v>0</v>
      </c>
      <c r="Y327" s="15"/>
    </row>
    <row r="328" spans="2:25" ht="12" customHeight="1">
      <c r="B328" s="215" t="s">
        <v>304</v>
      </c>
      <c r="C328" s="201">
        <f>A!B1866</f>
        <v>-7965.4599999999837</v>
      </c>
      <c r="D328" s="201">
        <f>A!C1866</f>
        <v>-7733</v>
      </c>
      <c r="E328" s="201">
        <f>A!D1866</f>
        <v>-7733</v>
      </c>
      <c r="F328" s="201">
        <f>A!E1866</f>
        <v>-7798.7788782143725</v>
      </c>
      <c r="G328" s="201">
        <f>A!F1866</f>
        <v>-7626</v>
      </c>
      <c r="H328" s="201">
        <f>A!G1866</f>
        <v>-7726.1</v>
      </c>
      <c r="I328" s="35"/>
      <c r="J328" s="150">
        <f t="shared" si="39"/>
        <v>-7965.4599999999837</v>
      </c>
      <c r="K328" s="201">
        <f t="shared" si="40"/>
        <v>-7626</v>
      </c>
      <c r="L328" s="27">
        <f t="shared" si="41"/>
        <v>-4.3723867221971004E-2</v>
      </c>
      <c r="N328" s="676">
        <f>A!H1866</f>
        <v>0</v>
      </c>
      <c r="Y328" s="15"/>
    </row>
    <row r="329" spans="2:25" ht="12" customHeight="1" thickBot="1">
      <c r="B329" s="216" t="s">
        <v>305</v>
      </c>
      <c r="C329" s="29">
        <f>A!B1867</f>
        <v>-627.18599999998196</v>
      </c>
      <c r="D329" s="29">
        <f>A!C1867</f>
        <v>0</v>
      </c>
      <c r="E329" s="29">
        <f>A!D1867</f>
        <v>0</v>
      </c>
      <c r="F329" s="29">
        <f>A!E1867</f>
        <v>-1636.3589513277084</v>
      </c>
      <c r="G329" s="29">
        <f>A!F1867</f>
        <v>-841</v>
      </c>
      <c r="H329" s="29">
        <f>A!G1867</f>
        <v>-1181</v>
      </c>
      <c r="I329" s="142"/>
      <c r="J329" s="151">
        <f t="shared" si="39"/>
        <v>-1636.3589513277084</v>
      </c>
      <c r="K329" s="29">
        <f t="shared" si="40"/>
        <v>0</v>
      </c>
      <c r="L329" s="30">
        <f t="shared" si="41"/>
        <v>-2.290993052102865</v>
      </c>
      <c r="N329" s="676">
        <f>A!H1867</f>
        <v>0</v>
      </c>
      <c r="Y329" s="15"/>
    </row>
    <row r="330" spans="2:25" ht="12" customHeight="1" thickTop="1">
      <c r="B330" s="18"/>
      <c r="C330" s="26"/>
      <c r="D330" s="32" t="s">
        <v>563</v>
      </c>
      <c r="E330" s="26"/>
      <c r="F330" s="26"/>
      <c r="G330" s="26"/>
      <c r="H330" s="26"/>
      <c r="I330" s="18"/>
      <c r="J330" s="18"/>
      <c r="K330" s="18"/>
      <c r="L330" s="18"/>
      <c r="M330" s="34"/>
      <c r="N330" s="673"/>
      <c r="Y330" s="15"/>
    </row>
    <row r="331" spans="2:25" ht="12" customHeight="1">
      <c r="M331" s="35"/>
      <c r="N331" s="35"/>
      <c r="O331" s="2"/>
      <c r="P331" s="12"/>
      <c r="Q331" s="12"/>
      <c r="R331" s="12"/>
      <c r="S331" s="12"/>
      <c r="T331" s="2"/>
      <c r="U331" s="2"/>
      <c r="V331" s="2"/>
      <c r="W331" s="2"/>
      <c r="X331" s="12"/>
      <c r="Y331" s="15"/>
    </row>
    <row r="332" spans="2:25" ht="15.75" customHeight="1">
      <c r="N332" s="673"/>
      <c r="Y332" s="15"/>
    </row>
    <row r="333" spans="2:25" ht="12" customHeight="1">
      <c r="N333" s="673"/>
      <c r="Y333" s="13"/>
    </row>
    <row r="334" spans="2:25" ht="12" customHeight="1">
      <c r="N334" s="673"/>
      <c r="Y334" s="13"/>
    </row>
    <row r="335" spans="2:25" ht="12" customHeight="1">
      <c r="N335" s="673"/>
      <c r="Y335" s="14"/>
    </row>
    <row r="336" spans="2:25" ht="12" customHeight="1">
      <c r="N336" s="673"/>
      <c r="Y336" s="14"/>
    </row>
    <row r="337" spans="2:25" ht="12" customHeight="1">
      <c r="N337" s="673"/>
      <c r="Y337" s="14"/>
    </row>
    <row r="338" spans="2:25" ht="12" customHeight="1">
      <c r="N338" s="673"/>
      <c r="Y338" s="14"/>
    </row>
    <row r="339" spans="2:25" ht="21" customHeight="1">
      <c r="B339" s="425" t="s">
        <v>442</v>
      </c>
      <c r="C339" s="2"/>
      <c r="D339" s="14"/>
      <c r="E339" s="32"/>
      <c r="F339" s="14"/>
      <c r="G339" s="14"/>
      <c r="H339" s="14"/>
      <c r="I339" s="2"/>
      <c r="J339" s="14"/>
      <c r="K339" s="14"/>
      <c r="N339" s="673"/>
      <c r="Y339" s="14"/>
    </row>
    <row r="340" spans="2:25" ht="12" customHeight="1">
      <c r="N340" s="673"/>
      <c r="Y340" s="14"/>
    </row>
    <row r="341" spans="2:25" ht="15.75" customHeight="1" thickBot="1">
      <c r="B341" s="192" t="s">
        <v>333</v>
      </c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35"/>
      <c r="N341" s="35"/>
      <c r="O341" s="2"/>
      <c r="P341" s="12"/>
      <c r="Q341" s="12"/>
      <c r="R341" s="12"/>
      <c r="S341" s="12"/>
      <c r="T341" s="2"/>
      <c r="U341" s="2"/>
      <c r="V341" s="2"/>
      <c r="W341" s="2"/>
      <c r="X341" s="12"/>
      <c r="Y341" s="14"/>
    </row>
    <row r="342" spans="2:25" ht="12" customHeight="1" thickTop="1">
      <c r="B342" s="19" t="s">
        <v>249</v>
      </c>
      <c r="C342" s="144"/>
      <c r="D342" s="145"/>
      <c r="E342" s="144"/>
      <c r="F342" s="145"/>
      <c r="G342" s="145"/>
      <c r="H342" s="145"/>
      <c r="I342" s="140"/>
      <c r="J342" s="20" t="s">
        <v>24</v>
      </c>
      <c r="K342" s="144"/>
      <c r="L342" s="146"/>
      <c r="N342" s="673"/>
      <c r="Y342" s="14"/>
    </row>
    <row r="343" spans="2:25" ht="12" customHeight="1">
      <c r="B343" s="170"/>
      <c r="C343" s="205" t="s">
        <v>245</v>
      </c>
      <c r="D343" s="22" t="s">
        <v>536</v>
      </c>
      <c r="E343" s="205" t="s">
        <v>258</v>
      </c>
      <c r="F343" s="352" t="s">
        <v>433</v>
      </c>
      <c r="G343" s="436" t="s">
        <v>469</v>
      </c>
      <c r="H343" s="437" t="s">
        <v>482</v>
      </c>
      <c r="I343" s="438"/>
      <c r="J343" s="200"/>
      <c r="K343" s="200"/>
      <c r="L343" s="23" t="s">
        <v>25</v>
      </c>
      <c r="N343" s="673"/>
      <c r="Y343" s="14"/>
    </row>
    <row r="344" spans="2:25" ht="12" customHeight="1">
      <c r="B344" s="171"/>
      <c r="C344" s="24" t="s">
        <v>26</v>
      </c>
      <c r="D344" s="24" t="s">
        <v>13</v>
      </c>
      <c r="E344" s="24" t="s">
        <v>13</v>
      </c>
      <c r="F344" s="353" t="s">
        <v>434</v>
      </c>
      <c r="G344" s="353" t="s">
        <v>452</v>
      </c>
      <c r="H344" s="353" t="s">
        <v>483</v>
      </c>
      <c r="I344" s="439"/>
      <c r="J344" s="24" t="s">
        <v>27</v>
      </c>
      <c r="K344" s="24" t="s">
        <v>28</v>
      </c>
      <c r="L344" s="25" t="s">
        <v>259</v>
      </c>
      <c r="N344" s="685" t="s">
        <v>522</v>
      </c>
      <c r="Y344" s="14"/>
    </row>
    <row r="345" spans="2:25" ht="12" customHeight="1">
      <c r="B345" s="214" t="s">
        <v>295</v>
      </c>
      <c r="C345" s="211">
        <f>A!B1910</f>
        <v>-2.503710504220269E-2</v>
      </c>
      <c r="D345" s="211">
        <f>A!C1910</f>
        <v>0.2719999999999998</v>
      </c>
      <c r="E345" s="211">
        <f>A!D1910</f>
        <v>0.27099999999999991</v>
      </c>
      <c r="F345" s="211">
        <f>A!E1910</f>
        <v>0.27226166768202509</v>
      </c>
      <c r="G345" s="211">
        <f>A!F1910</f>
        <v>0.25702934970804447</v>
      </c>
      <c r="H345" s="211">
        <f>A!G1910</f>
        <v>0.24000000000000021</v>
      </c>
      <c r="I345" s="211"/>
      <c r="J345" s="211">
        <f t="shared" ref="J345:J362" si="42">MINA(C345:I345)</f>
        <v>-2.503710504220269E-2</v>
      </c>
      <c r="K345" s="211">
        <f t="shared" ref="K345:K362" si="43">MAXA(C345:I345)</f>
        <v>0.27226166768202509</v>
      </c>
      <c r="L345" s="27">
        <f t="shared" ref="L345:L362" si="44">(K345-J345)/AVERAGE(C345:I345)</f>
        <v>1.3857348726886725</v>
      </c>
      <c r="N345" s="222">
        <f>A!H1910</f>
        <v>0</v>
      </c>
      <c r="Y345" s="14"/>
    </row>
    <row r="346" spans="2:25" ht="12" customHeight="1">
      <c r="B346" s="215" t="s">
        <v>296</v>
      </c>
      <c r="C346" s="211">
        <f>A!B1911</f>
        <v>0</v>
      </c>
      <c r="D346" s="211">
        <f>A!C1911</f>
        <v>1.2739999999999996</v>
      </c>
      <c r="E346" s="211">
        <f>A!D1911</f>
        <v>1.1099999999999994</v>
      </c>
      <c r="F346" s="211">
        <f>A!E1911</f>
        <v>4.1596239215089259E-2</v>
      </c>
      <c r="G346" s="211">
        <f>A!F1911</f>
        <v>7.2694012320202006E-2</v>
      </c>
      <c r="H346" s="211">
        <f>A!G1911</f>
        <v>0.5</v>
      </c>
      <c r="I346" s="217"/>
      <c r="J346" s="211">
        <f t="shared" si="42"/>
        <v>0</v>
      </c>
      <c r="K346" s="211">
        <f t="shared" si="43"/>
        <v>1.2739999999999996</v>
      </c>
      <c r="L346" s="27">
        <f t="shared" si="44"/>
        <v>2.5494529744362966</v>
      </c>
      <c r="N346" s="222">
        <f>A!H1911</f>
        <v>0</v>
      </c>
      <c r="Y346" s="14"/>
    </row>
    <row r="347" spans="2:25" ht="12" customHeight="1">
      <c r="B347" s="215" t="s">
        <v>297</v>
      </c>
      <c r="C347" s="211">
        <f>A!B1912</f>
        <v>0</v>
      </c>
      <c r="D347" s="211">
        <f>A!C1912</f>
        <v>0.23999999999999977</v>
      </c>
      <c r="E347" s="211">
        <f>A!D1912</f>
        <v>1.7379999999999995</v>
      </c>
      <c r="F347" s="211">
        <f>A!E1912</f>
        <v>0.17298837863495686</v>
      </c>
      <c r="G347" s="211">
        <f>A!F1912</f>
        <v>0.25133541762216671</v>
      </c>
      <c r="H347" s="211">
        <f>A!G1912</f>
        <v>0.16999999999999993</v>
      </c>
      <c r="I347" s="217"/>
      <c r="J347" s="211">
        <f t="shared" si="42"/>
        <v>0</v>
      </c>
      <c r="K347" s="211">
        <f t="shared" si="43"/>
        <v>1.7379999999999995</v>
      </c>
      <c r="L347" s="27">
        <f t="shared" si="44"/>
        <v>4.0539219888154552</v>
      </c>
      <c r="N347" s="222">
        <f>A!H1912</f>
        <v>0</v>
      </c>
      <c r="Y347" s="14"/>
    </row>
    <row r="348" spans="2:25" ht="12" customHeight="1">
      <c r="B348" s="215" t="s">
        <v>422</v>
      </c>
      <c r="C348" s="211">
        <f>A!B1913</f>
        <v>0</v>
      </c>
      <c r="D348" s="211">
        <f>A!C1913</f>
        <v>-1.0339999999999998</v>
      </c>
      <c r="E348" s="211">
        <f>A!D1913</f>
        <v>0.62800000000000011</v>
      </c>
      <c r="F348" s="211">
        <f>A!E1913</f>
        <v>0.1313921394198676</v>
      </c>
      <c r="G348" s="211">
        <f>A!F1913</f>
        <v>0.17864140530196471</v>
      </c>
      <c r="H348" s="211">
        <f>A!G1913</f>
        <v>-0.33000000000000007</v>
      </c>
      <c r="I348" s="217"/>
      <c r="J348" s="211">
        <f>MINA(C348:I348)</f>
        <v>-1.0339999999999998</v>
      </c>
      <c r="K348" s="211">
        <f>MAXA(C348:I348)</f>
        <v>0.62800000000000011</v>
      </c>
      <c r="L348" s="27">
        <f>(K348-J348)/AVERAGE(C348:I348)</f>
        <v>-23.41029411221599</v>
      </c>
      <c r="N348" s="222">
        <f>A!H1913</f>
        <v>0</v>
      </c>
      <c r="Y348" s="14"/>
    </row>
    <row r="349" spans="2:25" ht="12" customHeight="1">
      <c r="B349" s="215" t="s">
        <v>423</v>
      </c>
      <c r="C349" s="211">
        <f>A!B1914</f>
        <v>0</v>
      </c>
      <c r="D349" s="211">
        <f>A!C1914</f>
        <v>0.75200000000000022</v>
      </c>
      <c r="E349" s="211">
        <f>A!D1914</f>
        <v>1.4820000000000002</v>
      </c>
      <c r="F349" s="211">
        <f>A!E1914</f>
        <v>9.152234678082527E-2</v>
      </c>
      <c r="G349" s="211">
        <f>A!F1914</f>
        <v>0.14655015781869229</v>
      </c>
      <c r="H349" s="211">
        <f>A!G1914</f>
        <v>7.0000000000000284E-2</v>
      </c>
      <c r="I349" s="217"/>
      <c r="J349" s="211">
        <f>MINA(C349:I349)</f>
        <v>0</v>
      </c>
      <c r="K349" s="211">
        <f>MAXA(C349:I349)</f>
        <v>1.4820000000000002</v>
      </c>
      <c r="L349" s="27">
        <f>(K349-J349)/AVERAGE(C349:I349)</f>
        <v>3.4979332744881164</v>
      </c>
      <c r="N349" s="222">
        <f>A!H1914</f>
        <v>0</v>
      </c>
      <c r="Y349" s="14"/>
    </row>
    <row r="350" spans="2:25" ht="12" customHeight="1">
      <c r="B350" s="215" t="s">
        <v>424</v>
      </c>
      <c r="C350" s="211">
        <f>A!B1915</f>
        <v>0</v>
      </c>
      <c r="D350" s="211">
        <f>A!C1915</f>
        <v>-0.51200000000000045</v>
      </c>
      <c r="E350" s="211">
        <f>A!D1915</f>
        <v>0.25599999999999934</v>
      </c>
      <c r="F350" s="211">
        <f>A!E1915</f>
        <v>8.1466031854131593E-2</v>
      </c>
      <c r="G350" s="211">
        <f>A!F1915</f>
        <v>0.10478525980347442</v>
      </c>
      <c r="H350" s="211">
        <f>A!G1915</f>
        <v>9.9999999999999645E-2</v>
      </c>
      <c r="I350" s="217"/>
      <c r="J350" s="211">
        <f>MINA(C350:I350)</f>
        <v>-0.51200000000000045</v>
      </c>
      <c r="K350" s="211">
        <f>MAXA(C350:I350)</f>
        <v>0.25599999999999934</v>
      </c>
      <c r="L350" s="27">
        <f>(K350-J350)/AVERAGE(C350:I350)</f>
        <v>152.32407436201635</v>
      </c>
      <c r="N350" s="222">
        <f>A!H1915</f>
        <v>0</v>
      </c>
      <c r="Y350" s="14"/>
    </row>
    <row r="351" spans="2:25" ht="12" customHeight="1">
      <c r="B351" s="215" t="s">
        <v>298</v>
      </c>
      <c r="C351" s="211">
        <f>A!B1916</f>
        <v>0</v>
      </c>
      <c r="D351" s="211">
        <f>A!C1916</f>
        <v>1.9999999999999574E-2</v>
      </c>
      <c r="E351" s="211">
        <f>A!D1916</f>
        <v>5.9999999999997833E-3</v>
      </c>
      <c r="F351" s="211">
        <f>A!E1916</f>
        <v>0.42215893494423673</v>
      </c>
      <c r="G351" s="211">
        <f>A!F1916</f>
        <v>6.1488078409198899E-2</v>
      </c>
      <c r="H351" s="211">
        <f>A!G1916</f>
        <v>0</v>
      </c>
      <c r="I351" s="217"/>
      <c r="J351" s="211">
        <f t="shared" si="42"/>
        <v>0</v>
      </c>
      <c r="K351" s="211">
        <f t="shared" si="43"/>
        <v>0.42215893494423673</v>
      </c>
      <c r="L351" s="27">
        <f t="shared" si="44"/>
        <v>4.9700156055046731</v>
      </c>
      <c r="N351" s="222">
        <f>A!H1916</f>
        <v>0</v>
      </c>
      <c r="Y351" s="14"/>
    </row>
    <row r="352" spans="2:25" ht="12" customHeight="1">
      <c r="B352" s="215" t="s">
        <v>299</v>
      </c>
      <c r="C352" s="211">
        <f>A!B1917</f>
        <v>0.23262741822968813</v>
      </c>
      <c r="D352" s="211">
        <f>A!C1917</f>
        <v>0.55899999999999972</v>
      </c>
      <c r="E352" s="211">
        <f>A!D1917</f>
        <v>0.5699999999999994</v>
      </c>
      <c r="F352" s="211">
        <f>A!E1917</f>
        <v>0.50758073013964866</v>
      </c>
      <c r="G352" s="211">
        <f>A!F1917</f>
        <v>0.56139931610307636</v>
      </c>
      <c r="H352" s="211">
        <f>A!G1917</f>
        <v>0.5600000000000005</v>
      </c>
      <c r="I352" s="217"/>
      <c r="J352" s="211">
        <f t="shared" si="42"/>
        <v>0.23262741822968813</v>
      </c>
      <c r="K352" s="211">
        <f t="shared" si="43"/>
        <v>0.5699999999999994</v>
      </c>
      <c r="L352" s="27">
        <f t="shared" si="44"/>
        <v>0.67686432093453375</v>
      </c>
      <c r="N352" s="222">
        <f>A!H1917</f>
        <v>0</v>
      </c>
    </row>
    <row r="353" spans="2:25" ht="12" customHeight="1">
      <c r="B353" s="215" t="s">
        <v>300</v>
      </c>
      <c r="C353" s="211">
        <f>A!B1918</f>
        <v>-9.1397944443967205E-2</v>
      </c>
      <c r="D353" s="211">
        <f>A!C1918</f>
        <v>0.21899999999999986</v>
      </c>
      <c r="E353" s="211">
        <f>A!D1918</f>
        <v>0.91899999999999959</v>
      </c>
      <c r="F353" s="211">
        <f>A!E1918</f>
        <v>0.17296994164320045</v>
      </c>
      <c r="G353" s="211"/>
      <c r="H353" s="211">
        <f>A!G1918</f>
        <v>0.16999999999999993</v>
      </c>
      <c r="I353" s="217"/>
      <c r="J353" s="211">
        <f t="shared" si="42"/>
        <v>-9.1397944443967205E-2</v>
      </c>
      <c r="K353" s="211">
        <f t="shared" si="43"/>
        <v>0.91899999999999959</v>
      </c>
      <c r="L353" s="27">
        <f t="shared" si="44"/>
        <v>3.6356444519624951</v>
      </c>
      <c r="N353" s="222">
        <f>A!H1918</f>
        <v>0</v>
      </c>
    </row>
    <row r="354" spans="2:25" ht="12" customHeight="1">
      <c r="B354" s="215" t="s">
        <v>306</v>
      </c>
      <c r="C354" s="211">
        <f>A!B1919</f>
        <v>-0.28042792095087998</v>
      </c>
      <c r="D354" s="211">
        <f>A!C1919</f>
        <v>3.3999999999999808E-2</v>
      </c>
      <c r="E354" s="211">
        <f>A!D1919</f>
        <v>-2.0000000000002238E-3</v>
      </c>
      <c r="F354" s="211"/>
      <c r="G354" s="211"/>
      <c r="H354" s="211">
        <f>A!G1919</f>
        <v>-4.0000000000000036E-2</v>
      </c>
      <c r="I354" s="217"/>
      <c r="J354" s="211">
        <f t="shared" si="42"/>
        <v>-0.28042792095087998</v>
      </c>
      <c r="K354" s="211">
        <f t="shared" si="43"/>
        <v>3.3999999999999808E-2</v>
      </c>
      <c r="L354" s="27">
        <f t="shared" si="44"/>
        <v>-4.3605753550389066</v>
      </c>
      <c r="N354" s="222">
        <f>A!H1919</f>
        <v>0</v>
      </c>
    </row>
    <row r="355" spans="2:25" ht="12" customHeight="1">
      <c r="B355" s="215" t="s">
        <v>307</v>
      </c>
      <c r="C355" s="211">
        <f>A!B1920</f>
        <v>-0.38704909834862278</v>
      </c>
      <c r="D355" s="211">
        <f>A!C1920</f>
        <v>-6.2000000000000277E-2</v>
      </c>
      <c r="E355" s="211">
        <f>A!D1920</f>
        <v>-9.8000000000000309E-2</v>
      </c>
      <c r="F355" s="211">
        <f>A!E1920</f>
        <v>-7.8559344622752825E-2</v>
      </c>
      <c r="G355" s="211"/>
      <c r="H355" s="211">
        <f>A!G1920</f>
        <v>6.0000000000000053E-2</v>
      </c>
      <c r="I355" s="217"/>
      <c r="J355" s="211">
        <f t="shared" si="42"/>
        <v>-0.38704909834862278</v>
      </c>
      <c r="K355" s="211">
        <f t="shared" si="43"/>
        <v>6.0000000000000053E-2</v>
      </c>
      <c r="L355" s="27">
        <f t="shared" si="44"/>
        <v>-3.9519309153173898</v>
      </c>
      <c r="N355" s="222">
        <f>A!H1920</f>
        <v>0</v>
      </c>
    </row>
    <row r="356" spans="2:25" ht="12" customHeight="1">
      <c r="B356" s="215" t="s">
        <v>308</v>
      </c>
      <c r="C356" s="211">
        <f>A!B1921</f>
        <v>-0.38704909834862278</v>
      </c>
      <c r="D356" s="211">
        <f>A!C1921</f>
        <v>-6.4000000000000057E-2</v>
      </c>
      <c r="E356" s="211">
        <f>A!D1921</f>
        <v>-9.8000000000000309E-2</v>
      </c>
      <c r="F356" s="211">
        <f>A!E1921</f>
        <v>-0.11876839272381767</v>
      </c>
      <c r="G356" s="211"/>
      <c r="H356" s="211">
        <f>A!G1921</f>
        <v>5.0000000000000266E-2</v>
      </c>
      <c r="I356" s="217"/>
      <c r="J356" s="211">
        <f t="shared" si="42"/>
        <v>-0.38704909834862278</v>
      </c>
      <c r="K356" s="211">
        <f t="shared" si="43"/>
        <v>5.0000000000000266E-2</v>
      </c>
      <c r="L356" s="27">
        <f t="shared" si="44"/>
        <v>-3.5370405068167452</v>
      </c>
      <c r="N356" s="222">
        <f>A!H1921</f>
        <v>0</v>
      </c>
      <c r="Y356" s="2"/>
    </row>
    <row r="357" spans="2:25" ht="12" customHeight="1">
      <c r="B357" s="215" t="s">
        <v>309</v>
      </c>
      <c r="C357" s="211">
        <f>A!B1922</f>
        <v>-0.28486266604066124</v>
      </c>
      <c r="D357" s="211">
        <f>A!C1922</f>
        <v>-9.5000000000000195E-2</v>
      </c>
      <c r="E357" s="211">
        <f>A!D1922</f>
        <v>-9.8000000000000309E-2</v>
      </c>
      <c r="F357" s="211">
        <f>A!E1922</f>
        <v>-0.11876839272382078</v>
      </c>
      <c r="G357" s="211"/>
      <c r="H357" s="211">
        <f>A!G1922</f>
        <v>-6.999999999999984E-2</v>
      </c>
      <c r="I357" s="217"/>
      <c r="J357" s="211">
        <f t="shared" si="42"/>
        <v>-0.28486266604066124</v>
      </c>
      <c r="K357" s="211">
        <f t="shared" si="43"/>
        <v>-6.999999999999984E-2</v>
      </c>
      <c r="L357" s="27">
        <f t="shared" si="44"/>
        <v>-1.6115560715013983</v>
      </c>
      <c r="N357" s="222">
        <f>A!H1922</f>
        <v>0</v>
      </c>
      <c r="Y357" s="2"/>
    </row>
    <row r="358" spans="2:25" ht="12" customHeight="1">
      <c r="B358" s="215" t="s">
        <v>301</v>
      </c>
      <c r="C358" s="211">
        <f>A!B1923</f>
        <v>0.10680263386901867</v>
      </c>
      <c r="D358" s="211">
        <f>A!C1923</f>
        <v>3.4979999999999998</v>
      </c>
      <c r="E358" s="211">
        <f>A!D1923</f>
        <v>1.444</v>
      </c>
      <c r="F358" s="211">
        <f>A!E1923</f>
        <v>0.31113093132894454</v>
      </c>
      <c r="G358" s="211">
        <f>A!F1923</f>
        <v>0.31401119721875537</v>
      </c>
      <c r="H358" s="211">
        <f>A!G1923</f>
        <v>0.25999999999999979</v>
      </c>
      <c r="I358" s="217"/>
      <c r="J358" s="211">
        <f t="shared" si="42"/>
        <v>0.10680263386901867</v>
      </c>
      <c r="K358" s="211">
        <f t="shared" si="43"/>
        <v>3.4979999999999998</v>
      </c>
      <c r="L358" s="27">
        <f t="shared" si="44"/>
        <v>3.4289473548282721</v>
      </c>
      <c r="N358" s="222">
        <f>A!H1923</f>
        <v>0</v>
      </c>
      <c r="Y358" s="15"/>
    </row>
    <row r="359" spans="2:25" ht="12" customHeight="1">
      <c r="B359" s="215" t="s">
        <v>302</v>
      </c>
      <c r="C359" s="211">
        <f>A!B1924</f>
        <v>0.41740162823860505</v>
      </c>
      <c r="D359" s="211">
        <f>A!C1924</f>
        <v>0</v>
      </c>
      <c r="E359" s="211">
        <f>A!D1924</f>
        <v>0</v>
      </c>
      <c r="F359" s="211">
        <f>A!E1924</f>
        <v>0.47259136106608768</v>
      </c>
      <c r="G359" s="211">
        <f>A!F1924</f>
        <v>0.50496243692161258</v>
      </c>
      <c r="H359" s="211">
        <f>A!G1924</f>
        <v>0.39000000000000057</v>
      </c>
      <c r="I359" s="217"/>
      <c r="J359" s="211">
        <f t="shared" si="42"/>
        <v>0</v>
      </c>
      <c r="K359" s="211">
        <f t="shared" si="43"/>
        <v>0.50496243692161258</v>
      </c>
      <c r="L359" s="27">
        <f t="shared" si="44"/>
        <v>1.6973951153139579</v>
      </c>
      <c r="N359" s="222">
        <f>A!H1924</f>
        <v>0</v>
      </c>
      <c r="Y359" s="15"/>
    </row>
    <row r="360" spans="2:25" ht="12" customHeight="1">
      <c r="B360" s="215" t="s">
        <v>303</v>
      </c>
      <c r="C360" s="211">
        <f>A!B1925</f>
        <v>0.90401996268755447</v>
      </c>
      <c r="D360" s="211">
        <f>A!C1925</f>
        <v>1.4290000000000003</v>
      </c>
      <c r="E360" s="211">
        <f>A!D1925</f>
        <v>1.3789999999999996</v>
      </c>
      <c r="F360" s="211">
        <f>A!E1925</f>
        <v>0.83955293398003983</v>
      </c>
      <c r="G360" s="211">
        <f>A!F1925</f>
        <v>0.8363252567480095</v>
      </c>
      <c r="H360" s="211">
        <f>A!G1925</f>
        <v>0.5600000000000005</v>
      </c>
      <c r="I360" s="217"/>
      <c r="J360" s="211">
        <f t="shared" si="42"/>
        <v>0.5600000000000005</v>
      </c>
      <c r="K360" s="211">
        <f t="shared" si="43"/>
        <v>1.4290000000000003</v>
      </c>
      <c r="L360" s="27">
        <f t="shared" si="44"/>
        <v>0.87661218560136878</v>
      </c>
      <c r="N360" s="222">
        <f>A!H1925</f>
        <v>0</v>
      </c>
      <c r="Y360" s="15"/>
    </row>
    <row r="361" spans="2:25" ht="12" customHeight="1">
      <c r="B361" s="215" t="s">
        <v>304</v>
      </c>
      <c r="C361" s="211">
        <f>A!B1926</f>
        <v>-0.26906792864342766</v>
      </c>
      <c r="D361" s="211">
        <f>A!C1926</f>
        <v>-3.3860000000000001</v>
      </c>
      <c r="E361" s="211">
        <f>A!D1926</f>
        <v>-1.4510000000000001</v>
      </c>
      <c r="F361" s="211">
        <f>A!E1926</f>
        <v>-0.31412736189766077</v>
      </c>
      <c r="G361" s="211">
        <f>A!F1926</f>
        <v>-0.34457714151234953</v>
      </c>
      <c r="H361" s="211">
        <f>A!G1926</f>
        <v>-0.25999999999999979</v>
      </c>
      <c r="I361" s="217"/>
      <c r="J361" s="211">
        <f t="shared" si="42"/>
        <v>-3.3860000000000001</v>
      </c>
      <c r="K361" s="211">
        <f t="shared" si="43"/>
        <v>-0.25999999999999979</v>
      </c>
      <c r="L361" s="27">
        <f t="shared" si="44"/>
        <v>-3.1131466311014417</v>
      </c>
      <c r="N361" s="222">
        <f>A!H1926</f>
        <v>0</v>
      </c>
      <c r="Y361" s="15"/>
    </row>
    <row r="362" spans="2:25" ht="12" customHeight="1" thickBot="1">
      <c r="B362" s="216" t="s">
        <v>305</v>
      </c>
      <c r="C362" s="153">
        <f>A!B1927</f>
        <v>0.79447541603758243</v>
      </c>
      <c r="D362" s="153">
        <f>A!C1927</f>
        <v>0.81900000000000039</v>
      </c>
      <c r="E362" s="153">
        <f>A!D1927</f>
        <v>0.97299999999999986</v>
      </c>
      <c r="F362" s="153">
        <f>A!E1927</f>
        <v>0.69872584650537961</v>
      </c>
      <c r="G362" s="153">
        <f>A!F1927</f>
        <v>0.48982188295165363</v>
      </c>
      <c r="H362" s="153">
        <f>A!G1927</f>
        <v>0.48</v>
      </c>
      <c r="I362" s="218"/>
      <c r="J362" s="153">
        <f t="shared" si="42"/>
        <v>0.48</v>
      </c>
      <c r="K362" s="153">
        <f t="shared" si="43"/>
        <v>0.97299999999999986</v>
      </c>
      <c r="L362" s="30">
        <f t="shared" si="44"/>
        <v>0.69517835716876064</v>
      </c>
      <c r="N362" s="222">
        <f>A!H1927</f>
        <v>0</v>
      </c>
      <c r="Y362" s="15"/>
    </row>
    <row r="363" spans="2:25" ht="12" customHeight="1" thickTop="1">
      <c r="B363" s="19" t="s">
        <v>250</v>
      </c>
      <c r="C363" s="144"/>
      <c r="D363" s="145"/>
      <c r="E363" s="144"/>
      <c r="F363" s="145"/>
      <c r="G363" s="145"/>
      <c r="H363" s="145"/>
      <c r="I363" s="140"/>
      <c r="J363" s="20" t="s">
        <v>24</v>
      </c>
      <c r="K363" s="144"/>
      <c r="L363" s="146"/>
      <c r="M363" s="35"/>
      <c r="N363" s="688"/>
      <c r="O363" s="12"/>
      <c r="P363" s="12"/>
      <c r="Q363" s="32"/>
      <c r="R363" s="12"/>
      <c r="S363" s="12"/>
      <c r="T363" s="12"/>
      <c r="U363" s="2"/>
      <c r="V363" s="12"/>
      <c r="W363" s="12"/>
      <c r="X363" s="17"/>
      <c r="Y363" s="15"/>
    </row>
    <row r="364" spans="2:25" ht="12" customHeight="1">
      <c r="B364" s="170"/>
      <c r="C364" s="205" t="s">
        <v>245</v>
      </c>
      <c r="D364" s="22" t="s">
        <v>536</v>
      </c>
      <c r="E364" s="205" t="s">
        <v>258</v>
      </c>
      <c r="F364" s="352" t="s">
        <v>433</v>
      </c>
      <c r="G364" s="436" t="s">
        <v>469</v>
      </c>
      <c r="H364" s="437" t="s">
        <v>482</v>
      </c>
      <c r="I364" s="438"/>
      <c r="J364" s="200"/>
      <c r="K364" s="200"/>
      <c r="L364" s="23" t="s">
        <v>25</v>
      </c>
      <c r="M364" s="35"/>
      <c r="N364" s="688"/>
      <c r="O364" s="12"/>
      <c r="P364" s="12"/>
      <c r="Q364" s="32"/>
      <c r="R364" s="12"/>
      <c r="S364" s="12"/>
      <c r="T364" s="12"/>
      <c r="U364" s="2"/>
      <c r="V364" s="12"/>
      <c r="W364" s="12"/>
      <c r="X364" s="17"/>
      <c r="Y364" s="15"/>
    </row>
    <row r="365" spans="2:25" ht="12" customHeight="1">
      <c r="B365" s="171"/>
      <c r="C365" s="24" t="s">
        <v>26</v>
      </c>
      <c r="D365" s="24" t="s">
        <v>13</v>
      </c>
      <c r="E365" s="24" t="s">
        <v>13</v>
      </c>
      <c r="F365" s="353" t="s">
        <v>434</v>
      </c>
      <c r="G365" s="353" t="s">
        <v>452</v>
      </c>
      <c r="H365" s="353" t="s">
        <v>483</v>
      </c>
      <c r="I365" s="439"/>
      <c r="J365" s="24" t="s">
        <v>27</v>
      </c>
      <c r="K365" s="24" t="s">
        <v>28</v>
      </c>
      <c r="L365" s="25" t="s">
        <v>259</v>
      </c>
      <c r="M365" s="35"/>
      <c r="N365" s="689" t="s">
        <v>522</v>
      </c>
      <c r="O365" s="12"/>
      <c r="P365" s="12"/>
      <c r="Q365" s="32"/>
      <c r="R365" s="12"/>
      <c r="S365" s="12"/>
      <c r="T365" s="12"/>
      <c r="U365" s="2"/>
      <c r="V365" s="12"/>
      <c r="W365" s="12"/>
      <c r="X365" s="17"/>
      <c r="Y365" s="15"/>
    </row>
    <row r="366" spans="2:25" ht="12" customHeight="1">
      <c r="B366" s="214" t="s">
        <v>295</v>
      </c>
      <c r="C366" s="211">
        <f>A!B1940</f>
        <v>7.2168953545786341E-2</v>
      </c>
      <c r="D366" s="211">
        <f>A!C1940</f>
        <v>5.2000000000000046E-2</v>
      </c>
      <c r="E366" s="211">
        <f>A!D1940</f>
        <v>4.9999999999999822E-2</v>
      </c>
      <c r="F366" s="211">
        <f>A!E1940</f>
        <v>9.273313228388691E-2</v>
      </c>
      <c r="G366" s="211">
        <f>A!F1940</f>
        <v>8.7015424049905921E-2</v>
      </c>
      <c r="H366" s="211">
        <f>A!G1940</f>
        <v>6.0000000000000053E-2</v>
      </c>
      <c r="I366" s="211"/>
      <c r="J366" s="188">
        <f t="shared" ref="J366:J383" si="45">MINA(C366:I366)</f>
        <v>4.9999999999999822E-2</v>
      </c>
      <c r="K366" s="211">
        <f t="shared" ref="K366:K383" si="46">MAXA(C366:I366)</f>
        <v>9.273313228388691E-2</v>
      </c>
      <c r="L366" s="27">
        <f t="shared" ref="L366:L383" si="47">(K366-J366)/AVERAGE(C366:I366)</f>
        <v>0.61944418291924053</v>
      </c>
      <c r="M366" s="35"/>
      <c r="N366" s="688">
        <f>A!H1940</f>
        <v>0</v>
      </c>
      <c r="O366" s="12"/>
      <c r="P366" s="12"/>
      <c r="Q366" s="32"/>
      <c r="R366" s="12"/>
      <c r="S366" s="12"/>
      <c r="T366" s="12"/>
      <c r="U366" s="2"/>
      <c r="V366" s="12"/>
      <c r="W366" s="12"/>
      <c r="X366" s="17"/>
      <c r="Y366" s="15"/>
    </row>
    <row r="367" spans="2:25" ht="12" customHeight="1">
      <c r="B367" s="215" t="s">
        <v>296</v>
      </c>
      <c r="C367" s="211">
        <f>A!B1941</f>
        <v>3.2137147461959614E-2</v>
      </c>
      <c r="D367" s="211">
        <f>A!C1941</f>
        <v>3.0000000000001137E-3</v>
      </c>
      <c r="E367" s="211">
        <f>A!D1941</f>
        <v>4.0000000000000036E-3</v>
      </c>
      <c r="F367" s="211">
        <f>A!E1941</f>
        <v>4.868888079806899E-2</v>
      </c>
      <c r="G367" s="211">
        <f>A!F1941</f>
        <v>2.8893343731450472E-2</v>
      </c>
      <c r="H367" s="211">
        <f>A!G1941</f>
        <v>2.0000000000000018E-2</v>
      </c>
      <c r="I367" s="220"/>
      <c r="J367" s="188">
        <f t="shared" si="45"/>
        <v>3.0000000000001137E-3</v>
      </c>
      <c r="K367" s="211">
        <f t="shared" si="46"/>
        <v>4.868888079806899E-2</v>
      </c>
      <c r="L367" s="27">
        <f t="shared" si="47"/>
        <v>2.0050800467800434</v>
      </c>
      <c r="M367" s="35"/>
      <c r="N367" s="688">
        <f>A!H1941</f>
        <v>0</v>
      </c>
      <c r="O367" s="12"/>
      <c r="P367" s="12"/>
      <c r="Q367" s="32"/>
      <c r="R367" s="12"/>
      <c r="S367" s="12"/>
      <c r="T367" s="12"/>
      <c r="U367" s="2"/>
      <c r="V367" s="12"/>
      <c r="W367" s="12"/>
      <c r="X367" s="17"/>
      <c r="Y367" s="15"/>
    </row>
    <row r="368" spans="2:25" ht="12" customHeight="1">
      <c r="B368" s="215" t="s">
        <v>297</v>
      </c>
      <c r="C368" s="211">
        <f>A!B1942</f>
        <v>3.2137147461959614E-2</v>
      </c>
      <c r="D368" s="211">
        <f>A!C1942</f>
        <v>0</v>
      </c>
      <c r="E368" s="211">
        <f>A!D1942</f>
        <v>0</v>
      </c>
      <c r="F368" s="211">
        <f>A!E1942</f>
        <v>5.4160676258335094E-2</v>
      </c>
      <c r="G368" s="211">
        <f>A!F1942</f>
        <v>3.7696176579154805E-2</v>
      </c>
      <c r="H368" s="211">
        <f>A!G1942</f>
        <v>2.9999999999999805E-2</v>
      </c>
      <c r="I368" s="220"/>
      <c r="J368" s="188">
        <f t="shared" si="45"/>
        <v>0</v>
      </c>
      <c r="K368" s="211">
        <f t="shared" si="46"/>
        <v>5.4160676258335094E-2</v>
      </c>
      <c r="L368" s="27">
        <f t="shared" si="47"/>
        <v>2.1102384308356243</v>
      </c>
      <c r="M368" s="35"/>
      <c r="N368" s="688">
        <f>A!H1942</f>
        <v>0</v>
      </c>
      <c r="O368" s="12"/>
      <c r="P368" s="12"/>
      <c r="Q368" s="32"/>
      <c r="R368" s="12"/>
      <c r="S368" s="12"/>
      <c r="T368" s="12"/>
      <c r="U368" s="2"/>
      <c r="V368" s="12"/>
      <c r="W368" s="12"/>
      <c r="X368" s="17"/>
      <c r="Y368" s="15"/>
    </row>
    <row r="369" spans="2:25" ht="12" customHeight="1">
      <c r="B369" s="215" t="s">
        <v>422</v>
      </c>
      <c r="C369" s="211">
        <f>A!B1943</f>
        <v>0</v>
      </c>
      <c r="D369" s="211">
        <f>A!C1943</f>
        <v>-3.0000000000001137E-3</v>
      </c>
      <c r="E369" s="211">
        <f>A!D1943</f>
        <v>-4.0000000000000036E-3</v>
      </c>
      <c r="F369" s="211">
        <f>A!E1943</f>
        <v>5.4717954602661045E-3</v>
      </c>
      <c r="G369" s="211">
        <f>A!F1943</f>
        <v>8.8028328477043338E-3</v>
      </c>
      <c r="H369" s="211">
        <f>A!G1943</f>
        <v>9.9999999999997868E-3</v>
      </c>
      <c r="I369" s="220"/>
      <c r="J369" s="188">
        <f t="shared" si="45"/>
        <v>-4.0000000000000036E-3</v>
      </c>
      <c r="K369" s="211">
        <f t="shared" si="46"/>
        <v>9.9999999999997868E-3</v>
      </c>
      <c r="L369" s="27">
        <f t="shared" si="47"/>
        <v>4.8626227147963075</v>
      </c>
      <c r="M369" s="35"/>
      <c r="N369" s="688">
        <f>A!H1943</f>
        <v>0</v>
      </c>
      <c r="O369" s="12"/>
      <c r="P369" s="12"/>
      <c r="Q369" s="32"/>
      <c r="R369" s="12"/>
      <c r="S369" s="12"/>
      <c r="T369" s="12"/>
      <c r="U369" s="2"/>
      <c r="V369" s="12"/>
      <c r="W369" s="12"/>
      <c r="X369" s="17"/>
      <c r="Y369" s="15"/>
    </row>
    <row r="370" spans="2:25" ht="12" customHeight="1">
      <c r="B370" s="215" t="s">
        <v>423</v>
      </c>
      <c r="C370" s="211">
        <f>A!B1944</f>
        <v>3.2137147461959614E-2</v>
      </c>
      <c r="D370" s="211">
        <f>A!C1944</f>
        <v>0</v>
      </c>
      <c r="E370" s="211">
        <f>A!D1944</f>
        <v>0</v>
      </c>
      <c r="F370" s="211">
        <f>A!E1944</f>
        <v>5.4160676258335094E-2</v>
      </c>
      <c r="G370" s="211">
        <f>A!F1944</f>
        <v>3.7696176579154805E-2</v>
      </c>
      <c r="H370" s="211">
        <f>A!G1944</f>
        <v>2.9999999999999805E-2</v>
      </c>
      <c r="I370" s="220"/>
      <c r="J370" s="188">
        <f t="shared" si="45"/>
        <v>0</v>
      </c>
      <c r="K370" s="211">
        <f t="shared" si="46"/>
        <v>5.4160676258335094E-2</v>
      </c>
      <c r="L370" s="27">
        <f t="shared" si="47"/>
        <v>2.1102384308356243</v>
      </c>
      <c r="M370" s="35"/>
      <c r="N370" s="688">
        <f>A!H1944</f>
        <v>0</v>
      </c>
      <c r="O370" s="12"/>
      <c r="P370" s="12"/>
      <c r="Q370" s="32"/>
      <c r="R370" s="12"/>
      <c r="S370" s="12"/>
      <c r="T370" s="12"/>
      <c r="U370" s="2"/>
      <c r="V370" s="12"/>
      <c r="W370" s="12"/>
      <c r="X370" s="17"/>
      <c r="Y370" s="15"/>
    </row>
    <row r="371" spans="2:25" ht="12" customHeight="1">
      <c r="B371" s="215" t="s">
        <v>424</v>
      </c>
      <c r="C371" s="211">
        <f>A!B1945</f>
        <v>0</v>
      </c>
      <c r="D371" s="211">
        <f>A!C1945</f>
        <v>0</v>
      </c>
      <c r="E371" s="211">
        <f>A!D1945</f>
        <v>0</v>
      </c>
      <c r="F371" s="211">
        <f>A!E1945</f>
        <v>0</v>
      </c>
      <c r="G371" s="211">
        <f>A!F1945</f>
        <v>0</v>
      </c>
      <c r="H371" s="211">
        <f>A!G1945</f>
        <v>0</v>
      </c>
      <c r="I371" s="220"/>
      <c r="J371" s="188">
        <f t="shared" si="45"/>
        <v>0</v>
      </c>
      <c r="K371" s="211">
        <f t="shared" si="46"/>
        <v>0</v>
      </c>
      <c r="L371" s="27" t="e">
        <f t="shared" si="47"/>
        <v>#DIV/0!</v>
      </c>
      <c r="M371" s="35"/>
      <c r="N371" s="688">
        <f>A!H1945</f>
        <v>0</v>
      </c>
      <c r="O371" s="12"/>
      <c r="P371" s="12"/>
      <c r="Q371" s="32"/>
      <c r="R371" s="12"/>
      <c r="S371" s="12"/>
      <c r="T371" s="12"/>
      <c r="U371" s="2"/>
      <c r="V371" s="12"/>
      <c r="W371" s="12"/>
      <c r="X371" s="17"/>
      <c r="Y371" s="15"/>
    </row>
    <row r="372" spans="2:25" ht="12" customHeight="1">
      <c r="B372" s="215" t="s">
        <v>298</v>
      </c>
      <c r="C372" s="211">
        <f>A!B1946</f>
        <v>-2.6371945346084225E-3</v>
      </c>
      <c r="D372" s="211">
        <f>A!C1946</f>
        <v>0</v>
      </c>
      <c r="E372" s="211">
        <f>A!D1946</f>
        <v>0</v>
      </c>
      <c r="F372" s="211">
        <f>A!E1946</f>
        <v>-8.3390732097399223E-8</v>
      </c>
      <c r="G372" s="211">
        <f>A!F1946</f>
        <v>2.7963113494866576E-4</v>
      </c>
      <c r="H372" s="211">
        <f>A!G1946</f>
        <v>0</v>
      </c>
      <c r="I372" s="220"/>
      <c r="J372" s="188">
        <f t="shared" si="45"/>
        <v>-2.6371945346084225E-3</v>
      </c>
      <c r="K372" s="211">
        <f t="shared" si="46"/>
        <v>2.7963113494866576E-4</v>
      </c>
      <c r="L372" s="27">
        <f t="shared" si="47"/>
        <v>-7.4230601838512769</v>
      </c>
      <c r="M372" s="35"/>
      <c r="N372" s="688">
        <f>A!H1946</f>
        <v>0</v>
      </c>
      <c r="O372" s="12"/>
      <c r="P372" s="12"/>
      <c r="Q372" s="32"/>
      <c r="R372" s="12"/>
      <c r="S372" s="12"/>
      <c r="T372" s="12"/>
      <c r="U372" s="2"/>
      <c r="V372" s="12"/>
      <c r="W372" s="12"/>
      <c r="X372" s="17"/>
      <c r="Y372" s="15"/>
    </row>
    <row r="373" spans="2:25" ht="12" customHeight="1">
      <c r="B373" s="215" t="s">
        <v>299</v>
      </c>
      <c r="C373" s="211">
        <f>A!B1947</f>
        <v>3.2137147461959614E-2</v>
      </c>
      <c r="D373" s="211">
        <f>A!C1947</f>
        <v>9.9999999999988987E-4</v>
      </c>
      <c r="E373" s="211">
        <f>A!D1947</f>
        <v>0</v>
      </c>
      <c r="F373" s="211">
        <f>A!E1947</f>
        <v>5.4162993142750526E-2</v>
      </c>
      <c r="G373" s="211">
        <f>A!F1947</f>
        <v>3.7696176579154805E-2</v>
      </c>
      <c r="H373" s="211">
        <f>A!G1947</f>
        <v>2.9999999999999805E-2</v>
      </c>
      <c r="I373" s="220"/>
      <c r="J373" s="188">
        <f t="shared" si="45"/>
        <v>0</v>
      </c>
      <c r="K373" s="211">
        <f t="shared" si="46"/>
        <v>5.4162993142750526E-2</v>
      </c>
      <c r="L373" s="27">
        <f t="shared" si="47"/>
        <v>2.0966818100006694</v>
      </c>
      <c r="M373" s="35"/>
      <c r="N373" s="688">
        <f>A!H1947</f>
        <v>0</v>
      </c>
      <c r="O373" s="12"/>
      <c r="P373" s="12"/>
      <c r="Q373" s="32"/>
      <c r="R373" s="12"/>
      <c r="S373" s="12"/>
      <c r="T373" s="12"/>
      <c r="U373" s="2"/>
      <c r="V373" s="12"/>
      <c r="W373" s="12"/>
      <c r="X373" s="17"/>
      <c r="Y373" s="15"/>
    </row>
    <row r="374" spans="2:25" ht="12" customHeight="1">
      <c r="B374" s="215" t="s">
        <v>300</v>
      </c>
      <c r="C374" s="211">
        <f>A!B1948</f>
        <v>-1.1154911313208782E-2</v>
      </c>
      <c r="D374" s="211">
        <f>A!C1948</f>
        <v>-6.4000000000000057E-2</v>
      </c>
      <c r="E374" s="211">
        <f>A!D1948</f>
        <v>-6.6000000000000281E-2</v>
      </c>
      <c r="F374" s="211">
        <f>A!E1948</f>
        <v>-4.2364992269838808E-7</v>
      </c>
      <c r="G374" s="211"/>
      <c r="H374" s="211">
        <f>A!G1948</f>
        <v>0</v>
      </c>
      <c r="I374" s="220"/>
      <c r="J374" s="188">
        <f t="shared" si="45"/>
        <v>-6.6000000000000281E-2</v>
      </c>
      <c r="K374" s="211">
        <f t="shared" si="46"/>
        <v>0</v>
      </c>
      <c r="L374" s="27">
        <f t="shared" si="47"/>
        <v>-2.337850001108309</v>
      </c>
      <c r="M374" s="35"/>
      <c r="N374" s="688">
        <f>A!H1948</f>
        <v>0</v>
      </c>
      <c r="O374" s="12"/>
      <c r="P374" s="12"/>
      <c r="Q374" s="32"/>
      <c r="R374" s="12"/>
      <c r="S374" s="12"/>
      <c r="T374" s="12"/>
      <c r="U374" s="2"/>
      <c r="V374" s="12"/>
      <c r="W374" s="12"/>
      <c r="X374" s="17"/>
      <c r="Y374" s="15"/>
    </row>
    <row r="375" spans="2:25" ht="12" customHeight="1">
      <c r="B375" s="215" t="s">
        <v>306</v>
      </c>
      <c r="C375" s="211">
        <f>A!B1949</f>
        <v>-7.2339227856548227E-3</v>
      </c>
      <c r="D375" s="211">
        <f>A!C1949</f>
        <v>0</v>
      </c>
      <c r="E375" s="211">
        <f>A!D1949</f>
        <v>0</v>
      </c>
      <c r="F375" s="211"/>
      <c r="G375" s="211"/>
      <c r="H375" s="211">
        <f>A!G1949</f>
        <v>0</v>
      </c>
      <c r="I375" s="220"/>
      <c r="J375" s="188">
        <f t="shared" si="45"/>
        <v>-7.2339227856548227E-3</v>
      </c>
      <c r="K375" s="211">
        <f t="shared" si="46"/>
        <v>0</v>
      </c>
      <c r="L375" s="27">
        <f t="shared" si="47"/>
        <v>-4</v>
      </c>
      <c r="M375" s="35"/>
      <c r="N375" s="688">
        <f>A!H1949</f>
        <v>0</v>
      </c>
      <c r="O375" s="12"/>
      <c r="P375" s="12"/>
      <c r="Q375" s="32"/>
      <c r="R375" s="12"/>
      <c r="S375" s="12"/>
      <c r="T375" s="12"/>
      <c r="U375" s="2"/>
      <c r="V375" s="12"/>
      <c r="W375" s="12"/>
      <c r="X375" s="17"/>
      <c r="Y375" s="15"/>
    </row>
    <row r="376" spans="2:25" ht="12" customHeight="1">
      <c r="B376" s="215" t="s">
        <v>307</v>
      </c>
      <c r="C376" s="211">
        <f>A!B1950</f>
        <v>0</v>
      </c>
      <c r="D376" s="211">
        <f>A!C1950</f>
        <v>0</v>
      </c>
      <c r="E376" s="211">
        <f>A!D1950</f>
        <v>0</v>
      </c>
      <c r="F376" s="211">
        <f>A!E1950</f>
        <v>0</v>
      </c>
      <c r="G376" s="211"/>
      <c r="H376" s="211">
        <f>A!G1950</f>
        <v>0</v>
      </c>
      <c r="I376" s="220"/>
      <c r="J376" s="188">
        <f t="shared" si="45"/>
        <v>0</v>
      </c>
      <c r="K376" s="211">
        <f t="shared" si="46"/>
        <v>0</v>
      </c>
      <c r="L376" s="27" t="e">
        <f t="shared" si="47"/>
        <v>#DIV/0!</v>
      </c>
      <c r="M376" s="35"/>
      <c r="N376" s="688">
        <f>A!H1950</f>
        <v>0</v>
      </c>
      <c r="O376" s="12"/>
      <c r="P376" s="12"/>
      <c r="Q376" s="32"/>
      <c r="R376" s="12"/>
      <c r="S376" s="12"/>
      <c r="T376" s="12"/>
      <c r="U376" s="2"/>
      <c r="V376" s="12"/>
      <c r="W376" s="12"/>
      <c r="X376" s="17"/>
      <c r="Y376" s="15"/>
    </row>
    <row r="377" spans="2:25" ht="12" customHeight="1">
      <c r="B377" s="215" t="s">
        <v>308</v>
      </c>
      <c r="C377" s="211">
        <f>A!B1951</f>
        <v>-2.1928500576346988E-2</v>
      </c>
      <c r="D377" s="211">
        <f>A!C1951</f>
        <v>-6.4000000000000057E-2</v>
      </c>
      <c r="E377" s="211">
        <f>A!D1951</f>
        <v>-6.6000000000000281E-2</v>
      </c>
      <c r="F377" s="211">
        <f>A!E1951</f>
        <v>4.8849813083506888E-15</v>
      </c>
      <c r="G377" s="211"/>
      <c r="H377" s="211">
        <f>A!G1951</f>
        <v>0</v>
      </c>
      <c r="I377" s="220"/>
      <c r="J377" s="188">
        <f t="shared" si="45"/>
        <v>-6.6000000000000281E-2</v>
      </c>
      <c r="K377" s="211">
        <f t="shared" si="46"/>
        <v>4.8849813083506888E-15</v>
      </c>
      <c r="L377" s="27">
        <f t="shared" si="47"/>
        <v>-2.1720743556881508</v>
      </c>
      <c r="M377" s="35"/>
      <c r="N377" s="688">
        <f>A!H1951</f>
        <v>0</v>
      </c>
      <c r="O377" s="12"/>
      <c r="P377" s="12"/>
      <c r="Q377" s="32"/>
      <c r="R377" s="12"/>
      <c r="S377" s="12"/>
      <c r="T377" s="12"/>
      <c r="U377" s="2"/>
      <c r="V377" s="12"/>
      <c r="W377" s="12"/>
      <c r="X377" s="17"/>
      <c r="Y377" s="15"/>
    </row>
    <row r="378" spans="2:25" ht="12" customHeight="1">
      <c r="B378" s="215" t="s">
        <v>309</v>
      </c>
      <c r="C378" s="211">
        <f>A!B1952</f>
        <v>-1.0584563811382619E-2</v>
      </c>
      <c r="D378" s="211">
        <f>A!C1952</f>
        <v>-6.4000000000000057E-2</v>
      </c>
      <c r="E378" s="211">
        <f>A!D1952</f>
        <v>-6.6000000000000281E-2</v>
      </c>
      <c r="F378" s="211">
        <f>A!E1952</f>
        <v>0</v>
      </c>
      <c r="G378" s="211"/>
      <c r="H378" s="211">
        <f>A!G1952</f>
        <v>0</v>
      </c>
      <c r="I378" s="220"/>
      <c r="J378" s="188">
        <f t="shared" si="45"/>
        <v>-6.6000000000000281E-2</v>
      </c>
      <c r="K378" s="211">
        <f t="shared" si="46"/>
        <v>0</v>
      </c>
      <c r="L378" s="27">
        <f t="shared" si="47"/>
        <v>-2.3473416359049919</v>
      </c>
      <c r="M378" s="35"/>
      <c r="N378" s="688">
        <f>A!H1952</f>
        <v>0</v>
      </c>
      <c r="O378" s="12"/>
      <c r="P378" s="12"/>
      <c r="Q378" s="32"/>
      <c r="R378" s="12"/>
      <c r="S378" s="12"/>
      <c r="T378" s="12"/>
      <c r="U378" s="2"/>
      <c r="V378" s="12"/>
      <c r="W378" s="12"/>
      <c r="X378" s="17"/>
      <c r="Y378" s="15"/>
    </row>
    <row r="379" spans="2:25" ht="12" customHeight="1">
      <c r="B379" s="215" t="s">
        <v>301</v>
      </c>
      <c r="C379" s="211">
        <f>A!B1953</f>
        <v>-0.1078688539372723</v>
      </c>
      <c r="D379" s="211">
        <f>A!C1953</f>
        <v>-0.10499999999999998</v>
      </c>
      <c r="E379" s="211">
        <f>A!D1953</f>
        <v>-0.14900000000000002</v>
      </c>
      <c r="F379" s="211">
        <f>A!E1953</f>
        <v>-7.9651908256616721E-2</v>
      </c>
      <c r="G379" s="211">
        <f>A!F1953</f>
        <v>-0.11916499482050069</v>
      </c>
      <c r="H379" s="211">
        <f>A!G1953</f>
        <v>-0.10000000000000009</v>
      </c>
      <c r="I379" s="220"/>
      <c r="J379" s="188">
        <f t="shared" si="45"/>
        <v>-0.14900000000000002</v>
      </c>
      <c r="K379" s="211">
        <f t="shared" si="46"/>
        <v>-7.9651908256616721E-2</v>
      </c>
      <c r="L379" s="27">
        <f t="shared" si="47"/>
        <v>-0.62978283706400129</v>
      </c>
      <c r="M379" s="35"/>
      <c r="N379" s="688">
        <f>A!H1953</f>
        <v>0</v>
      </c>
      <c r="O379" s="12"/>
      <c r="P379" s="12"/>
      <c r="Q379" s="32"/>
      <c r="R379" s="12"/>
      <c r="S379" s="12"/>
      <c r="T379" s="12"/>
      <c r="U379" s="2"/>
      <c r="V379" s="12"/>
      <c r="W379" s="12"/>
      <c r="X379" s="17"/>
      <c r="Y379" s="15"/>
    </row>
    <row r="380" spans="2:25" ht="12" customHeight="1">
      <c r="B380" s="215" t="s">
        <v>302</v>
      </c>
      <c r="C380" s="211">
        <f>A!B1954</f>
        <v>0.20276147008734036</v>
      </c>
      <c r="D380" s="211">
        <f>A!C1954</f>
        <v>0.12400000000000011</v>
      </c>
      <c r="E380" s="211">
        <f>A!D1954</f>
        <v>0</v>
      </c>
      <c r="F380" s="211">
        <f>A!E1954</f>
        <v>0.20450675292110843</v>
      </c>
      <c r="G380" s="211">
        <f>A!F1954</f>
        <v>0.21527193535405598</v>
      </c>
      <c r="H380" s="211">
        <f>A!G1954</f>
        <v>0.18999999999999995</v>
      </c>
      <c r="I380" s="220"/>
      <c r="J380" s="188">
        <f t="shared" si="45"/>
        <v>0</v>
      </c>
      <c r="K380" s="211">
        <f t="shared" si="46"/>
        <v>0.21527193535405598</v>
      </c>
      <c r="L380" s="27">
        <f t="shared" si="47"/>
        <v>1.3791524053626181</v>
      </c>
      <c r="M380" s="35"/>
      <c r="N380" s="688">
        <f>A!H1954</f>
        <v>0</v>
      </c>
      <c r="O380" s="12"/>
      <c r="P380" s="12"/>
      <c r="Q380" s="32"/>
      <c r="R380" s="12"/>
      <c r="S380" s="12"/>
      <c r="T380" s="12"/>
      <c r="U380" s="2"/>
      <c r="V380" s="12"/>
      <c r="W380" s="12"/>
      <c r="X380" s="17"/>
      <c r="Y380" s="15"/>
    </row>
    <row r="381" spans="2:25" ht="12" customHeight="1">
      <c r="B381" s="215" t="s">
        <v>303</v>
      </c>
      <c r="C381" s="211">
        <f>A!B1955</f>
        <v>0.46938675252422701</v>
      </c>
      <c r="D381" s="211">
        <f>A!C1955</f>
        <v>0.47599999999999998</v>
      </c>
      <c r="E381" s="211">
        <f>A!D1955</f>
        <v>0.41999999999999993</v>
      </c>
      <c r="F381" s="211">
        <f>A!E1955</f>
        <v>0.47145034592826551</v>
      </c>
      <c r="G381" s="211">
        <f>A!F1955</f>
        <v>0.56074008550788701</v>
      </c>
      <c r="H381" s="211">
        <f>A!G1955</f>
        <v>0.42999999999999972</v>
      </c>
      <c r="I381" s="220"/>
      <c r="J381" s="188">
        <f t="shared" si="45"/>
        <v>0.41999999999999993</v>
      </c>
      <c r="K381" s="211">
        <f t="shared" si="46"/>
        <v>0.56074008550788701</v>
      </c>
      <c r="L381" s="27">
        <f t="shared" si="47"/>
        <v>0.29864454906393639</v>
      </c>
      <c r="M381" s="35"/>
      <c r="N381" s="688">
        <f>A!H1955</f>
        <v>0</v>
      </c>
      <c r="O381" s="12"/>
      <c r="P381" s="12"/>
      <c r="Q381" s="32"/>
      <c r="R381" s="12"/>
      <c r="S381" s="12"/>
      <c r="T381" s="12"/>
      <c r="U381" s="2"/>
      <c r="V381" s="12"/>
      <c r="W381" s="12"/>
      <c r="X381" s="17"/>
      <c r="Y381" s="15"/>
    </row>
    <row r="382" spans="2:25" ht="12" customHeight="1">
      <c r="B382" s="215" t="s">
        <v>304</v>
      </c>
      <c r="C382" s="211">
        <f>A!B1956</f>
        <v>-0.18393149263882336</v>
      </c>
      <c r="D382" s="211">
        <f>A!C1956</f>
        <v>-0.19799999999999995</v>
      </c>
      <c r="E382" s="211">
        <f>A!D1956</f>
        <v>-0.15399999999999991</v>
      </c>
      <c r="F382" s="211">
        <f>A!E1956</f>
        <v>-0.20025311402758561</v>
      </c>
      <c r="G382" s="211">
        <f>A!F1956</f>
        <v>-0.19318171278046226</v>
      </c>
      <c r="H382" s="211">
        <f>A!G1956</f>
        <v>-0.18999999999999995</v>
      </c>
      <c r="I382" s="220"/>
      <c r="J382" s="188">
        <f t="shared" si="45"/>
        <v>-0.20025311402758561</v>
      </c>
      <c r="K382" s="211">
        <f t="shared" si="46"/>
        <v>-0.15399999999999991</v>
      </c>
      <c r="L382" s="27">
        <f t="shared" si="47"/>
        <v>-0.24792481187271079</v>
      </c>
      <c r="M382" s="35"/>
      <c r="N382" s="688">
        <f>A!H1956</f>
        <v>0</v>
      </c>
      <c r="O382" s="12"/>
      <c r="P382" s="12"/>
      <c r="Q382" s="32"/>
      <c r="R382" s="12"/>
      <c r="S382" s="12"/>
      <c r="T382" s="12"/>
      <c r="U382" s="2"/>
      <c r="V382" s="12"/>
      <c r="W382" s="12"/>
      <c r="X382" s="17"/>
      <c r="Y382" s="15"/>
    </row>
    <row r="383" spans="2:25" ht="12" customHeight="1" thickBot="1">
      <c r="B383" s="216" t="s">
        <v>305</v>
      </c>
      <c r="C383" s="153">
        <f>A!B1957</f>
        <v>0.4794993906284315</v>
      </c>
      <c r="D383" s="153">
        <f>A!C1957</f>
        <v>0.45900000000000007</v>
      </c>
      <c r="E383" s="153">
        <f>A!D1957</f>
        <v>0.45999999999999996</v>
      </c>
      <c r="F383" s="153">
        <f>A!E1957</f>
        <v>0.37916582296593271</v>
      </c>
      <c r="G383" s="153">
        <f>A!F1957</f>
        <v>0.54916352304412008</v>
      </c>
      <c r="H383" s="153">
        <f>A!G1957</f>
        <v>0.44000000000000039</v>
      </c>
      <c r="I383" s="218"/>
      <c r="J383" s="189">
        <f t="shared" si="45"/>
        <v>0.37916582296593271</v>
      </c>
      <c r="K383" s="153">
        <f t="shared" si="46"/>
        <v>0.54916352304412008</v>
      </c>
      <c r="L383" s="30">
        <f t="shared" si="47"/>
        <v>0.36864811578773049</v>
      </c>
      <c r="M383" s="35"/>
      <c r="N383" s="688">
        <f>A!H1957</f>
        <v>0</v>
      </c>
      <c r="O383" s="12"/>
      <c r="P383" s="12"/>
      <c r="Q383" s="32"/>
      <c r="R383" s="12"/>
      <c r="S383" s="12"/>
      <c r="T383" s="12"/>
      <c r="U383" s="2"/>
      <c r="V383" s="12"/>
      <c r="W383" s="12"/>
      <c r="X383" s="17"/>
      <c r="Y383" s="15"/>
    </row>
    <row r="384" spans="2:25" ht="12" customHeight="1" thickTop="1">
      <c r="D384" s="32" t="s">
        <v>564</v>
      </c>
      <c r="M384" s="35"/>
      <c r="N384" s="686"/>
      <c r="O384" s="12"/>
      <c r="P384" s="12"/>
      <c r="Q384" s="32"/>
      <c r="R384" s="12"/>
      <c r="S384" s="12"/>
      <c r="T384" s="12"/>
      <c r="U384" s="2"/>
      <c r="V384" s="12"/>
      <c r="W384" s="12"/>
      <c r="X384" s="17"/>
      <c r="Y384" s="15"/>
    </row>
    <row r="385" spans="2:25" ht="12" customHeight="1">
      <c r="M385" s="35"/>
      <c r="N385" s="686"/>
      <c r="O385" s="12"/>
      <c r="P385" s="12"/>
      <c r="Q385" s="32"/>
      <c r="R385" s="12"/>
      <c r="S385" s="12"/>
      <c r="T385" s="12"/>
      <c r="U385" s="2"/>
      <c r="V385" s="12"/>
      <c r="W385" s="12"/>
      <c r="X385" s="17"/>
      <c r="Y385" s="15"/>
    </row>
    <row r="386" spans="2:25" ht="15.75" customHeight="1" thickBot="1">
      <c r="B386" s="1" t="s">
        <v>439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N386" s="686"/>
      <c r="O386" s="2"/>
      <c r="P386" s="2"/>
      <c r="Q386" s="2"/>
      <c r="R386" s="2"/>
      <c r="S386" s="2"/>
      <c r="T386" s="2"/>
      <c r="U386" s="2"/>
      <c r="V386" s="2"/>
      <c r="W386" s="17"/>
      <c r="X386" s="2"/>
      <c r="Y386" s="15"/>
    </row>
    <row r="387" spans="2:25" ht="12" customHeight="1" thickTop="1">
      <c r="B387" s="19" t="s">
        <v>251</v>
      </c>
      <c r="C387" s="144"/>
      <c r="D387" s="145"/>
      <c r="E387" s="144"/>
      <c r="F387" s="145"/>
      <c r="G387" s="145"/>
      <c r="H387" s="145"/>
      <c r="I387" s="140"/>
      <c r="J387" s="20" t="s">
        <v>24</v>
      </c>
      <c r="K387" s="144"/>
      <c r="L387" s="146"/>
      <c r="N387" s="673"/>
      <c r="Y387" s="15"/>
    </row>
    <row r="388" spans="2:25" ht="12" customHeight="1">
      <c r="B388" s="170"/>
      <c r="C388" s="205" t="s">
        <v>245</v>
      </c>
      <c r="D388" s="22" t="s">
        <v>536</v>
      </c>
      <c r="E388" s="205" t="s">
        <v>258</v>
      </c>
      <c r="F388" s="352" t="s">
        <v>433</v>
      </c>
      <c r="G388" s="436" t="s">
        <v>469</v>
      </c>
      <c r="H388" s="437" t="s">
        <v>482</v>
      </c>
      <c r="I388" s="438"/>
      <c r="J388" s="200"/>
      <c r="K388" s="200"/>
      <c r="L388" s="23" t="s">
        <v>25</v>
      </c>
      <c r="M388" s="35"/>
      <c r="N388" s="673"/>
      <c r="Y388" s="15"/>
    </row>
    <row r="389" spans="2:25" ht="12" customHeight="1">
      <c r="B389" s="171"/>
      <c r="C389" s="24" t="s">
        <v>26</v>
      </c>
      <c r="D389" s="24" t="s">
        <v>13</v>
      </c>
      <c r="E389" s="24" t="s">
        <v>13</v>
      </c>
      <c r="F389" s="353" t="s">
        <v>434</v>
      </c>
      <c r="G389" s="353" t="s">
        <v>452</v>
      </c>
      <c r="H389" s="353" t="s">
        <v>483</v>
      </c>
      <c r="I389" s="439"/>
      <c r="J389" s="24" t="s">
        <v>27</v>
      </c>
      <c r="K389" s="24" t="s">
        <v>28</v>
      </c>
      <c r="L389" s="25" t="s">
        <v>259</v>
      </c>
      <c r="M389" s="35"/>
      <c r="N389" s="685" t="s">
        <v>522</v>
      </c>
      <c r="Y389" s="15"/>
    </row>
    <row r="390" spans="2:25" ht="12" customHeight="1">
      <c r="B390" s="214" t="s">
        <v>295</v>
      </c>
      <c r="C390" s="219">
        <f>A!B1970</f>
        <v>0.87790000000000035</v>
      </c>
      <c r="D390" s="219">
        <f>A!C1970</f>
        <v>1.7800000000000011</v>
      </c>
      <c r="E390" s="219">
        <f>A!D1970</f>
        <v>1.6099999999999994</v>
      </c>
      <c r="F390" s="219">
        <f>A!E1970</f>
        <v>1.5534270710994988</v>
      </c>
      <c r="G390" s="219">
        <f>A!F1970</f>
        <v>1.5700000000000003</v>
      </c>
      <c r="H390" s="219">
        <f>A!G1970</f>
        <v>1</v>
      </c>
      <c r="I390" s="219"/>
      <c r="J390" s="190">
        <f t="shared" ref="J390:J407" si="48">MINA(C390:I390)</f>
        <v>0.87790000000000035</v>
      </c>
      <c r="K390" s="219">
        <f t="shared" ref="K390:K407" si="49">MAXA(C390:I390)</f>
        <v>1.7800000000000011</v>
      </c>
      <c r="L390" s="27">
        <f t="shared" ref="L390:L407" si="50">(K390-J390)/AVERAGE(C390:I390)</f>
        <v>0.64502312377281723</v>
      </c>
      <c r="N390" s="598">
        <f>A!H1970</f>
        <v>0</v>
      </c>
      <c r="Y390" s="15"/>
    </row>
    <row r="391" spans="2:25" ht="12" customHeight="1">
      <c r="B391" s="215" t="s">
        <v>296</v>
      </c>
      <c r="C391" s="219">
        <f>A!B1971</f>
        <v>6.160499999999999</v>
      </c>
      <c r="D391" s="219">
        <f>A!C1971</f>
        <v>6.5</v>
      </c>
      <c r="E391" s="219">
        <f>A!D1971</f>
        <v>6.3900000000000006</v>
      </c>
      <c r="F391" s="219">
        <f>A!E1971</f>
        <v>6.8406885385305003</v>
      </c>
      <c r="G391" s="219">
        <f>A!F1971</f>
        <v>7.27</v>
      </c>
      <c r="H391" s="219">
        <f>A!G1971</f>
        <v>5.4599999999999973</v>
      </c>
      <c r="I391" s="35"/>
      <c r="J391" s="190">
        <f t="shared" si="48"/>
        <v>5.4599999999999973</v>
      </c>
      <c r="K391" s="219">
        <f t="shared" si="49"/>
        <v>7.27</v>
      </c>
      <c r="L391" s="27">
        <f t="shared" si="50"/>
        <v>0.28119279625911869</v>
      </c>
      <c r="N391" s="598">
        <f>A!H1971</f>
        <v>0</v>
      </c>
      <c r="Y391" s="15"/>
    </row>
    <row r="392" spans="2:25" ht="12" customHeight="1">
      <c r="B392" s="215" t="s">
        <v>297</v>
      </c>
      <c r="C392" s="219">
        <f>A!B1972</f>
        <v>6.0322000000000031</v>
      </c>
      <c r="D392" s="219">
        <f>A!C1972</f>
        <v>6.6099999999999994</v>
      </c>
      <c r="E392" s="219">
        <f>A!D1972</f>
        <v>6.8900000000000006</v>
      </c>
      <c r="F392" s="219">
        <f>A!E1972</f>
        <v>6.4929797817577004</v>
      </c>
      <c r="G392" s="219">
        <f>A!F1972</f>
        <v>6.8499999999999979</v>
      </c>
      <c r="H392" s="219">
        <f>A!G1972</f>
        <v>5.1099999999999994</v>
      </c>
      <c r="I392" s="35"/>
      <c r="J392" s="190">
        <f t="shared" si="48"/>
        <v>5.1099999999999994</v>
      </c>
      <c r="K392" s="219">
        <f t="shared" si="49"/>
        <v>6.8900000000000006</v>
      </c>
      <c r="L392" s="27">
        <f t="shared" si="50"/>
        <v>0.28116228648545327</v>
      </c>
      <c r="N392" s="598">
        <f>A!H1972</f>
        <v>0</v>
      </c>
      <c r="Y392" s="15"/>
    </row>
    <row r="393" spans="2:25" ht="12" customHeight="1">
      <c r="B393" s="215" t="s">
        <v>422</v>
      </c>
      <c r="C393" s="219">
        <f>A!B1973</f>
        <v>-0.12829999999999586</v>
      </c>
      <c r="D393" s="219">
        <f>A!C1973</f>
        <v>0.10999999999999943</v>
      </c>
      <c r="E393" s="219">
        <f>A!D1973</f>
        <v>0.5</v>
      </c>
      <c r="F393" s="219">
        <f>A!E1973</f>
        <v>-0.34770875677279989</v>
      </c>
      <c r="G393" s="219">
        <f>A!F1973</f>
        <v>-0.42000000000000171</v>
      </c>
      <c r="H393" s="219">
        <f>A!G1973</f>
        <v>-0.34999999999999787</v>
      </c>
      <c r="I393" s="35"/>
      <c r="J393" s="190">
        <f t="shared" si="48"/>
        <v>-0.42000000000000171</v>
      </c>
      <c r="K393" s="219">
        <f t="shared" si="49"/>
        <v>0.5</v>
      </c>
      <c r="L393" s="27">
        <f t="shared" si="50"/>
        <v>-8.6791257843827818</v>
      </c>
      <c r="N393" s="598">
        <f>A!H1973</f>
        <v>0</v>
      </c>
      <c r="Y393" s="15"/>
    </row>
    <row r="394" spans="2:25" ht="12" customHeight="1">
      <c r="B394" s="215" t="s">
        <v>423</v>
      </c>
      <c r="C394" s="219">
        <f>A!B1974</f>
        <v>6.1067000000000036</v>
      </c>
      <c r="D394" s="219">
        <f>A!C1974</f>
        <v>6.5</v>
      </c>
      <c r="E394" s="219">
        <f>A!D1974</f>
        <v>6.4499999999999993</v>
      </c>
      <c r="F394" s="219">
        <f>A!E1974</f>
        <v>6.7418690787871007</v>
      </c>
      <c r="G394" s="219">
        <f>A!F1974</f>
        <v>7.0999999999999979</v>
      </c>
      <c r="H394" s="219">
        <f>A!G1974</f>
        <v>5.389999999999997</v>
      </c>
      <c r="I394" s="35"/>
      <c r="J394" s="190">
        <f t="shared" si="48"/>
        <v>5.389999999999997</v>
      </c>
      <c r="K394" s="219">
        <f t="shared" si="49"/>
        <v>7.0999999999999979</v>
      </c>
      <c r="L394" s="27">
        <f t="shared" si="50"/>
        <v>0.26796509367816307</v>
      </c>
      <c r="N394" s="598">
        <f>A!H1974</f>
        <v>0</v>
      </c>
    </row>
    <row r="395" spans="2:25" ht="12" customHeight="1">
      <c r="B395" s="215" t="s">
        <v>424</v>
      </c>
      <c r="C395" s="219">
        <f>A!B1975</f>
        <v>-7.4500000000000455E-2</v>
      </c>
      <c r="D395" s="219">
        <f>A!C1975</f>
        <v>0.10999999999999943</v>
      </c>
      <c r="E395" s="219">
        <f>A!D1975</f>
        <v>0.44000000000000128</v>
      </c>
      <c r="F395" s="219">
        <f>A!E1975</f>
        <v>-0.24888929702940032</v>
      </c>
      <c r="G395" s="219">
        <f>A!F1975</f>
        <v>-0.25</v>
      </c>
      <c r="H395" s="219">
        <f>A!G1975</f>
        <v>-0.27999999999999758</v>
      </c>
      <c r="I395" s="35"/>
      <c r="J395" s="190">
        <f t="shared" si="48"/>
        <v>-0.27999999999999758</v>
      </c>
      <c r="K395" s="219">
        <f t="shared" si="49"/>
        <v>0.44000000000000128</v>
      </c>
      <c r="L395" s="27">
        <f t="shared" si="50"/>
        <v>-14.239131183264504</v>
      </c>
      <c r="N395" s="598">
        <f>A!H1975</f>
        <v>0</v>
      </c>
    </row>
    <row r="396" spans="2:25" ht="12" customHeight="1">
      <c r="B396" s="215" t="s">
        <v>298</v>
      </c>
      <c r="C396" s="219">
        <f>A!B1976</f>
        <v>8.3841999999999999</v>
      </c>
      <c r="D396" s="219">
        <f>A!C1976</f>
        <v>9.8299999999999983</v>
      </c>
      <c r="E396" s="219">
        <f>A!D1976</f>
        <v>9.8299999999999983</v>
      </c>
      <c r="F396" s="219">
        <f>A!E1976</f>
        <v>9.9988170901252964</v>
      </c>
      <c r="G396" s="219">
        <f>A!F1976</f>
        <v>9.9499999999999993</v>
      </c>
      <c r="H396" s="219">
        <f>A!G1976</f>
        <v>8.8099999999999987</v>
      </c>
      <c r="I396" s="35"/>
      <c r="J396" s="190">
        <f t="shared" si="48"/>
        <v>8.3841999999999999</v>
      </c>
      <c r="K396" s="219">
        <f t="shared" si="49"/>
        <v>9.9988170901252964</v>
      </c>
      <c r="L396" s="27">
        <f t="shared" si="50"/>
        <v>0.17054908413370001</v>
      </c>
      <c r="N396" s="598">
        <f>A!H1976</f>
        <v>0</v>
      </c>
    </row>
    <row r="397" spans="2:25" ht="12" customHeight="1">
      <c r="B397" s="215" t="s">
        <v>299</v>
      </c>
      <c r="C397" s="219">
        <f>A!B1977</f>
        <v>7.5585999999999984</v>
      </c>
      <c r="D397" s="219">
        <f>A!C1977</f>
        <v>7.6700000000000017</v>
      </c>
      <c r="E397" s="219">
        <f>A!D1977</f>
        <v>7.4500000000000028</v>
      </c>
      <c r="F397" s="219">
        <f>A!E1977</f>
        <v>7.8164966405025957</v>
      </c>
      <c r="G397" s="219">
        <f>A!F1977</f>
        <v>7.9499999999999993</v>
      </c>
      <c r="H397" s="219">
        <f>A!G1977</f>
        <v>6.9400000000000013</v>
      </c>
      <c r="I397" s="35"/>
      <c r="J397" s="190">
        <f t="shared" si="48"/>
        <v>6.9400000000000013</v>
      </c>
      <c r="K397" s="219">
        <f t="shared" si="49"/>
        <v>7.9499999999999993</v>
      </c>
      <c r="L397" s="27">
        <f t="shared" si="50"/>
        <v>0.13352400784780791</v>
      </c>
      <c r="N397" s="598">
        <f>A!H1977</f>
        <v>0</v>
      </c>
    </row>
    <row r="398" spans="2:25" ht="12" customHeight="1">
      <c r="B398" s="215" t="s">
        <v>300</v>
      </c>
      <c r="C398" s="219">
        <f>A!B1978</f>
        <v>0.91489999999999938</v>
      </c>
      <c r="D398" s="219">
        <f>A!C1978</f>
        <v>2.4499999999999993</v>
      </c>
      <c r="E398" s="219">
        <f>A!D1978</f>
        <v>3.7199999999999989</v>
      </c>
      <c r="F398" s="219">
        <f>A!E1978</f>
        <v>1.8999443202266981</v>
      </c>
      <c r="G398" s="219"/>
      <c r="H398" s="219">
        <f>A!G1978</f>
        <v>-0.15000000000000213</v>
      </c>
      <c r="I398" s="35"/>
      <c r="J398" s="190">
        <f t="shared" si="48"/>
        <v>-0.15000000000000213</v>
      </c>
      <c r="K398" s="219">
        <f t="shared" si="49"/>
        <v>3.7199999999999989</v>
      </c>
      <c r="L398" s="27">
        <f t="shared" si="50"/>
        <v>2.1901913942840707</v>
      </c>
      <c r="N398" s="598">
        <f>A!H1978</f>
        <v>0</v>
      </c>
    </row>
    <row r="399" spans="2:25" ht="12" customHeight="1">
      <c r="B399" s="215" t="s">
        <v>306</v>
      </c>
      <c r="C399" s="219">
        <f>A!B1979</f>
        <v>0.62570000000000192</v>
      </c>
      <c r="D399" s="219">
        <f>A!C1979</f>
        <v>0</v>
      </c>
      <c r="E399" s="219">
        <f>A!D1979</f>
        <v>0</v>
      </c>
      <c r="F399" s="219"/>
      <c r="G399" s="219"/>
      <c r="H399" s="219">
        <f>A!G1979</f>
        <v>0</v>
      </c>
      <c r="I399" s="35"/>
      <c r="J399" s="190">
        <f t="shared" si="48"/>
        <v>0</v>
      </c>
      <c r="K399" s="219">
        <f t="shared" si="49"/>
        <v>0.62570000000000192</v>
      </c>
      <c r="L399" s="27">
        <f t="shared" si="50"/>
        <v>4</v>
      </c>
      <c r="N399" s="598">
        <f>A!H1979</f>
        <v>0</v>
      </c>
    </row>
    <row r="400" spans="2:25" ht="12" customHeight="1">
      <c r="B400" s="215" t="s">
        <v>307</v>
      </c>
      <c r="C400" s="219">
        <f>A!B1980</f>
        <v>0</v>
      </c>
      <c r="D400" s="219">
        <f>A!C1980</f>
        <v>0</v>
      </c>
      <c r="E400" s="219">
        <f>A!D1980</f>
        <v>0</v>
      </c>
      <c r="F400" s="219">
        <f>A!E1980</f>
        <v>-1.5599965763613E-11</v>
      </c>
      <c r="G400" s="219"/>
      <c r="H400" s="219">
        <f>A!G1980</f>
        <v>3.9999999999999147E-2</v>
      </c>
      <c r="I400" s="35"/>
      <c r="J400" s="190">
        <f t="shared" si="48"/>
        <v>-1.5599965763613E-11</v>
      </c>
      <c r="K400" s="219">
        <f t="shared" si="49"/>
        <v>3.9999999999999147E-2</v>
      </c>
      <c r="L400" s="27">
        <f t="shared" si="50"/>
        <v>5.0000000038999914</v>
      </c>
      <c r="N400" s="598">
        <f>A!H1980</f>
        <v>0</v>
      </c>
    </row>
    <row r="401" spans="2:16" ht="12" customHeight="1">
      <c r="B401" s="215" t="s">
        <v>308</v>
      </c>
      <c r="C401" s="219">
        <f>A!B1981</f>
        <v>0.99930000000000163</v>
      </c>
      <c r="D401" s="219">
        <f>A!C1981</f>
        <v>0</v>
      </c>
      <c r="E401" s="219">
        <f>A!D1981</f>
        <v>0</v>
      </c>
      <c r="F401" s="219">
        <f>A!E1981</f>
        <v>4.8996071370055461E-4</v>
      </c>
      <c r="G401" s="219"/>
      <c r="H401" s="219">
        <f>A!G1981</f>
        <v>0.25999999999999801</v>
      </c>
      <c r="I401" s="35"/>
      <c r="J401" s="190">
        <f t="shared" si="48"/>
        <v>0</v>
      </c>
      <c r="K401" s="219">
        <f t="shared" si="49"/>
        <v>0.99930000000000163</v>
      </c>
      <c r="L401" s="27">
        <f t="shared" si="50"/>
        <v>3.9661373370282891</v>
      </c>
      <c r="N401" s="598">
        <f>A!H1981</f>
        <v>0</v>
      </c>
    </row>
    <row r="402" spans="2:16" ht="12" customHeight="1">
      <c r="B402" s="215" t="s">
        <v>309</v>
      </c>
      <c r="C402" s="219">
        <f>A!B1982</f>
        <v>0.84530000000000172</v>
      </c>
      <c r="D402" s="219">
        <f>A!C1982</f>
        <v>0</v>
      </c>
      <c r="E402" s="219">
        <f>A!D1982</f>
        <v>0</v>
      </c>
      <c r="F402" s="219">
        <f>A!E1982</f>
        <v>4.8996071389950657E-4</v>
      </c>
      <c r="G402" s="219"/>
      <c r="H402" s="219">
        <f>A!G1982</f>
        <v>7.0000000000000284E-2</v>
      </c>
      <c r="I402" s="35"/>
      <c r="J402" s="190">
        <f t="shared" si="48"/>
        <v>0</v>
      </c>
      <c r="K402" s="219">
        <f t="shared" si="49"/>
        <v>0.84530000000000172</v>
      </c>
      <c r="L402" s="27">
        <f t="shared" si="50"/>
        <v>4.6151412237640734</v>
      </c>
      <c r="N402" s="598">
        <f>A!H1982</f>
        <v>0</v>
      </c>
    </row>
    <row r="403" spans="2:16" ht="12" customHeight="1">
      <c r="B403" s="215" t="s">
        <v>301</v>
      </c>
      <c r="C403" s="219">
        <f>A!B1983</f>
        <v>-0.39450000000000074</v>
      </c>
      <c r="D403" s="219">
        <f>A!C1983</f>
        <v>0</v>
      </c>
      <c r="E403" s="219">
        <f>A!D1983</f>
        <v>0</v>
      </c>
      <c r="F403" s="219">
        <f>A!E1983</f>
        <v>-1.5840422381998565E-3</v>
      </c>
      <c r="G403" s="219">
        <f>A!F1983</f>
        <v>-3.0000000000001137E-2</v>
      </c>
      <c r="H403" s="219">
        <f>A!G1983</f>
        <v>-1.1900000000000013</v>
      </c>
      <c r="I403" s="35"/>
      <c r="J403" s="190">
        <f t="shared" si="48"/>
        <v>-1.1900000000000013</v>
      </c>
      <c r="K403" s="219">
        <f t="shared" si="49"/>
        <v>0</v>
      </c>
      <c r="L403" s="27">
        <f t="shared" si="50"/>
        <v>-4.4180870631650029</v>
      </c>
      <c r="N403" s="598">
        <f>A!H1983</f>
        <v>0</v>
      </c>
    </row>
    <row r="404" spans="2:16" ht="12" customHeight="1">
      <c r="B404" s="215" t="s">
        <v>302</v>
      </c>
      <c r="C404" s="219">
        <f>A!B1984</f>
        <v>0.29490000000000194</v>
      </c>
      <c r="D404" s="219">
        <f>A!C1984</f>
        <v>0</v>
      </c>
      <c r="E404" s="219">
        <f>A!D1984</f>
        <v>0</v>
      </c>
      <c r="F404" s="219">
        <f>A!E1984</f>
        <v>8.4880429795930468E-7</v>
      </c>
      <c r="G404" s="219">
        <f>A!F1984</f>
        <v>0</v>
      </c>
      <c r="H404" s="219">
        <f>A!G1984</f>
        <v>0</v>
      </c>
      <c r="I404" s="35"/>
      <c r="J404" s="190">
        <f t="shared" si="48"/>
        <v>0</v>
      </c>
      <c r="K404" s="219">
        <f t="shared" si="49"/>
        <v>0.29490000000000194</v>
      </c>
      <c r="L404" s="27">
        <f t="shared" si="50"/>
        <v>5.9999827303793518</v>
      </c>
      <c r="N404" s="598">
        <f>A!H1984</f>
        <v>0</v>
      </c>
    </row>
    <row r="405" spans="2:16" ht="12" customHeight="1">
      <c r="B405" s="215" t="s">
        <v>303</v>
      </c>
      <c r="C405" s="219">
        <f>A!B1985</f>
        <v>19.956799999999998</v>
      </c>
      <c r="D405" s="219">
        <f>A!C1985</f>
        <v>18.950000000000003</v>
      </c>
      <c r="E405" s="219">
        <f>A!D1985</f>
        <v>19.120000000000005</v>
      </c>
      <c r="F405" s="219">
        <f>A!E1985</f>
        <v>19.729574874695402</v>
      </c>
      <c r="G405" s="219">
        <f>A!F1985</f>
        <v>19.02</v>
      </c>
      <c r="H405" s="219">
        <f>A!G1985</f>
        <v>16.38</v>
      </c>
      <c r="I405" s="35"/>
      <c r="J405" s="190">
        <f t="shared" si="48"/>
        <v>16.38</v>
      </c>
      <c r="K405" s="219">
        <f t="shared" si="49"/>
        <v>19.956799999999998</v>
      </c>
      <c r="L405" s="27">
        <f t="shared" si="50"/>
        <v>0.1896561287312781</v>
      </c>
      <c r="N405" s="598">
        <f>A!H1985</f>
        <v>0</v>
      </c>
    </row>
    <row r="406" spans="2:16" ht="12" customHeight="1">
      <c r="B406" s="215" t="s">
        <v>304</v>
      </c>
      <c r="C406" s="219">
        <f>A!B1986</f>
        <v>0.31060000000000088</v>
      </c>
      <c r="D406" s="219">
        <f>A!C1986</f>
        <v>-5.0000000000000711E-2</v>
      </c>
      <c r="E406" s="219">
        <f>A!D1986</f>
        <v>-5.0000000000000711E-2</v>
      </c>
      <c r="F406" s="219">
        <f>A!E1986</f>
        <v>1.0307799898008341E-3</v>
      </c>
      <c r="G406" s="219">
        <f>A!F1986</f>
        <v>0</v>
      </c>
      <c r="H406" s="219">
        <f>A!G1986</f>
        <v>0</v>
      </c>
      <c r="I406" s="35"/>
      <c r="J406" s="190">
        <f t="shared" si="48"/>
        <v>-5.0000000000000711E-2</v>
      </c>
      <c r="K406" s="219">
        <f t="shared" si="49"/>
        <v>0.31060000000000088</v>
      </c>
      <c r="L406" s="27">
        <f t="shared" si="50"/>
        <v>10.223465604125666</v>
      </c>
      <c r="N406" s="598">
        <f>A!H1986</f>
        <v>0</v>
      </c>
    </row>
    <row r="407" spans="2:16" ht="12" customHeight="1" thickBot="1">
      <c r="B407" s="216" t="s">
        <v>305</v>
      </c>
      <c r="C407" s="158">
        <f>A!B1987</f>
        <v>19.525000000000002</v>
      </c>
      <c r="D407" s="158">
        <f>A!C1987</f>
        <v>19.89</v>
      </c>
      <c r="E407" s="158">
        <f>A!D1987</f>
        <v>19.89</v>
      </c>
      <c r="F407" s="158">
        <f>A!E1987</f>
        <v>19.9975227160919</v>
      </c>
      <c r="G407" s="158">
        <f>A!F1987</f>
        <v>19.95</v>
      </c>
      <c r="H407" s="158">
        <f>A!G1987</f>
        <v>20</v>
      </c>
      <c r="I407" s="142"/>
      <c r="J407" s="191">
        <f t="shared" si="48"/>
        <v>19.525000000000002</v>
      </c>
      <c r="K407" s="158">
        <f t="shared" si="49"/>
        <v>20</v>
      </c>
      <c r="L407" s="30">
        <f t="shared" si="50"/>
        <v>2.3898865492221647E-2</v>
      </c>
      <c r="N407" s="598">
        <f>A!H1987</f>
        <v>0</v>
      </c>
    </row>
    <row r="408" spans="2:16" ht="12" customHeight="1" thickTop="1">
      <c r="B408" s="19" t="s">
        <v>252</v>
      </c>
      <c r="C408" s="144"/>
      <c r="D408" s="145"/>
      <c r="E408" s="144"/>
      <c r="F408" s="145"/>
      <c r="G408" s="145"/>
      <c r="H408" s="145"/>
      <c r="I408" s="140"/>
      <c r="J408" s="20" t="s">
        <v>24</v>
      </c>
      <c r="K408" s="144"/>
      <c r="L408" s="146"/>
      <c r="N408" s="598"/>
      <c r="P408" s="32"/>
    </row>
    <row r="409" spans="2:16" ht="12" customHeight="1">
      <c r="B409" s="170"/>
      <c r="C409" s="205" t="s">
        <v>245</v>
      </c>
      <c r="D409" s="22" t="s">
        <v>536</v>
      </c>
      <c r="E409" s="205" t="s">
        <v>258</v>
      </c>
      <c r="F409" s="352" t="s">
        <v>433</v>
      </c>
      <c r="G409" s="436" t="s">
        <v>469</v>
      </c>
      <c r="H409" s="437" t="s">
        <v>482</v>
      </c>
      <c r="I409" s="438"/>
      <c r="J409" s="200"/>
      <c r="K409" s="200"/>
      <c r="L409" s="23" t="s">
        <v>25</v>
      </c>
      <c r="N409" s="598"/>
      <c r="P409" s="32"/>
    </row>
    <row r="410" spans="2:16" ht="12" customHeight="1">
      <c r="B410" s="171"/>
      <c r="C410" s="24" t="s">
        <v>26</v>
      </c>
      <c r="D410" s="24" t="s">
        <v>13</v>
      </c>
      <c r="E410" s="24" t="s">
        <v>13</v>
      </c>
      <c r="F410" s="353" t="s">
        <v>434</v>
      </c>
      <c r="G410" s="353" t="s">
        <v>452</v>
      </c>
      <c r="H410" s="353" t="s">
        <v>483</v>
      </c>
      <c r="I410" s="439"/>
      <c r="J410" s="24" t="s">
        <v>27</v>
      </c>
      <c r="K410" s="24" t="s">
        <v>28</v>
      </c>
      <c r="L410" s="25" t="s">
        <v>259</v>
      </c>
      <c r="N410" s="690" t="s">
        <v>522</v>
      </c>
      <c r="P410" s="32"/>
    </row>
    <row r="411" spans="2:16" ht="12" customHeight="1">
      <c r="B411" s="214" t="s">
        <v>295</v>
      </c>
      <c r="C411" s="219">
        <f>A!B2000</f>
        <v>0</v>
      </c>
      <c r="D411" s="219">
        <f>A!C2000</f>
        <v>0</v>
      </c>
      <c r="E411" s="219">
        <f>A!D2000</f>
        <v>0</v>
      </c>
      <c r="F411" s="219">
        <f>A!E2000</f>
        <v>-7.6877046780055025E-5</v>
      </c>
      <c r="G411" s="219">
        <f>A!F2000</f>
        <v>0</v>
      </c>
      <c r="H411" s="219">
        <f>A!G2000</f>
        <v>0</v>
      </c>
      <c r="I411" s="219"/>
      <c r="J411" s="471">
        <f t="shared" ref="J411:J428" si="51">MINA(C411:I411)</f>
        <v>-7.6877046780055025E-5</v>
      </c>
      <c r="K411" s="219">
        <f t="shared" ref="K411:K428" si="52">MAXA(C411:I411)</f>
        <v>0</v>
      </c>
      <c r="L411" s="27">
        <f t="shared" ref="L411:L428" si="53">(K411-J411)/AVERAGE(C411:I411)</f>
        <v>-6</v>
      </c>
      <c r="N411" s="598">
        <f>A!H2000</f>
        <v>0</v>
      </c>
      <c r="P411" s="32"/>
    </row>
    <row r="412" spans="2:16" ht="12" customHeight="1">
      <c r="B412" s="215" t="s">
        <v>296</v>
      </c>
      <c r="C412" s="219">
        <f>A!B2001</f>
        <v>0</v>
      </c>
      <c r="D412" s="219">
        <f>A!C2001</f>
        <v>1.9399999999999995</v>
      </c>
      <c r="E412" s="219">
        <f>A!D2001</f>
        <v>1.9499999999999993</v>
      </c>
      <c r="F412" s="219">
        <f>A!E2001</f>
        <v>-0.97005714252543918</v>
      </c>
      <c r="G412" s="219">
        <f>A!F2001</f>
        <v>0</v>
      </c>
      <c r="H412" s="219">
        <f>A!G2001</f>
        <v>0</v>
      </c>
      <c r="I412" s="155"/>
      <c r="J412" s="219">
        <f t="shared" si="51"/>
        <v>-0.97005714252543918</v>
      </c>
      <c r="K412" s="219">
        <f t="shared" si="52"/>
        <v>1.9499999999999993</v>
      </c>
      <c r="L412" s="27">
        <f t="shared" si="53"/>
        <v>6.0002348368919334</v>
      </c>
      <c r="N412" s="598">
        <f>A!H2001</f>
        <v>0</v>
      </c>
      <c r="P412" s="32"/>
    </row>
    <row r="413" spans="2:16" ht="12" customHeight="1">
      <c r="B413" s="215" t="s">
        <v>297</v>
      </c>
      <c r="C413" s="219">
        <f>A!B2002</f>
        <v>0</v>
      </c>
      <c r="D413" s="219">
        <f>A!C2002</f>
        <v>0</v>
      </c>
      <c r="E413" s="219">
        <f>A!D2002</f>
        <v>0</v>
      </c>
      <c r="F413" s="219">
        <f>A!E2002</f>
        <v>-1.563729725639007E-3</v>
      </c>
      <c r="G413" s="219">
        <f>A!F2002</f>
        <v>0</v>
      </c>
      <c r="H413" s="219">
        <f>A!G2002</f>
        <v>0</v>
      </c>
      <c r="I413" s="155"/>
      <c r="J413" s="219">
        <f t="shared" si="51"/>
        <v>-1.563729725639007E-3</v>
      </c>
      <c r="K413" s="219">
        <f t="shared" si="52"/>
        <v>0</v>
      </c>
      <c r="L413" s="27">
        <f t="shared" si="53"/>
        <v>-6</v>
      </c>
      <c r="N413" s="598">
        <f>A!H2002</f>
        <v>0</v>
      </c>
      <c r="P413" s="32"/>
    </row>
    <row r="414" spans="2:16" ht="12" customHeight="1">
      <c r="B414" s="215" t="s">
        <v>422</v>
      </c>
      <c r="C414" s="219">
        <f>A!B2003</f>
        <v>0</v>
      </c>
      <c r="D414" s="219">
        <f>A!C2003</f>
        <v>-1.9399999999999995</v>
      </c>
      <c r="E414" s="219">
        <f>A!D2003</f>
        <v>-1.9499999999999993</v>
      </c>
      <c r="F414" s="219">
        <f>A!E2003</f>
        <v>0.96849341279980017</v>
      </c>
      <c r="G414" s="219">
        <f>A!F2003</f>
        <v>0</v>
      </c>
      <c r="H414" s="219">
        <f>A!G2003</f>
        <v>0</v>
      </c>
      <c r="I414" s="155"/>
      <c r="J414" s="190">
        <f t="shared" si="51"/>
        <v>-1.9499999999999993</v>
      </c>
      <c r="K414" s="219">
        <f t="shared" si="52"/>
        <v>0.96849341279980017</v>
      </c>
      <c r="L414" s="27">
        <f t="shared" si="53"/>
        <v>-5.993811738614041</v>
      </c>
      <c r="N414" s="598">
        <f>A!H2003</f>
        <v>0</v>
      </c>
      <c r="P414" s="32"/>
    </row>
    <row r="415" spans="2:16" ht="12" customHeight="1">
      <c r="B415" s="215" t="s">
        <v>423</v>
      </c>
      <c r="C415" s="219">
        <f>A!B2004</f>
        <v>0</v>
      </c>
      <c r="D415" s="219">
        <f>A!C2004</f>
        <v>0</v>
      </c>
      <c r="E415" s="219">
        <f>A!D2004</f>
        <v>0</v>
      </c>
      <c r="F415" s="219">
        <f>A!E2004</f>
        <v>-1.563729725639007E-3</v>
      </c>
      <c r="G415" s="219">
        <f>A!F2004</f>
        <v>0</v>
      </c>
      <c r="H415" s="219">
        <f>A!G2004</f>
        <v>0</v>
      </c>
      <c r="I415" s="155"/>
      <c r="J415" s="190">
        <f t="shared" si="51"/>
        <v>-1.563729725639007E-3</v>
      </c>
      <c r="K415" s="219">
        <f t="shared" si="52"/>
        <v>0</v>
      </c>
      <c r="L415" s="27">
        <f t="shared" si="53"/>
        <v>-6</v>
      </c>
      <c r="N415" s="598">
        <f>A!H2004</f>
        <v>0</v>
      </c>
      <c r="P415" s="32"/>
    </row>
    <row r="416" spans="2:16" ht="12" customHeight="1">
      <c r="B416" s="215" t="s">
        <v>424</v>
      </c>
      <c r="C416" s="219">
        <f>A!B2005</f>
        <v>0</v>
      </c>
      <c r="D416" s="219">
        <f>A!C2005</f>
        <v>0</v>
      </c>
      <c r="E416" s="219">
        <f>A!D2005</f>
        <v>0</v>
      </c>
      <c r="F416" s="219">
        <f>A!E2005</f>
        <v>0</v>
      </c>
      <c r="G416" s="219">
        <f>A!F2005</f>
        <v>0</v>
      </c>
      <c r="H416" s="219">
        <f>A!G2005</f>
        <v>0</v>
      </c>
      <c r="I416" s="155"/>
      <c r="J416" s="190">
        <f t="shared" si="51"/>
        <v>0</v>
      </c>
      <c r="K416" s="219">
        <f t="shared" si="52"/>
        <v>0</v>
      </c>
      <c r="L416" s="27" t="e">
        <f t="shared" si="53"/>
        <v>#DIV/0!</v>
      </c>
      <c r="N416" s="598">
        <f>A!H2005</f>
        <v>0</v>
      </c>
      <c r="P416" s="32"/>
    </row>
    <row r="417" spans="2:24" ht="12" customHeight="1">
      <c r="B417" s="215" t="s">
        <v>298</v>
      </c>
      <c r="C417" s="219">
        <f>A!B2006</f>
        <v>0</v>
      </c>
      <c r="D417" s="219">
        <f>A!C2006</f>
        <v>0</v>
      </c>
      <c r="E417" s="219">
        <f>A!D2006</f>
        <v>0</v>
      </c>
      <c r="F417" s="219">
        <f>A!E2006</f>
        <v>0</v>
      </c>
      <c r="G417" s="219">
        <f>A!F2006</f>
        <v>0</v>
      </c>
      <c r="H417" s="219">
        <f>A!G2006</f>
        <v>0</v>
      </c>
      <c r="I417" s="155"/>
      <c r="J417" s="219">
        <f t="shared" si="51"/>
        <v>0</v>
      </c>
      <c r="K417" s="219">
        <f t="shared" si="52"/>
        <v>0</v>
      </c>
      <c r="L417" s="27" t="e">
        <f t="shared" si="53"/>
        <v>#DIV/0!</v>
      </c>
      <c r="N417" s="598">
        <f>A!H2006</f>
        <v>0</v>
      </c>
      <c r="P417" s="32"/>
    </row>
    <row r="418" spans="2:24" ht="12" customHeight="1">
      <c r="B418" s="215" t="s">
        <v>299</v>
      </c>
      <c r="C418" s="219">
        <f>A!B2007</f>
        <v>0</v>
      </c>
      <c r="D418" s="219">
        <f>A!C2007</f>
        <v>0</v>
      </c>
      <c r="E418" s="219">
        <f>A!D2007</f>
        <v>0</v>
      </c>
      <c r="F418" s="219">
        <f>A!E2007</f>
        <v>1.7991698002006729E-4</v>
      </c>
      <c r="G418" s="219">
        <f>A!F2007</f>
        <v>0</v>
      </c>
      <c r="H418" s="219">
        <f>A!G2007</f>
        <v>0</v>
      </c>
      <c r="I418" s="155"/>
      <c r="J418" s="219">
        <f t="shared" si="51"/>
        <v>0</v>
      </c>
      <c r="K418" s="219">
        <f t="shared" si="52"/>
        <v>1.7991698002006729E-4</v>
      </c>
      <c r="L418" s="27">
        <f t="shared" si="53"/>
        <v>6</v>
      </c>
      <c r="N418" s="598">
        <f>A!H2007</f>
        <v>0</v>
      </c>
      <c r="P418" s="32"/>
    </row>
    <row r="419" spans="2:24" ht="12" customHeight="1">
      <c r="B419" s="215" t="s">
        <v>300</v>
      </c>
      <c r="C419" s="219">
        <f>A!B2008</f>
        <v>0</v>
      </c>
      <c r="D419" s="219">
        <f>A!C2008</f>
        <v>0</v>
      </c>
      <c r="E419" s="219">
        <f>A!D2008</f>
        <v>0</v>
      </c>
      <c r="F419" s="219">
        <f>A!E2008</f>
        <v>-3.0198066269804258E-14</v>
      </c>
      <c r="G419" s="219"/>
      <c r="H419" s="219">
        <f>A!G2008</f>
        <v>0</v>
      </c>
      <c r="I419" s="155"/>
      <c r="J419" s="219">
        <f t="shared" si="51"/>
        <v>-3.0198066269804258E-14</v>
      </c>
      <c r="K419" s="219">
        <f t="shared" si="52"/>
        <v>0</v>
      </c>
      <c r="L419" s="27">
        <f t="shared" si="53"/>
        <v>-5</v>
      </c>
      <c r="N419" s="598">
        <f>A!H2008</f>
        <v>0</v>
      </c>
      <c r="P419" s="32"/>
    </row>
    <row r="420" spans="2:24" ht="12" customHeight="1">
      <c r="B420" s="215" t="s">
        <v>306</v>
      </c>
      <c r="C420" s="219">
        <f>A!B2009</f>
        <v>0</v>
      </c>
      <c r="D420" s="219">
        <f>A!C2009</f>
        <v>0</v>
      </c>
      <c r="E420" s="219">
        <f>A!D2009</f>
        <v>0</v>
      </c>
      <c r="F420" s="219"/>
      <c r="G420" s="219"/>
      <c r="H420" s="219">
        <f>A!G2009</f>
        <v>0</v>
      </c>
      <c r="I420" s="155"/>
      <c r="J420" s="219">
        <f t="shared" si="51"/>
        <v>0</v>
      </c>
      <c r="K420" s="219">
        <f t="shared" si="52"/>
        <v>0</v>
      </c>
      <c r="L420" s="27" t="e">
        <f t="shared" si="53"/>
        <v>#DIV/0!</v>
      </c>
      <c r="N420" s="598">
        <f>A!H2009</f>
        <v>0</v>
      </c>
      <c r="P420" s="32"/>
    </row>
    <row r="421" spans="2:24" ht="12" customHeight="1">
      <c r="B421" s="215" t="s">
        <v>307</v>
      </c>
      <c r="C421" s="219">
        <f>A!B2010</f>
        <v>0</v>
      </c>
      <c r="D421" s="219">
        <f>A!C2010</f>
        <v>0</v>
      </c>
      <c r="E421" s="219">
        <f>A!D2010</f>
        <v>0</v>
      </c>
      <c r="F421" s="219">
        <f>A!E2010</f>
        <v>-3.0198066269804258E-14</v>
      </c>
      <c r="G421" s="219"/>
      <c r="H421" s="219">
        <f>A!G2010</f>
        <v>0</v>
      </c>
      <c r="I421" s="155"/>
      <c r="J421" s="219">
        <f t="shared" si="51"/>
        <v>-3.0198066269804258E-14</v>
      </c>
      <c r="K421" s="219">
        <f t="shared" si="52"/>
        <v>0</v>
      </c>
      <c r="L421" s="27">
        <f t="shared" si="53"/>
        <v>-5</v>
      </c>
      <c r="N421" s="598">
        <f>A!H2010</f>
        <v>0</v>
      </c>
      <c r="P421" s="32"/>
    </row>
    <row r="422" spans="2:24" ht="12" customHeight="1">
      <c r="B422" s="215" t="s">
        <v>308</v>
      </c>
      <c r="C422" s="219">
        <f>A!B2011</f>
        <v>0</v>
      </c>
      <c r="D422" s="219">
        <f>A!C2011</f>
        <v>0</v>
      </c>
      <c r="E422" s="219">
        <f>A!D2011</f>
        <v>0</v>
      </c>
      <c r="F422" s="219">
        <f>A!E2011</f>
        <v>-3.0198066269804258E-14</v>
      </c>
      <c r="G422" s="219"/>
      <c r="H422" s="219">
        <f>A!G2011</f>
        <v>0</v>
      </c>
      <c r="I422" s="155"/>
      <c r="J422" s="219">
        <f t="shared" si="51"/>
        <v>-3.0198066269804258E-14</v>
      </c>
      <c r="K422" s="219">
        <f t="shared" si="52"/>
        <v>0</v>
      </c>
      <c r="L422" s="27">
        <f t="shared" si="53"/>
        <v>-5</v>
      </c>
      <c r="N422" s="598">
        <f>A!H2011</f>
        <v>0</v>
      </c>
      <c r="P422" s="32"/>
    </row>
    <row r="423" spans="2:24" ht="12" customHeight="1">
      <c r="B423" s="215" t="s">
        <v>309</v>
      </c>
      <c r="C423" s="219">
        <f>A!B2012</f>
        <v>0</v>
      </c>
      <c r="D423" s="219">
        <f>A!C2012</f>
        <v>0</v>
      </c>
      <c r="E423" s="219">
        <f>A!D2012</f>
        <v>0</v>
      </c>
      <c r="F423" s="219">
        <f>A!E2012</f>
        <v>-3.0198066269804258E-14</v>
      </c>
      <c r="G423" s="219"/>
      <c r="H423" s="219">
        <f>A!G2012</f>
        <v>9.9999999999997868E-3</v>
      </c>
      <c r="I423" s="155"/>
      <c r="J423" s="219">
        <f t="shared" si="51"/>
        <v>-3.0198066269804258E-14</v>
      </c>
      <c r="K423" s="219">
        <f t="shared" si="52"/>
        <v>9.9999999999997868E-3</v>
      </c>
      <c r="L423" s="27">
        <f t="shared" si="53"/>
        <v>5.0000000000301981</v>
      </c>
      <c r="N423" s="598">
        <f>A!H2012</f>
        <v>0</v>
      </c>
      <c r="P423" s="32"/>
    </row>
    <row r="424" spans="2:24" ht="12" customHeight="1">
      <c r="B424" s="215" t="s">
        <v>301</v>
      </c>
      <c r="C424" s="219">
        <f>A!B2013</f>
        <v>0.49702999999999964</v>
      </c>
      <c r="D424" s="219">
        <f>A!C2013</f>
        <v>-0.72000000000000064</v>
      </c>
      <c r="E424" s="219">
        <f>A!D2013</f>
        <v>-0.88999999999999968</v>
      </c>
      <c r="F424" s="219">
        <f>A!E2013</f>
        <v>0.11003943738590038</v>
      </c>
      <c r="G424" s="219">
        <f>A!F2013</f>
        <v>0.53999999999999915</v>
      </c>
      <c r="H424" s="219">
        <f>A!G2013</f>
        <v>17.049999999999997</v>
      </c>
      <c r="I424" s="155"/>
      <c r="J424" s="219">
        <f t="shared" si="51"/>
        <v>-0.88999999999999968</v>
      </c>
      <c r="K424" s="219">
        <f t="shared" si="52"/>
        <v>17.049999999999997</v>
      </c>
      <c r="L424" s="27">
        <f t="shared" si="53"/>
        <v>6.4893922586100858</v>
      </c>
      <c r="N424" s="598">
        <f>A!H2013</f>
        <v>0</v>
      </c>
      <c r="P424" s="32"/>
    </row>
    <row r="425" spans="2:24" ht="12" customHeight="1">
      <c r="B425" s="215" t="s">
        <v>302</v>
      </c>
      <c r="C425" s="219">
        <f>A!B2014</f>
        <v>0</v>
      </c>
      <c r="D425" s="219">
        <f>A!C2014</f>
        <v>0</v>
      </c>
      <c r="E425" s="219">
        <f>A!D2014</f>
        <v>0</v>
      </c>
      <c r="F425" s="219">
        <f>A!E2014</f>
        <v>9.3017895608227263E-9</v>
      </c>
      <c r="G425" s="219">
        <f>A!F2014</f>
        <v>0</v>
      </c>
      <c r="H425" s="219">
        <f>A!G2014</f>
        <v>0</v>
      </c>
      <c r="I425" s="155"/>
      <c r="J425" s="219">
        <f t="shared" si="51"/>
        <v>0</v>
      </c>
      <c r="K425" s="219">
        <f t="shared" si="52"/>
        <v>9.3017895608227263E-9</v>
      </c>
      <c r="L425" s="27">
        <f t="shared" si="53"/>
        <v>6</v>
      </c>
      <c r="N425" s="598">
        <f>A!H2014</f>
        <v>0</v>
      </c>
      <c r="P425" s="32"/>
    </row>
    <row r="426" spans="2:24" ht="12" customHeight="1">
      <c r="B426" s="215" t="s">
        <v>303</v>
      </c>
      <c r="C426" s="219">
        <f>A!B2015</f>
        <v>0.13888999999999996</v>
      </c>
      <c r="D426" s="219">
        <f>A!C2015</f>
        <v>6.0000000000000497E-2</v>
      </c>
      <c r="E426" s="219">
        <f>A!D2015</f>
        <v>5.0000000000000711E-2</v>
      </c>
      <c r="F426" s="219">
        <f>A!E2015</f>
        <v>0.17939071958815056</v>
      </c>
      <c r="G426" s="219">
        <f>A!F2015</f>
        <v>2.9999999999999361E-2</v>
      </c>
      <c r="H426" s="219">
        <f>A!G2015</f>
        <v>19.439999999999998</v>
      </c>
      <c r="I426" s="155"/>
      <c r="J426" s="219">
        <f t="shared" si="51"/>
        <v>2.9999999999999361E-2</v>
      </c>
      <c r="K426" s="219">
        <f t="shared" si="52"/>
        <v>19.439999999999998</v>
      </c>
      <c r="L426" s="27">
        <f t="shared" si="53"/>
        <v>5.8527669621906133</v>
      </c>
      <c r="N426" s="598">
        <f>A!H2015</f>
        <v>0</v>
      </c>
      <c r="P426" s="32"/>
    </row>
    <row r="427" spans="2:24" ht="12" customHeight="1">
      <c r="B427" s="215" t="s">
        <v>304</v>
      </c>
      <c r="C427" s="219">
        <f>A!B2016</f>
        <v>-5.5099999999992377E-3</v>
      </c>
      <c r="D427" s="219">
        <f>A!C2016</f>
        <v>0</v>
      </c>
      <c r="E427" s="219">
        <f>A!D2016</f>
        <v>0</v>
      </c>
      <c r="F427" s="219">
        <f>A!E2016</f>
        <v>0.14538547844995087</v>
      </c>
      <c r="G427" s="219">
        <f>A!F2016</f>
        <v>0</v>
      </c>
      <c r="H427" s="219">
        <f>A!G2016</f>
        <v>0</v>
      </c>
      <c r="I427" s="155"/>
      <c r="J427" s="219">
        <f t="shared" si="51"/>
        <v>-5.5099999999992377E-3</v>
      </c>
      <c r="K427" s="219">
        <f t="shared" si="52"/>
        <v>0.14538547844995087</v>
      </c>
      <c r="L427" s="27">
        <f t="shared" si="53"/>
        <v>6.4727061578820546</v>
      </c>
      <c r="N427" s="598">
        <f>A!H2016</f>
        <v>0</v>
      </c>
      <c r="P427" s="32"/>
    </row>
    <row r="428" spans="2:24" ht="12" customHeight="1" thickBot="1">
      <c r="B428" s="216" t="s">
        <v>305</v>
      </c>
      <c r="C428" s="158">
        <f>A!B2017</f>
        <v>0.22078000000000131</v>
      </c>
      <c r="D428" s="158">
        <f>A!C2017</f>
        <v>6.0000000000000497E-2</v>
      </c>
      <c r="E428" s="158">
        <f>A!D2017</f>
        <v>5.0000000000000711E-2</v>
      </c>
      <c r="F428" s="158">
        <f>A!E2017</f>
        <v>0.1809343780834709</v>
      </c>
      <c r="G428" s="158">
        <f>A!F2017</f>
        <v>2.9999999999999361E-2</v>
      </c>
      <c r="H428" s="158">
        <f>A!G2017</f>
        <v>18.059999999999999</v>
      </c>
      <c r="I428" s="157"/>
      <c r="J428" s="158">
        <f t="shared" si="51"/>
        <v>2.9999999999999361E-2</v>
      </c>
      <c r="K428" s="158">
        <f t="shared" si="52"/>
        <v>18.059999999999999</v>
      </c>
      <c r="L428" s="30">
        <f t="shared" si="53"/>
        <v>5.8155930040221246</v>
      </c>
      <c r="N428" s="598">
        <f>A!H2017</f>
        <v>0</v>
      </c>
      <c r="P428" s="32"/>
    </row>
    <row r="429" spans="2:24" ht="12" customHeight="1" thickTop="1">
      <c r="D429" s="32" t="s">
        <v>565</v>
      </c>
      <c r="N429" s="673"/>
      <c r="P429" s="32"/>
    </row>
    <row r="430" spans="2:24" ht="12" customHeight="1">
      <c r="N430" s="673"/>
      <c r="P430" s="32"/>
    </row>
    <row r="431" spans="2:24" ht="15.75" customHeight="1" thickBot="1">
      <c r="B431" s="1" t="s">
        <v>440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N431" s="686"/>
      <c r="O431" s="2"/>
      <c r="P431" s="2"/>
      <c r="Q431" s="2"/>
      <c r="R431" s="2"/>
      <c r="S431" s="2"/>
      <c r="T431" s="2"/>
      <c r="U431" s="2"/>
      <c r="V431" s="2"/>
      <c r="W431" s="17"/>
      <c r="X431" s="2"/>
    </row>
    <row r="432" spans="2:24" ht="12" customHeight="1" thickTop="1">
      <c r="B432" s="19" t="s">
        <v>253</v>
      </c>
      <c r="C432" s="144"/>
      <c r="D432" s="145"/>
      <c r="E432" s="144"/>
      <c r="F432" s="145"/>
      <c r="G432" s="145"/>
      <c r="H432" s="145"/>
      <c r="I432" s="140"/>
      <c r="J432" s="20" t="s">
        <v>24</v>
      </c>
      <c r="K432" s="144"/>
      <c r="L432" s="146"/>
      <c r="N432" s="673"/>
    </row>
    <row r="433" spans="2:14" ht="12" customHeight="1">
      <c r="B433" s="170"/>
      <c r="C433" s="205" t="s">
        <v>245</v>
      </c>
      <c r="D433" s="22" t="s">
        <v>536</v>
      </c>
      <c r="E433" s="205" t="s">
        <v>258</v>
      </c>
      <c r="F433" s="352" t="s">
        <v>433</v>
      </c>
      <c r="G433" s="436" t="s">
        <v>469</v>
      </c>
      <c r="H433" s="437" t="s">
        <v>482</v>
      </c>
      <c r="I433" s="438"/>
      <c r="J433" s="200"/>
      <c r="K433" s="200"/>
      <c r="L433" s="23" t="s">
        <v>25</v>
      </c>
      <c r="M433" s="35"/>
      <c r="N433" s="673"/>
    </row>
    <row r="434" spans="2:14" ht="12" customHeight="1">
      <c r="B434" s="171"/>
      <c r="C434" s="24" t="s">
        <v>26</v>
      </c>
      <c r="D434" s="24" t="s">
        <v>13</v>
      </c>
      <c r="E434" s="24" t="s">
        <v>13</v>
      </c>
      <c r="F434" s="353" t="s">
        <v>434</v>
      </c>
      <c r="G434" s="353" t="s">
        <v>452</v>
      </c>
      <c r="H434" s="353" t="s">
        <v>483</v>
      </c>
      <c r="I434" s="439"/>
      <c r="J434" s="24" t="s">
        <v>27</v>
      </c>
      <c r="K434" s="24" t="s">
        <v>28</v>
      </c>
      <c r="L434" s="25" t="s">
        <v>259</v>
      </c>
      <c r="M434" s="35"/>
      <c r="N434" s="685" t="s">
        <v>522</v>
      </c>
    </row>
    <row r="435" spans="2:14" ht="12" customHeight="1">
      <c r="B435" s="214" t="s">
        <v>295</v>
      </c>
      <c r="C435" s="210">
        <f>A!B2030</f>
        <v>2.4657999999999989E-3</v>
      </c>
      <c r="D435" s="210">
        <f>A!C2030</f>
        <v>5.000000000000001E-3</v>
      </c>
      <c r="E435" s="210">
        <f>A!D2030</f>
        <v>5.1999999999999998E-3</v>
      </c>
      <c r="F435" s="210">
        <f>A!E2030</f>
        <v>1.981186203994699E-3</v>
      </c>
      <c r="G435" s="210">
        <f>A!F2030</f>
        <v>1.9749999999999993E-3</v>
      </c>
      <c r="H435" s="210">
        <f>A!G2030</f>
        <v>2.2999999999999982E-3</v>
      </c>
      <c r="I435" s="210"/>
      <c r="J435" s="426">
        <f t="shared" ref="J435:J452" si="54">MINA(C435:I435)</f>
        <v>1.9749999999999993E-3</v>
      </c>
      <c r="K435" s="210">
        <f t="shared" ref="K435:K452" si="55">MAXA(C435:I435)</f>
        <v>5.1999999999999998E-3</v>
      </c>
      <c r="L435" s="27">
        <f t="shared" ref="L435:L452" si="56">(K435-J435)/AVERAGE(C435:I435)</f>
        <v>1.0226199190397329</v>
      </c>
      <c r="N435" s="674">
        <f>A!H2030</f>
        <v>0</v>
      </c>
    </row>
    <row r="436" spans="2:14" ht="12" customHeight="1">
      <c r="B436" s="215" t="s">
        <v>296</v>
      </c>
      <c r="C436" s="210">
        <f>A!B2031</f>
        <v>4.7325999999999983E-3</v>
      </c>
      <c r="D436" s="210">
        <f>A!C2031</f>
        <v>3.9000000000000007E-3</v>
      </c>
      <c r="E436" s="210">
        <f>A!D2031</f>
        <v>3.9000000000000007E-3</v>
      </c>
      <c r="F436" s="210">
        <f>A!E2031</f>
        <v>4.1822998113273009E-3</v>
      </c>
      <c r="G436" s="210">
        <f>A!F2031</f>
        <v>4.0899999999999999E-3</v>
      </c>
      <c r="H436" s="210">
        <f>A!G2031</f>
        <v>4.3E-3</v>
      </c>
      <c r="I436" s="232"/>
      <c r="J436" s="426">
        <f t="shared" si="54"/>
        <v>3.9000000000000007E-3</v>
      </c>
      <c r="K436" s="210">
        <f t="shared" si="55"/>
        <v>4.7325999999999983E-3</v>
      </c>
      <c r="L436" s="27">
        <f t="shared" si="56"/>
        <v>0.19898904347532892</v>
      </c>
      <c r="N436" s="674">
        <f>A!H2031</f>
        <v>0</v>
      </c>
    </row>
    <row r="437" spans="2:14" ht="12" customHeight="1">
      <c r="B437" s="215" t="s">
        <v>297</v>
      </c>
      <c r="C437" s="210">
        <f>A!B2032</f>
        <v>4.3671000000000005E-3</v>
      </c>
      <c r="D437" s="210">
        <f>A!C2032</f>
        <v>4.0000000000000001E-3</v>
      </c>
      <c r="E437" s="210">
        <f>A!D2032</f>
        <v>4.0000000000000001E-3</v>
      </c>
      <c r="F437" s="210">
        <f>A!E2032</f>
        <v>4.3029574478994984E-3</v>
      </c>
      <c r="G437" s="210">
        <f>A!F2032</f>
        <v>3.5880000000000009E-3</v>
      </c>
      <c r="H437" s="210">
        <f>A!G2032</f>
        <v>4.3E-3</v>
      </c>
      <c r="I437" s="232"/>
      <c r="J437" s="426">
        <f t="shared" si="54"/>
        <v>3.5880000000000009E-3</v>
      </c>
      <c r="K437" s="210">
        <f t="shared" si="55"/>
        <v>4.3671000000000005E-3</v>
      </c>
      <c r="L437" s="27">
        <f t="shared" si="56"/>
        <v>0.19034893170672285</v>
      </c>
      <c r="N437" s="674">
        <f>A!H2032</f>
        <v>0</v>
      </c>
    </row>
    <row r="438" spans="2:14" ht="12" customHeight="1">
      <c r="B438" s="215" t="s">
        <v>422</v>
      </c>
      <c r="C438" s="210">
        <f>A!B2033</f>
        <v>-3.6549999999999777E-4</v>
      </c>
      <c r="D438" s="210">
        <f>A!C2033</f>
        <v>9.9999999999999395E-5</v>
      </c>
      <c r="E438" s="210">
        <f>A!D2033</f>
        <v>9.9999999999999395E-5</v>
      </c>
      <c r="F438" s="210">
        <f>A!E2033</f>
        <v>1.2065763657219744E-4</v>
      </c>
      <c r="G438" s="210">
        <f>A!F2033</f>
        <v>-5.0199999999999897E-4</v>
      </c>
      <c r="H438" s="210">
        <f>A!G2033</f>
        <v>0</v>
      </c>
      <c r="I438" s="232"/>
      <c r="J438" s="426">
        <f t="shared" si="54"/>
        <v>-5.0199999999999897E-4</v>
      </c>
      <c r="K438" s="210">
        <f t="shared" si="55"/>
        <v>1.2065763657219744E-4</v>
      </c>
      <c r="L438" s="27">
        <f t="shared" si="56"/>
        <v>-6.8318514974131741</v>
      </c>
      <c r="N438" s="674">
        <f>A!H2033</f>
        <v>0</v>
      </c>
    </row>
    <row r="439" spans="2:14" ht="12" customHeight="1">
      <c r="B439" s="215" t="s">
        <v>423</v>
      </c>
      <c r="C439" s="210">
        <f>A!B2034</f>
        <v>4.5870999999999985E-3</v>
      </c>
      <c r="D439" s="210">
        <f>A!C2034</f>
        <v>3.9000000000000007E-3</v>
      </c>
      <c r="E439" s="210">
        <f>A!D2034</f>
        <v>3.6999999999999984E-3</v>
      </c>
      <c r="F439" s="210">
        <f>A!E2034</f>
        <v>4.1869013689201998E-3</v>
      </c>
      <c r="G439" s="210">
        <f>A!F2034</f>
        <v>3.8149999999999989E-3</v>
      </c>
      <c r="H439" s="210">
        <f>A!G2034</f>
        <v>4.3E-3</v>
      </c>
      <c r="I439" s="232"/>
      <c r="J439" s="426">
        <f t="shared" si="54"/>
        <v>3.6999999999999984E-3</v>
      </c>
      <c r="K439" s="210">
        <f t="shared" si="55"/>
        <v>4.5870999999999985E-3</v>
      </c>
      <c r="L439" s="27">
        <f t="shared" si="56"/>
        <v>0.21734655161378236</v>
      </c>
      <c r="N439" s="674">
        <f>A!H2034</f>
        <v>0</v>
      </c>
    </row>
    <row r="440" spans="2:14" ht="12" customHeight="1">
      <c r="B440" s="215" t="s">
        <v>424</v>
      </c>
      <c r="C440" s="210">
        <f>A!B2035</f>
        <v>-2.1999999999999797E-4</v>
      </c>
      <c r="D440" s="210">
        <f>A!C2035</f>
        <v>9.9999999999999395E-5</v>
      </c>
      <c r="E440" s="210">
        <f>A!D2035</f>
        <v>3.0000000000000165E-4</v>
      </c>
      <c r="F440" s="210">
        <f>A!E2035</f>
        <v>1.1605607897929859E-4</v>
      </c>
      <c r="G440" s="210">
        <f>A!F2035</f>
        <v>-2.2699999999999804E-4</v>
      </c>
      <c r="H440" s="210">
        <f>A!G2035</f>
        <v>0</v>
      </c>
      <c r="I440" s="232"/>
      <c r="J440" s="426">
        <f t="shared" si="54"/>
        <v>-2.2699999999999804E-4</v>
      </c>
      <c r="K440" s="210">
        <f t="shared" si="55"/>
        <v>3.0000000000000165E-4</v>
      </c>
      <c r="L440" s="27">
        <f t="shared" si="56"/>
        <v>45.788872561786512</v>
      </c>
      <c r="N440" s="674">
        <f>A!H2035</f>
        <v>0</v>
      </c>
    </row>
    <row r="441" spans="2:14" ht="12" customHeight="1">
      <c r="B441" s="215" t="s">
        <v>298</v>
      </c>
      <c r="C441" s="210">
        <f>A!B2036</f>
        <v>3.4739000000000003E-3</v>
      </c>
      <c r="D441" s="210">
        <f>A!C2036</f>
        <v>6.1000000000000013E-3</v>
      </c>
      <c r="E441" s="210">
        <f>A!D2036</f>
        <v>6.2000000000000006E-3</v>
      </c>
      <c r="F441" s="210">
        <f>A!E2036</f>
        <v>3.4244520139639981E-3</v>
      </c>
      <c r="G441" s="210">
        <f>A!F2036</f>
        <v>3.0220000000000004E-3</v>
      </c>
      <c r="H441" s="210">
        <f>A!G2036</f>
        <v>3.1999999999999997E-3</v>
      </c>
      <c r="I441" s="232"/>
      <c r="J441" s="426">
        <f t="shared" si="54"/>
        <v>3.0220000000000004E-3</v>
      </c>
      <c r="K441" s="210">
        <f t="shared" si="55"/>
        <v>6.2000000000000006E-3</v>
      </c>
      <c r="L441" s="27">
        <f t="shared" si="56"/>
        <v>0.75010762988354773</v>
      </c>
      <c r="N441" s="674">
        <f>A!H2036</f>
        <v>0</v>
      </c>
    </row>
    <row r="442" spans="2:14" ht="12" customHeight="1">
      <c r="B442" s="215" t="s">
        <v>299</v>
      </c>
      <c r="C442" s="210">
        <f>A!B2037</f>
        <v>1.4909999999999923E-4</v>
      </c>
      <c r="D442" s="210">
        <f>A!C2037</f>
        <v>0</v>
      </c>
      <c r="E442" s="210">
        <f>A!D2037</f>
        <v>0</v>
      </c>
      <c r="F442" s="210">
        <f>A!E2037</f>
        <v>-3.5233336300594109E-8</v>
      </c>
      <c r="G442" s="210">
        <f>A!F2037</f>
        <v>0</v>
      </c>
      <c r="H442" s="210">
        <f>A!G2037</f>
        <v>0</v>
      </c>
      <c r="I442" s="232"/>
      <c r="J442" s="426">
        <f t="shared" si="54"/>
        <v>-3.5233336300594109E-8</v>
      </c>
      <c r="K442" s="210">
        <f t="shared" si="55"/>
        <v>1.4909999999999923E-4</v>
      </c>
      <c r="L442" s="27">
        <f t="shared" si="56"/>
        <v>6.002836351238928</v>
      </c>
      <c r="N442" s="674">
        <f>A!H2037</f>
        <v>0</v>
      </c>
    </row>
    <row r="443" spans="2:14" ht="12" customHeight="1">
      <c r="B443" s="215" t="s">
        <v>300</v>
      </c>
      <c r="C443" s="210">
        <f>A!B2038</f>
        <v>3.659299999999999E-3</v>
      </c>
      <c r="D443" s="210">
        <f>A!C2038</f>
        <v>3.2000000000000015E-3</v>
      </c>
      <c r="E443" s="210">
        <f>A!D2038</f>
        <v>3.3000000000000008E-3</v>
      </c>
      <c r="F443" s="210">
        <f>A!E2038</f>
        <v>3.3727907973627007E-3</v>
      </c>
      <c r="G443" s="210"/>
      <c r="H443" s="210">
        <f>A!G2038</f>
        <v>3.899999999999999E-3</v>
      </c>
      <c r="I443" s="232"/>
      <c r="J443" s="426">
        <f t="shared" si="54"/>
        <v>3.2000000000000015E-3</v>
      </c>
      <c r="K443" s="210">
        <f t="shared" si="55"/>
        <v>3.899999999999999E-3</v>
      </c>
      <c r="L443" s="27">
        <f t="shared" si="56"/>
        <v>0.20077912860168801</v>
      </c>
      <c r="N443" s="674">
        <f>A!H2038</f>
        <v>0</v>
      </c>
    </row>
    <row r="444" spans="2:14" ht="12" customHeight="1">
      <c r="B444" s="215" t="s">
        <v>306</v>
      </c>
      <c r="C444" s="210">
        <f>A!B2039</f>
        <v>3.5511999999999991E-3</v>
      </c>
      <c r="D444" s="210">
        <f>A!C2039</f>
        <v>3.0999999999999986E-3</v>
      </c>
      <c r="E444" s="210">
        <f>A!D2039</f>
        <v>3.199999999999998E-3</v>
      </c>
      <c r="F444" s="210"/>
      <c r="G444" s="210"/>
      <c r="H444" s="210">
        <f>A!G2039</f>
        <v>3.899999999999999E-3</v>
      </c>
      <c r="I444" s="232"/>
      <c r="J444" s="426">
        <f t="shared" si="54"/>
        <v>3.0999999999999986E-3</v>
      </c>
      <c r="K444" s="210">
        <f t="shared" si="55"/>
        <v>3.899999999999999E-3</v>
      </c>
      <c r="L444" s="27">
        <f t="shared" si="56"/>
        <v>0.23270696375589059</v>
      </c>
      <c r="N444" s="674">
        <f>A!H2039</f>
        <v>0</v>
      </c>
    </row>
    <row r="445" spans="2:14" ht="12" customHeight="1">
      <c r="B445" s="215" t="s">
        <v>307</v>
      </c>
      <c r="C445" s="210">
        <f>A!B2040</f>
        <v>1.0124999999999995E-3</v>
      </c>
      <c r="D445" s="210">
        <f>A!C2040</f>
        <v>8.9999999999999976E-4</v>
      </c>
      <c r="E445" s="210">
        <f>A!D2040</f>
        <v>3.9999999999999931E-4</v>
      </c>
      <c r="F445" s="210">
        <f>A!E2040</f>
        <v>1.0861176461807991E-3</v>
      </c>
      <c r="G445" s="210"/>
      <c r="H445" s="210">
        <f>A!G2040</f>
        <v>1.2999999999999991E-3</v>
      </c>
      <c r="I445" s="232"/>
      <c r="J445" s="426">
        <f t="shared" si="54"/>
        <v>3.9999999999999931E-4</v>
      </c>
      <c r="K445" s="210">
        <f t="shared" si="55"/>
        <v>1.2999999999999991E-3</v>
      </c>
      <c r="L445" s="27">
        <f t="shared" si="56"/>
        <v>0.95772849354059664</v>
      </c>
      <c r="N445" s="674">
        <f>A!H2040</f>
        <v>0</v>
      </c>
    </row>
    <row r="446" spans="2:14" ht="12" customHeight="1">
      <c r="B446" s="215" t="s">
        <v>308</v>
      </c>
      <c r="C446" s="210">
        <f>A!B2041</f>
        <v>2.9463000000000007E-3</v>
      </c>
      <c r="D446" s="210">
        <f>A!C2041</f>
        <v>1.7999999999999995E-3</v>
      </c>
      <c r="E446" s="210">
        <f>A!D2041</f>
        <v>1.8999999999999989E-3</v>
      </c>
      <c r="F446" s="210">
        <f>A!E2041</f>
        <v>2.6256601974129004E-3</v>
      </c>
      <c r="G446" s="210"/>
      <c r="H446" s="210">
        <f>A!G2041</f>
        <v>2.4000000000000011E-3</v>
      </c>
      <c r="I446" s="232"/>
      <c r="J446" s="426">
        <f t="shared" si="54"/>
        <v>1.7999999999999995E-3</v>
      </c>
      <c r="K446" s="210">
        <f t="shared" si="55"/>
        <v>2.9463000000000007E-3</v>
      </c>
      <c r="L446" s="27">
        <f t="shared" si="56"/>
        <v>0.49104862448643349</v>
      </c>
      <c r="N446" s="674">
        <f>A!H2041</f>
        <v>0</v>
      </c>
    </row>
    <row r="447" spans="2:14" ht="12" customHeight="1">
      <c r="B447" s="215" t="s">
        <v>309</v>
      </c>
      <c r="C447" s="210">
        <f>A!B2042</f>
        <v>2.8499999999999012E-5</v>
      </c>
      <c r="D447" s="210">
        <f>A!C2042</f>
        <v>0</v>
      </c>
      <c r="E447" s="210">
        <f>A!D2042</f>
        <v>0</v>
      </c>
      <c r="F447" s="210">
        <f>A!E2042</f>
        <v>1.663899920623102E-12</v>
      </c>
      <c r="G447" s="210"/>
      <c r="H447" s="210">
        <f>A!G2042</f>
        <v>0</v>
      </c>
      <c r="I447" s="232"/>
      <c r="J447" s="426">
        <f t="shared" si="54"/>
        <v>0</v>
      </c>
      <c r="K447" s="210">
        <f t="shared" si="55"/>
        <v>2.8499999999999012E-5</v>
      </c>
      <c r="L447" s="27">
        <f t="shared" si="56"/>
        <v>4.9999997080877501</v>
      </c>
      <c r="N447" s="674">
        <f>A!H2042</f>
        <v>0</v>
      </c>
    </row>
    <row r="448" spans="2:14" ht="12" customHeight="1">
      <c r="B448" s="215" t="s">
        <v>301</v>
      </c>
      <c r="C448" s="210">
        <f>A!B2043</f>
        <v>-1.5646000000000011E-3</v>
      </c>
      <c r="D448" s="210">
        <f>A!C2043</f>
        <v>-1.8999999999999989E-3</v>
      </c>
      <c r="E448" s="210">
        <f>A!D2043</f>
        <v>-1.9000000000000006E-3</v>
      </c>
      <c r="F448" s="210">
        <f>A!E2043</f>
        <v>-2.1407675240728997E-3</v>
      </c>
      <c r="G448" s="210">
        <f>A!F2043</f>
        <v>-1.7440000000000008E-3</v>
      </c>
      <c r="H448" s="210">
        <f>A!G2043</f>
        <v>-1.9000000000000006E-3</v>
      </c>
      <c r="I448" s="232"/>
      <c r="J448" s="426">
        <f t="shared" si="54"/>
        <v>-2.1407675240728997E-3</v>
      </c>
      <c r="K448" s="210">
        <f t="shared" si="55"/>
        <v>-1.5646000000000011E-3</v>
      </c>
      <c r="L448" s="27">
        <f t="shared" si="56"/>
        <v>-0.31006289253388397</v>
      </c>
      <c r="N448" s="674">
        <f>A!H2043</f>
        <v>0</v>
      </c>
    </row>
    <row r="449" spans="2:16" ht="12" customHeight="1">
      <c r="B449" s="215" t="s">
        <v>302</v>
      </c>
      <c r="C449" s="210">
        <f>A!B2044</f>
        <v>1.5170000000000114E-4</v>
      </c>
      <c r="D449" s="210">
        <f>A!C2044</f>
        <v>0</v>
      </c>
      <c r="E449" s="210">
        <f>A!D2044</f>
        <v>1.0000000000000113E-4</v>
      </c>
      <c r="F449" s="210">
        <f>A!E2044</f>
        <v>1.000612145069836E-5</v>
      </c>
      <c r="G449" s="210">
        <f>A!F2044</f>
        <v>3.0000000000012655E-6</v>
      </c>
      <c r="H449" s="210">
        <f>A!G2044</f>
        <v>0</v>
      </c>
      <c r="I449" s="232"/>
      <c r="J449" s="426">
        <f t="shared" si="54"/>
        <v>0</v>
      </c>
      <c r="K449" s="210">
        <f t="shared" si="55"/>
        <v>1.5170000000000114E-4</v>
      </c>
      <c r="L449" s="27">
        <f t="shared" si="56"/>
        <v>3.4385302274527105</v>
      </c>
      <c r="N449" s="674">
        <f>A!H2044</f>
        <v>0</v>
      </c>
    </row>
    <row r="450" spans="2:16" ht="12" customHeight="1">
      <c r="B450" s="215" t="s">
        <v>303</v>
      </c>
      <c r="C450" s="210">
        <f>A!B2045</f>
        <v>1.0392090000000001E-2</v>
      </c>
      <c r="D450" s="210">
        <f>A!C2045</f>
        <v>1.0299999999999998E-2</v>
      </c>
      <c r="E450" s="210">
        <f>A!D2045</f>
        <v>1.0199999999999999E-2</v>
      </c>
      <c r="F450" s="210">
        <f>A!E2045</f>
        <v>1.0744449110931059E-2</v>
      </c>
      <c r="G450" s="210">
        <f>A!F2045</f>
        <v>1.0059999999999999E-2</v>
      </c>
      <c r="H450" s="210">
        <f>A!G2045</f>
        <v>6.6999999999999994E-3</v>
      </c>
      <c r="I450" s="232"/>
      <c r="J450" s="426">
        <f t="shared" si="54"/>
        <v>6.6999999999999994E-3</v>
      </c>
      <c r="K450" s="210">
        <f t="shared" si="55"/>
        <v>1.0744449110931059E-2</v>
      </c>
      <c r="L450" s="27">
        <f t="shared" si="56"/>
        <v>0.41555021984246249</v>
      </c>
      <c r="N450" s="674">
        <f>A!H2045</f>
        <v>0</v>
      </c>
    </row>
    <row r="451" spans="2:16" ht="12" customHeight="1">
      <c r="B451" s="215" t="s">
        <v>304</v>
      </c>
      <c r="C451" s="210">
        <f>A!B2046</f>
        <v>-4.7305499999999992E-3</v>
      </c>
      <c r="D451" s="210">
        <f>A!C2046</f>
        <v>-3.8000000000000013E-3</v>
      </c>
      <c r="E451" s="210">
        <f>A!D2046</f>
        <v>-3.7000000000000002E-3</v>
      </c>
      <c r="F451" s="210">
        <f>A!E2046</f>
        <v>-4.5893332600349009E-3</v>
      </c>
      <c r="G451" s="210">
        <f>A!F2046</f>
        <v>-6.2219999999999992E-3</v>
      </c>
      <c r="H451" s="210">
        <f>A!G2046</f>
        <v>-4.7299999999999998E-3</v>
      </c>
      <c r="I451" s="232"/>
      <c r="J451" s="426">
        <f t="shared" si="54"/>
        <v>-6.2219999999999992E-3</v>
      </c>
      <c r="K451" s="210">
        <f t="shared" si="55"/>
        <v>-3.7000000000000002E-3</v>
      </c>
      <c r="L451" s="27">
        <f t="shared" si="56"/>
        <v>-0.54486762234722774</v>
      </c>
      <c r="N451" s="674">
        <f>A!H2046</f>
        <v>0</v>
      </c>
    </row>
    <row r="452" spans="2:16" ht="12" customHeight="1" thickBot="1">
      <c r="B452" s="216" t="s">
        <v>305</v>
      </c>
      <c r="C452" s="163">
        <f>A!B2047</f>
        <v>9.051000000000007E-4</v>
      </c>
      <c r="D452" s="163">
        <f>A!C2047</f>
        <v>7.2000000000000007E-3</v>
      </c>
      <c r="E452" s="163">
        <f>A!D2047</f>
        <v>5.9000000000000007E-3</v>
      </c>
      <c r="F452" s="163">
        <f>A!E2047</f>
        <v>4.3897177559593104E-15</v>
      </c>
      <c r="G452" s="163">
        <f>A!F2047</f>
        <v>3.4329999999999994E-3</v>
      </c>
      <c r="H452" s="163">
        <f>A!G2047</f>
        <v>1.2899999999999995E-3</v>
      </c>
      <c r="I452" s="162"/>
      <c r="J452" s="427">
        <f t="shared" si="54"/>
        <v>4.3897177559593104E-15</v>
      </c>
      <c r="K452" s="163">
        <f t="shared" si="55"/>
        <v>7.2000000000000007E-3</v>
      </c>
      <c r="L452" s="30">
        <f t="shared" si="56"/>
        <v>2.3066942188456672</v>
      </c>
      <c r="N452" s="674">
        <f>A!H2047</f>
        <v>0</v>
      </c>
    </row>
    <row r="453" spans="2:16" ht="12" customHeight="1" thickTop="1">
      <c r="B453" s="19" t="s">
        <v>254</v>
      </c>
      <c r="C453" s="144"/>
      <c r="D453" s="145"/>
      <c r="E453" s="144"/>
      <c r="F453" s="145"/>
      <c r="G453" s="145"/>
      <c r="H453" s="145"/>
      <c r="I453" s="140"/>
      <c r="J453" s="20" t="s">
        <v>24</v>
      </c>
      <c r="K453" s="144"/>
      <c r="L453" s="146"/>
      <c r="N453" s="674"/>
      <c r="P453" s="32"/>
    </row>
    <row r="454" spans="2:16" ht="12" customHeight="1">
      <c r="B454" s="170"/>
      <c r="C454" s="205" t="s">
        <v>245</v>
      </c>
      <c r="D454" s="22" t="s">
        <v>536</v>
      </c>
      <c r="E454" s="205" t="s">
        <v>258</v>
      </c>
      <c r="F454" s="352" t="s">
        <v>433</v>
      </c>
      <c r="G454" s="436" t="s">
        <v>469</v>
      </c>
      <c r="H454" s="437" t="s">
        <v>482</v>
      </c>
      <c r="I454" s="438"/>
      <c r="J454" s="200"/>
      <c r="K454" s="200"/>
      <c r="L454" s="23" t="s">
        <v>25</v>
      </c>
      <c r="N454" s="674"/>
      <c r="P454" s="32"/>
    </row>
    <row r="455" spans="2:16" ht="12" customHeight="1">
      <c r="B455" s="171"/>
      <c r="C455" s="24" t="s">
        <v>26</v>
      </c>
      <c r="D455" s="24" t="s">
        <v>13</v>
      </c>
      <c r="E455" s="24" t="s">
        <v>13</v>
      </c>
      <c r="F455" s="353" t="s">
        <v>434</v>
      </c>
      <c r="G455" s="353" t="s">
        <v>452</v>
      </c>
      <c r="H455" s="353" t="s">
        <v>483</v>
      </c>
      <c r="I455" s="439"/>
      <c r="J455" s="24" t="s">
        <v>27</v>
      </c>
      <c r="K455" s="24" t="s">
        <v>28</v>
      </c>
      <c r="L455" s="25" t="s">
        <v>259</v>
      </c>
      <c r="N455" s="691" t="s">
        <v>522</v>
      </c>
      <c r="P455" s="32"/>
    </row>
    <row r="456" spans="2:16" ht="12" customHeight="1">
      <c r="B456" s="214" t="s">
        <v>295</v>
      </c>
      <c r="C456" s="210">
        <f>A!B2060</f>
        <v>9.9999999999406119E-9</v>
      </c>
      <c r="D456" s="210">
        <f>A!C2060</f>
        <v>0</v>
      </c>
      <c r="E456" s="210">
        <f>A!D2060</f>
        <v>0</v>
      </c>
      <c r="F456" s="210">
        <f>A!E2060</f>
        <v>1.4269313120260103E-5</v>
      </c>
      <c r="G456" s="210">
        <f>A!F2060</f>
        <v>5.099999999999983E-5</v>
      </c>
      <c r="H456" s="210">
        <f>A!G2060</f>
        <v>-1.0000000000000026E-5</v>
      </c>
      <c r="I456" s="210"/>
      <c r="J456" s="740">
        <f t="shared" ref="J456:J473" si="57">MINA(C456:I456)</f>
        <v>-1.0000000000000026E-5</v>
      </c>
      <c r="K456" s="210">
        <f t="shared" ref="K456:K473" si="58">MAXA(C456:I456)</f>
        <v>5.099999999999983E-5</v>
      </c>
      <c r="L456" s="27">
        <f t="shared" ref="L456:L473" si="59">(K456-J456)/AVERAGE(C456:I456)</f>
        <v>6.6209216312758468</v>
      </c>
      <c r="N456" s="674">
        <f>A!H2060</f>
        <v>0</v>
      </c>
      <c r="P456" s="32"/>
    </row>
    <row r="457" spans="2:16" ht="12" customHeight="1">
      <c r="B457" s="215" t="s">
        <v>296</v>
      </c>
      <c r="C457" s="210">
        <f>A!B2061</f>
        <v>0</v>
      </c>
      <c r="D457" s="210">
        <f>A!C2061</f>
        <v>0</v>
      </c>
      <c r="E457" s="210">
        <f>A!D2061</f>
        <v>0</v>
      </c>
      <c r="F457" s="210">
        <f>A!E2061</f>
        <v>5.877835533300152E-6</v>
      </c>
      <c r="G457" s="210">
        <f>A!F2061</f>
        <v>0</v>
      </c>
      <c r="H457" s="210">
        <f>A!G2061</f>
        <v>0</v>
      </c>
      <c r="I457" s="160"/>
      <c r="J457" s="210">
        <f t="shared" si="57"/>
        <v>0</v>
      </c>
      <c r="K457" s="210">
        <f t="shared" si="58"/>
        <v>5.877835533300152E-6</v>
      </c>
      <c r="L457" s="27">
        <f t="shared" si="59"/>
        <v>6</v>
      </c>
      <c r="N457" s="674">
        <f>A!H2061</f>
        <v>0</v>
      </c>
      <c r="P457" s="32"/>
    </row>
    <row r="458" spans="2:16" ht="12" customHeight="1">
      <c r="B458" s="215" t="s">
        <v>297</v>
      </c>
      <c r="C458" s="210">
        <f>A!B2062</f>
        <v>0</v>
      </c>
      <c r="D458" s="210">
        <f>A!C2062</f>
        <v>0</v>
      </c>
      <c r="E458" s="210">
        <f>A!D2062</f>
        <v>0</v>
      </c>
      <c r="F458" s="210">
        <f>A!E2062</f>
        <v>-1.7098995749907989E-8</v>
      </c>
      <c r="G458" s="210">
        <f>A!F2062</f>
        <v>0</v>
      </c>
      <c r="H458" s="210">
        <f>A!G2062</f>
        <v>0</v>
      </c>
      <c r="I458" s="160"/>
      <c r="J458" s="210">
        <f t="shared" si="57"/>
        <v>-1.7098995749907989E-8</v>
      </c>
      <c r="K458" s="210">
        <f t="shared" si="58"/>
        <v>0</v>
      </c>
      <c r="L458" s="27">
        <f t="shared" si="59"/>
        <v>-6</v>
      </c>
      <c r="N458" s="674">
        <f>A!H2062</f>
        <v>0</v>
      </c>
      <c r="P458" s="32"/>
    </row>
    <row r="459" spans="2:16" ht="12" customHeight="1">
      <c r="B459" s="215" t="s">
        <v>422</v>
      </c>
      <c r="C459" s="210">
        <f>A!B2063</f>
        <v>0</v>
      </c>
      <c r="D459" s="210">
        <f>A!C2063</f>
        <v>0</v>
      </c>
      <c r="E459" s="210">
        <f>A!P2033</f>
        <v>0</v>
      </c>
      <c r="F459" s="210">
        <f>A!E2063</f>
        <v>-5.8949345290500599E-6</v>
      </c>
      <c r="G459" s="210">
        <f>A!F2063</f>
        <v>0</v>
      </c>
      <c r="H459" s="210">
        <f>A!G2063</f>
        <v>0</v>
      </c>
      <c r="I459" s="160"/>
      <c r="J459" s="426">
        <f t="shared" si="57"/>
        <v>-5.8949345290500599E-6</v>
      </c>
      <c r="K459" s="210">
        <f t="shared" si="58"/>
        <v>0</v>
      </c>
      <c r="L459" s="27">
        <f t="shared" si="59"/>
        <v>-6</v>
      </c>
      <c r="N459" s="674">
        <f>A!H2063</f>
        <v>0</v>
      </c>
      <c r="P459" s="32"/>
    </row>
    <row r="460" spans="2:16" ht="12" customHeight="1">
      <c r="B460" s="215" t="s">
        <v>423</v>
      </c>
      <c r="C460" s="210">
        <f>A!B2064</f>
        <v>0</v>
      </c>
      <c r="D460" s="210">
        <f>A!C2064</f>
        <v>0</v>
      </c>
      <c r="E460" s="210">
        <f>A!P2034</f>
        <v>0</v>
      </c>
      <c r="F460" s="210">
        <f>A!E2064</f>
        <v>-1.7098995749907989E-8</v>
      </c>
      <c r="G460" s="210">
        <f>A!F2064</f>
        <v>0</v>
      </c>
      <c r="H460" s="210">
        <f>A!G2064</f>
        <v>0</v>
      </c>
      <c r="I460" s="160"/>
      <c r="J460" s="426">
        <f t="shared" si="57"/>
        <v>-1.7098995749907989E-8</v>
      </c>
      <c r="K460" s="210">
        <f t="shared" si="58"/>
        <v>0</v>
      </c>
      <c r="L460" s="27">
        <f t="shared" si="59"/>
        <v>-6</v>
      </c>
      <c r="N460" s="674">
        <f>A!H2064</f>
        <v>0</v>
      </c>
      <c r="P460" s="32"/>
    </row>
    <row r="461" spans="2:16" ht="12" customHeight="1">
      <c r="B461" s="215" t="s">
        <v>424</v>
      </c>
      <c r="C461" s="210">
        <f>A!B2065</f>
        <v>0</v>
      </c>
      <c r="D461" s="210">
        <f>A!C2065</f>
        <v>0</v>
      </c>
      <c r="E461" s="210">
        <f>A!P2035</f>
        <v>0</v>
      </c>
      <c r="F461" s="210">
        <f>A!E2065</f>
        <v>0</v>
      </c>
      <c r="G461" s="210">
        <f>A!F2065</f>
        <v>0</v>
      </c>
      <c r="H461" s="210">
        <f>A!G2065</f>
        <v>0</v>
      </c>
      <c r="I461" s="160"/>
      <c r="J461" s="426">
        <f t="shared" si="57"/>
        <v>0</v>
      </c>
      <c r="K461" s="210">
        <f t="shared" si="58"/>
        <v>0</v>
      </c>
      <c r="L461" s="27" t="e">
        <f t="shared" si="59"/>
        <v>#DIV/0!</v>
      </c>
      <c r="N461" s="674">
        <f>A!H2065</f>
        <v>0</v>
      </c>
      <c r="P461" s="32"/>
    </row>
    <row r="462" spans="2:16" ht="12" customHeight="1">
      <c r="B462" s="215" t="s">
        <v>298</v>
      </c>
      <c r="C462" s="210">
        <f>A!B2066</f>
        <v>0</v>
      </c>
      <c r="D462" s="210">
        <f>A!C2066</f>
        <v>0</v>
      </c>
      <c r="E462" s="210">
        <f>A!D2066</f>
        <v>0</v>
      </c>
      <c r="F462" s="210">
        <f>A!E2066</f>
        <v>0</v>
      </c>
      <c r="G462" s="210">
        <f>A!F2066</f>
        <v>0</v>
      </c>
      <c r="H462" s="210">
        <f>A!G2066</f>
        <v>0</v>
      </c>
      <c r="I462" s="160"/>
      <c r="J462" s="210">
        <f t="shared" si="57"/>
        <v>0</v>
      </c>
      <c r="K462" s="210">
        <f t="shared" si="58"/>
        <v>0</v>
      </c>
      <c r="L462" s="27" t="e">
        <f t="shared" si="59"/>
        <v>#DIV/0!</v>
      </c>
      <c r="N462" s="674">
        <f>A!H2066</f>
        <v>0</v>
      </c>
      <c r="P462" s="32"/>
    </row>
    <row r="463" spans="2:16" ht="12" customHeight="1">
      <c r="B463" s="215" t="s">
        <v>299</v>
      </c>
      <c r="C463" s="210">
        <f>A!B2067</f>
        <v>0</v>
      </c>
      <c r="D463" s="210">
        <f>A!C2067</f>
        <v>0</v>
      </c>
      <c r="E463" s="210">
        <f>A!D2067</f>
        <v>0</v>
      </c>
      <c r="F463" s="210">
        <f>A!E2067</f>
        <v>-2.2214659799180136E-11</v>
      </c>
      <c r="G463" s="210">
        <f>A!F2067</f>
        <v>0</v>
      </c>
      <c r="H463" s="210">
        <f>A!G2067</f>
        <v>0</v>
      </c>
      <c r="I463" s="160"/>
      <c r="J463" s="210">
        <f t="shared" si="57"/>
        <v>-2.2214659799180136E-11</v>
      </c>
      <c r="K463" s="210">
        <f t="shared" si="58"/>
        <v>0</v>
      </c>
      <c r="L463" s="27">
        <f t="shared" si="59"/>
        <v>-6</v>
      </c>
      <c r="N463" s="674">
        <f>A!H2067</f>
        <v>0</v>
      </c>
      <c r="P463" s="32"/>
    </row>
    <row r="464" spans="2:16" ht="12" customHeight="1">
      <c r="B464" s="215" t="s">
        <v>300</v>
      </c>
      <c r="C464" s="210">
        <f>A!B2068</f>
        <v>0</v>
      </c>
      <c r="D464" s="210">
        <f>A!C2068</f>
        <v>0</v>
      </c>
      <c r="E464" s="210">
        <f>A!D2068</f>
        <v>0</v>
      </c>
      <c r="F464" s="210">
        <f>A!E2068</f>
        <v>3.093090020223066E-12</v>
      </c>
      <c r="G464" s="210"/>
      <c r="H464" s="210">
        <f>A!G2068</f>
        <v>0</v>
      </c>
      <c r="I464" s="160"/>
      <c r="J464" s="210">
        <f t="shared" si="57"/>
        <v>0</v>
      </c>
      <c r="K464" s="210">
        <f t="shared" si="58"/>
        <v>3.093090020223066E-12</v>
      </c>
      <c r="L464" s="27">
        <f t="shared" si="59"/>
        <v>5</v>
      </c>
      <c r="N464" s="674">
        <f>A!H2068</f>
        <v>0</v>
      </c>
      <c r="P464" s="32"/>
    </row>
    <row r="465" spans="2:25" ht="12" customHeight="1">
      <c r="B465" s="215" t="s">
        <v>306</v>
      </c>
      <c r="C465" s="210">
        <f>A!B2069</f>
        <v>0</v>
      </c>
      <c r="D465" s="210">
        <f>A!C2069</f>
        <v>0</v>
      </c>
      <c r="E465" s="210">
        <f>A!D2069</f>
        <v>0</v>
      </c>
      <c r="F465" s="210"/>
      <c r="G465" s="210"/>
      <c r="H465" s="210">
        <f>A!G2069</f>
        <v>0</v>
      </c>
      <c r="I465" s="160"/>
      <c r="J465" s="210">
        <f t="shared" si="57"/>
        <v>0</v>
      </c>
      <c r="K465" s="210">
        <f t="shared" si="58"/>
        <v>0</v>
      </c>
      <c r="L465" s="27" t="e">
        <f t="shared" si="59"/>
        <v>#DIV/0!</v>
      </c>
      <c r="N465" s="674">
        <f>A!H2069</f>
        <v>0</v>
      </c>
      <c r="P465" s="32"/>
    </row>
    <row r="466" spans="2:25" ht="12" customHeight="1">
      <c r="B466" s="215" t="s">
        <v>307</v>
      </c>
      <c r="C466" s="210">
        <f>A!B2070</f>
        <v>0</v>
      </c>
      <c r="D466" s="210">
        <f>A!C2070</f>
        <v>0</v>
      </c>
      <c r="E466" s="210">
        <f>A!D2070</f>
        <v>0</v>
      </c>
      <c r="F466" s="210">
        <f>A!E2070</f>
        <v>-7.6946999119642534E-13</v>
      </c>
      <c r="G466" s="210"/>
      <c r="H466" s="210">
        <f>A!G2070</f>
        <v>0</v>
      </c>
      <c r="I466" s="160"/>
      <c r="J466" s="210">
        <f t="shared" si="57"/>
        <v>-7.6946999119642534E-13</v>
      </c>
      <c r="K466" s="210">
        <f t="shared" si="58"/>
        <v>0</v>
      </c>
      <c r="L466" s="27">
        <f t="shared" si="59"/>
        <v>-5</v>
      </c>
      <c r="N466" s="674">
        <f>A!H2070</f>
        <v>0</v>
      </c>
      <c r="P466" s="32"/>
    </row>
    <row r="467" spans="2:25" ht="12" customHeight="1">
      <c r="B467" s="215" t="s">
        <v>308</v>
      </c>
      <c r="C467" s="210">
        <f>A!B2071</f>
        <v>0</v>
      </c>
      <c r="D467" s="210">
        <f>A!C2071</f>
        <v>0</v>
      </c>
      <c r="E467" s="210">
        <f>A!D2071</f>
        <v>0</v>
      </c>
      <c r="F467" s="210">
        <f>A!E2071</f>
        <v>3.093090020223066E-12</v>
      </c>
      <c r="G467" s="210"/>
      <c r="H467" s="210">
        <f>A!G2071</f>
        <v>0</v>
      </c>
      <c r="I467" s="160"/>
      <c r="J467" s="210">
        <f t="shared" si="57"/>
        <v>0</v>
      </c>
      <c r="K467" s="210">
        <f t="shared" si="58"/>
        <v>3.093090020223066E-12</v>
      </c>
      <c r="L467" s="27">
        <f t="shared" si="59"/>
        <v>5</v>
      </c>
      <c r="N467" s="674">
        <f>A!H2071</f>
        <v>0</v>
      </c>
      <c r="P467" s="32"/>
    </row>
    <row r="468" spans="2:25" ht="12" customHeight="1">
      <c r="B468" s="215" t="s">
        <v>309</v>
      </c>
      <c r="C468" s="210">
        <f>A!B2072</f>
        <v>0</v>
      </c>
      <c r="D468" s="210">
        <f>A!C2072</f>
        <v>0</v>
      </c>
      <c r="E468" s="210">
        <f>A!D2072</f>
        <v>0</v>
      </c>
      <c r="F468" s="210">
        <f>A!E2072</f>
        <v>-9.3203981858802631E-13</v>
      </c>
      <c r="G468" s="210"/>
      <c r="H468" s="210">
        <f>A!G2072</f>
        <v>0</v>
      </c>
      <c r="I468" s="160"/>
      <c r="J468" s="210">
        <f t="shared" si="57"/>
        <v>-9.3203981858802631E-13</v>
      </c>
      <c r="K468" s="210">
        <f t="shared" si="58"/>
        <v>0</v>
      </c>
      <c r="L468" s="27">
        <f t="shared" si="59"/>
        <v>-5</v>
      </c>
      <c r="N468" s="674">
        <f>A!H2072</f>
        <v>0</v>
      </c>
      <c r="P468" s="32"/>
    </row>
    <row r="469" spans="2:25" ht="12" customHeight="1">
      <c r="B469" s="215" t="s">
        <v>301</v>
      </c>
      <c r="C469" s="210">
        <f>A!B2073</f>
        <v>4.9507099999999997E-3</v>
      </c>
      <c r="D469" s="210"/>
      <c r="E469" s="210"/>
      <c r="F469" s="210">
        <f>A!E2073</f>
        <v>5.0315899974096604E-3</v>
      </c>
      <c r="G469" s="210">
        <f>A!F2073</f>
        <v>4.9399999999999999E-3</v>
      </c>
      <c r="H469" s="210">
        <f>A!G2073</f>
        <v>8.3300000000000006E-3</v>
      </c>
      <c r="I469" s="160"/>
      <c r="J469" s="210">
        <f t="shared" si="57"/>
        <v>4.9399999999999999E-3</v>
      </c>
      <c r="K469" s="210">
        <f t="shared" si="58"/>
        <v>8.3300000000000006E-3</v>
      </c>
      <c r="L469" s="27">
        <f t="shared" si="59"/>
        <v>0.58316811676739966</v>
      </c>
      <c r="N469" s="674">
        <f>A!H2073</f>
        <v>0</v>
      </c>
      <c r="P469" s="32"/>
    </row>
    <row r="470" spans="2:25" ht="12" customHeight="1">
      <c r="B470" s="215" t="s">
        <v>302</v>
      </c>
      <c r="C470" s="210">
        <f>A!B2074</f>
        <v>0</v>
      </c>
      <c r="D470" s="210"/>
      <c r="E470" s="210"/>
      <c r="F470" s="210">
        <f>A!E2074</f>
        <v>0</v>
      </c>
      <c r="G470" s="210">
        <f>A!F2074</f>
        <v>0</v>
      </c>
      <c r="H470" s="210">
        <f>A!G2074</f>
        <v>2.0000000000000052E-4</v>
      </c>
      <c r="I470" s="160"/>
      <c r="J470" s="210">
        <f t="shared" si="57"/>
        <v>0</v>
      </c>
      <c r="K470" s="210">
        <f t="shared" si="58"/>
        <v>2.0000000000000052E-4</v>
      </c>
      <c r="L470" s="27">
        <f t="shared" si="59"/>
        <v>4</v>
      </c>
      <c r="N470" s="674">
        <f>A!H2074</f>
        <v>0</v>
      </c>
      <c r="P470" s="32"/>
    </row>
    <row r="471" spans="2:25" ht="12" customHeight="1">
      <c r="B471" s="215" t="s">
        <v>303</v>
      </c>
      <c r="C471" s="210">
        <f>A!B2075</f>
        <v>7.3265999999999956E-4</v>
      </c>
      <c r="D471" s="210"/>
      <c r="E471" s="210"/>
      <c r="F471" s="210">
        <f>A!E2075</f>
        <v>5.3198549017076033E-4</v>
      </c>
      <c r="G471" s="210">
        <f>A!F2075</f>
        <v>3.8399999999999979E-4</v>
      </c>
      <c r="H471" s="210">
        <f>A!G2075</f>
        <v>8.830000000000001E-3</v>
      </c>
      <c r="I471" s="160"/>
      <c r="J471" s="210">
        <f t="shared" si="57"/>
        <v>3.8399999999999979E-4</v>
      </c>
      <c r="K471" s="210">
        <f t="shared" si="58"/>
        <v>8.830000000000001E-3</v>
      </c>
      <c r="L471" s="27">
        <f t="shared" si="59"/>
        <v>3.2240808253023041</v>
      </c>
      <c r="N471" s="674">
        <f>A!H2075</f>
        <v>0</v>
      </c>
      <c r="P471" s="32"/>
    </row>
    <row r="472" spans="2:25" ht="12" customHeight="1">
      <c r="B472" s="215" t="s">
        <v>304</v>
      </c>
      <c r="C472" s="210">
        <f>A!B2076</f>
        <v>-6.1958999999999972E-4</v>
      </c>
      <c r="D472" s="210"/>
      <c r="E472" s="210"/>
      <c r="F472" s="210">
        <f>A!E2076</f>
        <v>-5.1755768053770006E-4</v>
      </c>
      <c r="G472" s="210">
        <f>A!F2076</f>
        <v>-1.4540000000000004E-3</v>
      </c>
      <c r="H472" s="210">
        <f>A!G2076</f>
        <v>-3.6700000000000005E-3</v>
      </c>
      <c r="I472" s="160"/>
      <c r="J472" s="210">
        <f t="shared" si="57"/>
        <v>-3.6700000000000005E-3</v>
      </c>
      <c r="K472" s="210">
        <f t="shared" si="58"/>
        <v>-5.1755768053770006E-4</v>
      </c>
      <c r="L472" s="27">
        <f t="shared" si="59"/>
        <v>-2.013970907769147</v>
      </c>
      <c r="N472" s="674">
        <f>A!H2076</f>
        <v>0</v>
      </c>
      <c r="P472" s="32"/>
    </row>
    <row r="473" spans="2:25" ht="12" customHeight="1" thickBot="1">
      <c r="B473" s="216" t="s">
        <v>305</v>
      </c>
      <c r="C473" s="163">
        <f>A!B2077</f>
        <v>2.0983399999999998E-3</v>
      </c>
      <c r="D473" s="163"/>
      <c r="E473" s="163"/>
      <c r="F473" s="163">
        <f>A!E2077</f>
        <v>2.9797530506810903E-3</v>
      </c>
      <c r="G473" s="163">
        <f>A!F2077</f>
        <v>3.4320000000000002E-3</v>
      </c>
      <c r="H473" s="163">
        <f>A!G2077</f>
        <v>2.8000000000000004E-3</v>
      </c>
      <c r="I473" s="162"/>
      <c r="J473" s="163">
        <f t="shared" si="57"/>
        <v>2.0983399999999998E-3</v>
      </c>
      <c r="K473" s="163">
        <f t="shared" si="58"/>
        <v>3.4320000000000002E-3</v>
      </c>
      <c r="L473" s="30">
        <f t="shared" si="59"/>
        <v>0.47167074365305517</v>
      </c>
      <c r="N473" s="674">
        <f>A!H2077</f>
        <v>0</v>
      </c>
      <c r="P473" s="32"/>
    </row>
    <row r="474" spans="2:25" ht="12" customHeight="1" thickTop="1">
      <c r="D474" s="32" t="s">
        <v>566</v>
      </c>
      <c r="N474" s="673"/>
      <c r="P474" s="32"/>
    </row>
    <row r="475" spans="2:25" ht="12" customHeight="1">
      <c r="N475" s="673"/>
      <c r="P475" s="32"/>
    </row>
    <row r="476" spans="2:25" ht="15.75" customHeight="1" thickBot="1">
      <c r="B476" s="1" t="s">
        <v>441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N476" s="686"/>
      <c r="O476" s="2"/>
      <c r="P476" s="2"/>
      <c r="Q476" s="2"/>
      <c r="R476" s="2"/>
      <c r="S476" s="2"/>
      <c r="T476" s="2"/>
      <c r="U476" s="2"/>
      <c r="V476" s="2"/>
      <c r="W476" s="17"/>
      <c r="X476" s="2"/>
    </row>
    <row r="477" spans="2:25" ht="12" customHeight="1" thickTop="1">
      <c r="B477" s="19" t="s">
        <v>255</v>
      </c>
      <c r="C477" s="144"/>
      <c r="D477" s="145"/>
      <c r="E477" s="144"/>
      <c r="F477" s="145"/>
      <c r="G477" s="145"/>
      <c r="H477" s="145"/>
      <c r="I477" s="140"/>
      <c r="J477" s="20" t="s">
        <v>24</v>
      </c>
      <c r="K477" s="144"/>
      <c r="L477" s="146"/>
      <c r="N477" s="673"/>
    </row>
    <row r="478" spans="2:25" ht="12" customHeight="1">
      <c r="B478" s="170"/>
      <c r="C478" s="205" t="s">
        <v>245</v>
      </c>
      <c r="D478" s="22" t="s">
        <v>536</v>
      </c>
      <c r="E478" s="205" t="s">
        <v>258</v>
      </c>
      <c r="F478" s="352" t="s">
        <v>433</v>
      </c>
      <c r="G478" s="436" t="s">
        <v>469</v>
      </c>
      <c r="H478" s="437" t="s">
        <v>482</v>
      </c>
      <c r="I478" s="438"/>
      <c r="J478" s="200"/>
      <c r="K478" s="200"/>
      <c r="L478" s="23" t="s">
        <v>25</v>
      </c>
      <c r="M478" s="35"/>
      <c r="N478" s="673"/>
    </row>
    <row r="479" spans="2:25" ht="12" customHeight="1">
      <c r="B479" s="171"/>
      <c r="C479" s="24" t="s">
        <v>26</v>
      </c>
      <c r="D479" s="24" t="s">
        <v>13</v>
      </c>
      <c r="E479" s="24" t="s">
        <v>13</v>
      </c>
      <c r="F479" s="353" t="s">
        <v>434</v>
      </c>
      <c r="G479" s="353" t="s">
        <v>452</v>
      </c>
      <c r="H479" s="353" t="s">
        <v>483</v>
      </c>
      <c r="I479" s="439"/>
      <c r="J479" s="24" t="s">
        <v>27</v>
      </c>
      <c r="K479" s="24" t="s">
        <v>28</v>
      </c>
      <c r="L479" s="25" t="s">
        <v>259</v>
      </c>
      <c r="M479" s="35"/>
      <c r="N479" s="685" t="s">
        <v>522</v>
      </c>
      <c r="Y479" s="2"/>
    </row>
    <row r="480" spans="2:25" ht="12" customHeight="1">
      <c r="B480" s="214" t="s">
        <v>295</v>
      </c>
      <c r="C480" s="219">
        <f>A!B2090</f>
        <v>8.9137000000000057</v>
      </c>
      <c r="D480" s="219">
        <f>A!C2090</f>
        <v>30.830000000000013</v>
      </c>
      <c r="E480" s="219">
        <f>A!D2090</f>
        <v>31.850000000000009</v>
      </c>
      <c r="F480" s="219">
        <f>A!E2090</f>
        <v>10.149312913250498</v>
      </c>
      <c r="G480" s="219">
        <f>A!F2090</f>
        <v>9</v>
      </c>
      <c r="H480" s="219">
        <f>A!G2090</f>
        <v>10.75</v>
      </c>
      <c r="I480" s="219"/>
      <c r="J480" s="190">
        <f t="shared" ref="J480:J497" si="60">MINA(C480:I480)</f>
        <v>8.9137000000000057</v>
      </c>
      <c r="K480" s="219">
        <f t="shared" ref="K480:K497" si="61">MAXA(C480:I480)</f>
        <v>31.850000000000009</v>
      </c>
      <c r="L480" s="27">
        <f t="shared" ref="L480:L497" si="62">(K480-J480)/AVERAGE(C480:I480)</f>
        <v>1.3559337342524904</v>
      </c>
      <c r="N480" s="598">
        <f>A!H2090</f>
        <v>0</v>
      </c>
    </row>
    <row r="481" spans="2:25" ht="12" customHeight="1">
      <c r="B481" s="215" t="s">
        <v>296</v>
      </c>
      <c r="C481" s="219">
        <f>A!B2091</f>
        <v>13.046600000000012</v>
      </c>
      <c r="D481" s="219">
        <f>A!C2091</f>
        <v>14.060000000000002</v>
      </c>
      <c r="E481" s="219">
        <f>A!D2091</f>
        <v>14.820000000000007</v>
      </c>
      <c r="F481" s="219">
        <f>A!E2091</f>
        <v>14.938765335370505</v>
      </c>
      <c r="G481" s="219">
        <f>A!F2091</f>
        <v>15</v>
      </c>
      <c r="H481" s="219">
        <f>A!G2091</f>
        <v>14.439999999999998</v>
      </c>
      <c r="I481" s="35"/>
      <c r="J481" s="190">
        <f t="shared" si="60"/>
        <v>13.046600000000012</v>
      </c>
      <c r="K481" s="219">
        <f t="shared" si="61"/>
        <v>15</v>
      </c>
      <c r="L481" s="27">
        <f t="shared" si="62"/>
        <v>0.13580152235560441</v>
      </c>
      <c r="N481" s="598">
        <f>A!H2091</f>
        <v>0</v>
      </c>
    </row>
    <row r="482" spans="2:25" ht="12" customHeight="1">
      <c r="B482" s="215" t="s">
        <v>297</v>
      </c>
      <c r="C482" s="219">
        <f>A!B2092</f>
        <v>7.8699000000000012</v>
      </c>
      <c r="D482" s="219">
        <f>A!C2092</f>
        <v>9.11</v>
      </c>
      <c r="E482" s="219">
        <f>A!D2092</f>
        <v>9.0900000000000034</v>
      </c>
      <c r="F482" s="219">
        <f>A!E2092</f>
        <v>8.8624655632507938</v>
      </c>
      <c r="G482" s="219">
        <f>A!F2092</f>
        <v>8</v>
      </c>
      <c r="H482" s="219">
        <f>A!G2092</f>
        <v>11.260000000000005</v>
      </c>
      <c r="I482" s="35"/>
      <c r="J482" s="190">
        <f t="shared" si="60"/>
        <v>7.8699000000000012</v>
      </c>
      <c r="K482" s="219">
        <f t="shared" si="61"/>
        <v>11.260000000000005</v>
      </c>
      <c r="L482" s="27">
        <f t="shared" si="62"/>
        <v>0.37534069215449584</v>
      </c>
      <c r="N482" s="598">
        <f>A!H2092</f>
        <v>0</v>
      </c>
      <c r="Y482" s="2"/>
    </row>
    <row r="483" spans="2:25" ht="12" customHeight="1">
      <c r="B483" s="215" t="s">
        <v>422</v>
      </c>
      <c r="C483" s="219">
        <f>A!B2093</f>
        <v>-5.176700000000011</v>
      </c>
      <c r="D483" s="219">
        <f>A!C2093</f>
        <v>-4.9500000000000028</v>
      </c>
      <c r="E483" s="219">
        <f>A!D2093</f>
        <v>-5.730000000000004</v>
      </c>
      <c r="F483" s="219">
        <f>A!E2093</f>
        <v>-6.076299772119711</v>
      </c>
      <c r="G483" s="219">
        <f>A!F2093</f>
        <v>-7</v>
      </c>
      <c r="H483" s="219">
        <f>A!G2093</f>
        <v>-3.1799999999999926</v>
      </c>
      <c r="I483" s="35"/>
      <c r="J483" s="150">
        <f t="shared" si="60"/>
        <v>-7</v>
      </c>
      <c r="K483" s="201">
        <f t="shared" si="61"/>
        <v>-3.1799999999999926</v>
      </c>
      <c r="L483" s="27">
        <f t="shared" si="62"/>
        <v>-0.71372964726574761</v>
      </c>
      <c r="N483" s="598">
        <f>A!H2093</f>
        <v>0</v>
      </c>
      <c r="Y483" s="2"/>
    </row>
    <row r="484" spans="2:25" ht="12" customHeight="1">
      <c r="B484" s="215" t="s">
        <v>423</v>
      </c>
      <c r="C484" s="219">
        <f>A!B2094</f>
        <v>11.140100000000004</v>
      </c>
      <c r="D484" s="219">
        <f>A!C2094</f>
        <v>12.02000000000001</v>
      </c>
      <c r="E484" s="219">
        <f>A!D2094</f>
        <v>12.410000000000011</v>
      </c>
      <c r="F484" s="219">
        <f>A!E2094</f>
        <v>12.769080055972296</v>
      </c>
      <c r="G484" s="219">
        <f>A!F2094</f>
        <v>12</v>
      </c>
      <c r="H484" s="219">
        <f>A!G2094</f>
        <v>12.810000000000002</v>
      </c>
      <c r="I484" s="35"/>
      <c r="J484" s="150">
        <f t="shared" si="60"/>
        <v>11.140100000000004</v>
      </c>
      <c r="K484" s="201">
        <f t="shared" si="61"/>
        <v>12.810000000000002</v>
      </c>
      <c r="L484" s="27">
        <f t="shared" si="62"/>
        <v>0.13697214367041902</v>
      </c>
      <c r="N484" s="598">
        <f>A!H2094</f>
        <v>0</v>
      </c>
      <c r="Y484" s="13"/>
    </row>
    <row r="485" spans="2:25" ht="12" customHeight="1">
      <c r="B485" s="215" t="s">
        <v>424</v>
      </c>
      <c r="C485" s="219">
        <f>A!B2095</f>
        <v>-3.2702000000000027</v>
      </c>
      <c r="D485" s="219">
        <f>A!C2095</f>
        <v>-2.9100000000000108</v>
      </c>
      <c r="E485" s="219">
        <f>A!D2095</f>
        <v>-3.3200000000000074</v>
      </c>
      <c r="F485" s="219">
        <f>A!E2095</f>
        <v>-3.9066144927215021</v>
      </c>
      <c r="G485" s="219">
        <f>A!F2095</f>
        <v>-4</v>
      </c>
      <c r="H485" s="219">
        <f>A!G2095</f>
        <v>-1.5499999999999972</v>
      </c>
      <c r="I485" s="35"/>
      <c r="J485" s="150">
        <f t="shared" si="60"/>
        <v>-4</v>
      </c>
      <c r="K485" s="201">
        <f t="shared" si="61"/>
        <v>-1.5499999999999972</v>
      </c>
      <c r="L485" s="27">
        <f t="shared" si="62"/>
        <v>-0.7754467400440137</v>
      </c>
      <c r="N485" s="598">
        <f>A!H2095</f>
        <v>0</v>
      </c>
      <c r="Y485" s="13"/>
    </row>
    <row r="486" spans="2:25" ht="12" customHeight="1">
      <c r="B486" s="215" t="s">
        <v>298</v>
      </c>
      <c r="C486" s="219">
        <f>A!B2096</f>
        <v>0</v>
      </c>
      <c r="D486" s="219">
        <f>A!C2096</f>
        <v>11.77000000000001</v>
      </c>
      <c r="E486" s="219">
        <f>A!D2096</f>
        <v>12.27000000000001</v>
      </c>
      <c r="F486" s="219">
        <f>A!E2096</f>
        <v>0</v>
      </c>
      <c r="G486" s="219">
        <f>A!F2096</f>
        <v>2</v>
      </c>
      <c r="H486" s="219">
        <f>A!G2096</f>
        <v>5.210000000000008</v>
      </c>
      <c r="I486" s="35"/>
      <c r="J486" s="190">
        <f t="shared" si="60"/>
        <v>0</v>
      </c>
      <c r="K486" s="219">
        <f t="shared" si="61"/>
        <v>12.27000000000001</v>
      </c>
      <c r="L486" s="27">
        <f t="shared" si="62"/>
        <v>2.3558399999999997</v>
      </c>
      <c r="N486" s="598">
        <f>A!H2096</f>
        <v>0</v>
      </c>
      <c r="Y486" s="13"/>
    </row>
    <row r="487" spans="2:25" ht="12" customHeight="1">
      <c r="B487" s="215" t="s">
        <v>299</v>
      </c>
      <c r="C487" s="219">
        <f>A!B2097</f>
        <v>0</v>
      </c>
      <c r="D487" s="219">
        <f>A!C2097</f>
        <v>0</v>
      </c>
      <c r="E487" s="219">
        <f>A!D2097</f>
        <v>0</v>
      </c>
      <c r="F487" s="219">
        <f>A!E2097</f>
        <v>-1.7286275519268202E-4</v>
      </c>
      <c r="G487" s="219">
        <f>A!F2097</f>
        <v>0</v>
      </c>
      <c r="H487" s="219">
        <f>A!G2097</f>
        <v>0</v>
      </c>
      <c r="I487" s="35"/>
      <c r="J487" s="190">
        <f t="shared" si="60"/>
        <v>-1.7286275519268202E-4</v>
      </c>
      <c r="K487" s="219">
        <f t="shared" si="61"/>
        <v>0</v>
      </c>
      <c r="L487" s="27">
        <f t="shared" si="62"/>
        <v>-6</v>
      </c>
      <c r="N487" s="598">
        <f>A!H2097</f>
        <v>0</v>
      </c>
      <c r="Y487" s="13"/>
    </row>
    <row r="488" spans="2:25" ht="12" customHeight="1">
      <c r="B488" s="215" t="s">
        <v>300</v>
      </c>
      <c r="C488" s="219">
        <f>A!B2098</f>
        <v>14.964200000000005</v>
      </c>
      <c r="D488" s="219">
        <f>A!C2098</f>
        <v>16.22</v>
      </c>
      <c r="E488" s="219">
        <f>A!D2098</f>
        <v>16.72</v>
      </c>
      <c r="F488" s="219">
        <f>A!E2098</f>
        <v>16.855962498663402</v>
      </c>
      <c r="G488" s="219"/>
      <c r="H488" s="219">
        <f>A!G2098</f>
        <v>18.870000000000005</v>
      </c>
      <c r="I488" s="35"/>
      <c r="J488" s="190">
        <f t="shared" si="60"/>
        <v>14.964200000000005</v>
      </c>
      <c r="K488" s="219">
        <f t="shared" si="61"/>
        <v>18.870000000000005</v>
      </c>
      <c r="L488" s="27">
        <f t="shared" si="62"/>
        <v>0.23351622687941223</v>
      </c>
      <c r="N488" s="598">
        <f>A!H2098</f>
        <v>0</v>
      </c>
      <c r="Y488" s="13"/>
    </row>
    <row r="489" spans="2:25" ht="12" customHeight="1">
      <c r="B489" s="215" t="s">
        <v>306</v>
      </c>
      <c r="C489" s="219">
        <f>A!B2099</f>
        <v>14.435500000000005</v>
      </c>
      <c r="D489" s="219">
        <f>A!C2099</f>
        <v>15.440000000000012</v>
      </c>
      <c r="E489" s="219">
        <f>A!D2099</f>
        <v>15.940000000000012</v>
      </c>
      <c r="F489" s="219"/>
      <c r="G489" s="219"/>
      <c r="H489" s="219">
        <f>A!G2099</f>
        <v>18.740000000000009</v>
      </c>
      <c r="I489" s="35"/>
      <c r="J489" s="190">
        <f t="shared" si="60"/>
        <v>14.435500000000005</v>
      </c>
      <c r="K489" s="219">
        <f t="shared" si="61"/>
        <v>18.740000000000009</v>
      </c>
      <c r="L489" s="27">
        <f t="shared" si="62"/>
        <v>0.26671623641672682</v>
      </c>
      <c r="N489" s="598">
        <f>A!H2099</f>
        <v>0</v>
      </c>
      <c r="Y489" s="13"/>
    </row>
    <row r="490" spans="2:25" ht="12" customHeight="1">
      <c r="B490" s="215" t="s">
        <v>307</v>
      </c>
      <c r="C490" s="219">
        <f>A!B2100</f>
        <v>2.0519000000000034</v>
      </c>
      <c r="D490" s="219">
        <f>A!C2100</f>
        <v>5.1600000000000108</v>
      </c>
      <c r="E490" s="219">
        <f>A!D2100</f>
        <v>2.6800000000000068</v>
      </c>
      <c r="F490" s="219">
        <f>A!E2100</f>
        <v>5.5009144928205984</v>
      </c>
      <c r="G490" s="219"/>
      <c r="H490" s="219">
        <f>A!G2100</f>
        <v>6.4099999999999966</v>
      </c>
      <c r="I490" s="35"/>
      <c r="J490" s="190">
        <f t="shared" si="60"/>
        <v>2.0519000000000034</v>
      </c>
      <c r="K490" s="219">
        <f t="shared" si="61"/>
        <v>6.4099999999999966</v>
      </c>
      <c r="L490" s="27">
        <f t="shared" si="62"/>
        <v>0.99943518792838848</v>
      </c>
      <c r="N490" s="598">
        <f>A!H2100</f>
        <v>0</v>
      </c>
      <c r="Y490" s="13"/>
    </row>
    <row r="491" spans="2:25" ht="12" customHeight="1">
      <c r="B491" s="215" t="s">
        <v>308</v>
      </c>
      <c r="C491" s="219">
        <f>A!B2101</f>
        <v>11.919499999999999</v>
      </c>
      <c r="D491" s="219">
        <f>A!C2101</f>
        <v>9.0800000000000125</v>
      </c>
      <c r="E491" s="219">
        <f>A!D2101</f>
        <v>9.5800000000000125</v>
      </c>
      <c r="F491" s="219">
        <f>A!E2101</f>
        <v>12.939821561060597</v>
      </c>
      <c r="G491" s="219"/>
      <c r="H491" s="219">
        <f>A!G2101</f>
        <v>11.5</v>
      </c>
      <c r="I491" s="35"/>
      <c r="J491" s="190">
        <f t="shared" si="60"/>
        <v>9.0800000000000125</v>
      </c>
      <c r="K491" s="219">
        <f t="shared" si="61"/>
        <v>12.939821561060597</v>
      </c>
      <c r="L491" s="27">
        <f t="shared" si="62"/>
        <v>0.35076964342216965</v>
      </c>
      <c r="N491" s="598">
        <f>A!H2101</f>
        <v>0</v>
      </c>
      <c r="Y491" s="13"/>
    </row>
    <row r="492" spans="2:25" ht="12" customHeight="1">
      <c r="B492" s="215" t="s">
        <v>309</v>
      </c>
      <c r="C492" s="219">
        <f>A!B2102</f>
        <v>-6.4999999999997726E-2</v>
      </c>
      <c r="D492" s="219">
        <f>A!C2102</f>
        <v>0</v>
      </c>
      <c r="E492" s="219">
        <f>A!D2102</f>
        <v>0</v>
      </c>
      <c r="F492" s="219">
        <f>A!E2102</f>
        <v>8.1633970694383606E-9</v>
      </c>
      <c r="G492" s="219"/>
      <c r="H492" s="219">
        <f>A!G2102</f>
        <v>7.000000000000739E-2</v>
      </c>
      <c r="I492" s="35"/>
      <c r="J492" s="190">
        <f t="shared" si="60"/>
        <v>-6.4999999999997726E-2</v>
      </c>
      <c r="K492" s="219">
        <f t="shared" si="61"/>
        <v>7.000000000000739E-2</v>
      </c>
      <c r="L492" s="27">
        <f t="shared" si="62"/>
        <v>134.99977958838321</v>
      </c>
      <c r="N492" s="598">
        <f>A!H2102</f>
        <v>0</v>
      </c>
      <c r="Y492" s="13"/>
    </row>
    <row r="493" spans="2:25" ht="12" customHeight="1">
      <c r="B493" s="215" t="s">
        <v>301</v>
      </c>
      <c r="C493" s="219">
        <f>A!B2103</f>
        <v>31.210800000000006</v>
      </c>
      <c r="D493" s="219"/>
      <c r="E493" s="219"/>
      <c r="F493" s="219">
        <f>A!E2103</f>
        <v>32.223834515069001</v>
      </c>
      <c r="G493" s="219">
        <f>A!F2103</f>
        <v>32</v>
      </c>
      <c r="H493" s="219">
        <f>A!G2103</f>
        <v>-7.3599999999999994</v>
      </c>
      <c r="I493" s="35"/>
      <c r="J493" s="190">
        <f t="shared" si="60"/>
        <v>-7.3599999999999994</v>
      </c>
      <c r="K493" s="219">
        <f t="shared" si="61"/>
        <v>32.223834515069001</v>
      </c>
      <c r="L493" s="27">
        <f t="shared" si="62"/>
        <v>1.7977405064699512</v>
      </c>
      <c r="N493" s="598">
        <f>A!H2103</f>
        <v>0</v>
      </c>
      <c r="Y493" s="13"/>
    </row>
    <row r="494" spans="2:25" ht="12" customHeight="1">
      <c r="B494" s="215" t="s">
        <v>302</v>
      </c>
      <c r="C494" s="219">
        <f>A!B2104</f>
        <v>0</v>
      </c>
      <c r="D494" s="219"/>
      <c r="E494" s="219"/>
      <c r="F494" s="219">
        <f>A!E2104</f>
        <v>0</v>
      </c>
      <c r="G494" s="219">
        <f>A!F2104</f>
        <v>0</v>
      </c>
      <c r="H494" s="219">
        <f>A!G2104</f>
        <v>-2.5700000000000003</v>
      </c>
      <c r="I494" s="35"/>
      <c r="J494" s="190">
        <f t="shared" si="60"/>
        <v>-2.5700000000000003</v>
      </c>
      <c r="K494" s="219">
        <f t="shared" si="61"/>
        <v>0</v>
      </c>
      <c r="L494" s="27">
        <f t="shared" si="62"/>
        <v>-4</v>
      </c>
      <c r="N494" s="598">
        <f>A!H2104</f>
        <v>0</v>
      </c>
      <c r="Y494" s="13"/>
    </row>
    <row r="495" spans="2:25" ht="12" customHeight="1">
      <c r="B495" s="215" t="s">
        <v>303</v>
      </c>
      <c r="C495" s="219">
        <f>A!B2105</f>
        <v>9.7700999999999993</v>
      </c>
      <c r="D495" s="219"/>
      <c r="E495" s="219"/>
      <c r="F495" s="219">
        <f>A!E2105</f>
        <v>6.3958273547321056</v>
      </c>
      <c r="G495" s="219">
        <f>A!F2105</f>
        <v>5</v>
      </c>
      <c r="H495" s="219">
        <f>A!G2105</f>
        <v>-20.65</v>
      </c>
      <c r="I495" s="35"/>
      <c r="J495" s="190">
        <f t="shared" si="60"/>
        <v>-20.65</v>
      </c>
      <c r="K495" s="219">
        <f t="shared" si="61"/>
        <v>9.7700999999999993</v>
      </c>
      <c r="L495" s="27">
        <f t="shared" si="62"/>
        <v>235.84793262838747</v>
      </c>
      <c r="N495" s="598">
        <f>A!H2105</f>
        <v>0</v>
      </c>
      <c r="Y495" s="13"/>
    </row>
    <row r="496" spans="2:25" ht="12" customHeight="1">
      <c r="B496" s="215" t="s">
        <v>304</v>
      </c>
      <c r="C496" s="219">
        <f>A!B2106</f>
        <v>-8.9555000000000007</v>
      </c>
      <c r="D496" s="219"/>
      <c r="E496" s="219"/>
      <c r="F496" s="219">
        <f>A!E2106</f>
        <v>-8.3019601112615931</v>
      </c>
      <c r="G496" s="219">
        <f>A!F2106</f>
        <v>-21</v>
      </c>
      <c r="H496" s="219">
        <f>A!G2106</f>
        <v>-24.07</v>
      </c>
      <c r="I496" s="35"/>
      <c r="J496" s="190">
        <f t="shared" si="60"/>
        <v>-24.07</v>
      </c>
      <c r="K496" s="219">
        <f t="shared" si="61"/>
        <v>-8.3019601112615931</v>
      </c>
      <c r="L496" s="27">
        <f t="shared" si="62"/>
        <v>-1.0119481756895381</v>
      </c>
      <c r="N496" s="598">
        <f>A!H2106</f>
        <v>0</v>
      </c>
      <c r="Y496" s="13"/>
    </row>
    <row r="497" spans="2:25" ht="12" customHeight="1" thickBot="1">
      <c r="B497" s="216" t="s">
        <v>305</v>
      </c>
      <c r="C497" s="191">
        <f>A!B2107</f>
        <v>29.602200000000003</v>
      </c>
      <c r="D497" s="158"/>
      <c r="E497" s="158"/>
      <c r="F497" s="158">
        <f>A!E2107</f>
        <v>41.218246396649896</v>
      </c>
      <c r="G497" s="158">
        <f>A!F2107</f>
        <v>50</v>
      </c>
      <c r="H497" s="158">
        <f>A!G2107</f>
        <v>-15.82</v>
      </c>
      <c r="I497" s="142"/>
      <c r="J497" s="191">
        <f t="shared" si="60"/>
        <v>-15.82</v>
      </c>
      <c r="K497" s="158">
        <f t="shared" si="61"/>
        <v>50</v>
      </c>
      <c r="L497" s="30">
        <f t="shared" si="62"/>
        <v>2.5074179114004234</v>
      </c>
      <c r="N497" s="598">
        <f>A!H2107</f>
        <v>0</v>
      </c>
      <c r="Y497" s="13"/>
    </row>
    <row r="498" spans="2:25" ht="12" customHeight="1" thickTop="1">
      <c r="B498" s="19" t="s">
        <v>256</v>
      </c>
      <c r="C498" s="144"/>
      <c r="D498" s="145"/>
      <c r="E498" s="144"/>
      <c r="F498" s="145"/>
      <c r="G498" s="145"/>
      <c r="H498" s="145"/>
      <c r="I498" s="140"/>
      <c r="J498" s="20" t="s">
        <v>24</v>
      </c>
      <c r="K498" s="144"/>
      <c r="L498" s="146"/>
      <c r="N498" s="673"/>
    </row>
    <row r="499" spans="2:25" ht="12" customHeight="1">
      <c r="B499" s="170"/>
      <c r="C499" s="205" t="s">
        <v>245</v>
      </c>
      <c r="D499" s="22" t="s">
        <v>536</v>
      </c>
      <c r="E499" s="205" t="s">
        <v>258</v>
      </c>
      <c r="F499" s="352" t="s">
        <v>433</v>
      </c>
      <c r="G499" s="436" t="s">
        <v>469</v>
      </c>
      <c r="H499" s="437" t="s">
        <v>482</v>
      </c>
      <c r="I499" s="438"/>
      <c r="J499" s="200"/>
      <c r="K499" s="200"/>
      <c r="L499" s="23" t="s">
        <v>25</v>
      </c>
      <c r="N499" s="673"/>
    </row>
    <row r="500" spans="2:25" ht="12" customHeight="1">
      <c r="B500" s="171"/>
      <c r="C500" s="24" t="s">
        <v>26</v>
      </c>
      <c r="D500" s="24" t="s">
        <v>13</v>
      </c>
      <c r="E500" s="24" t="s">
        <v>13</v>
      </c>
      <c r="F500" s="353" t="s">
        <v>434</v>
      </c>
      <c r="G500" s="353" t="s">
        <v>452</v>
      </c>
      <c r="H500" s="353" t="s">
        <v>483</v>
      </c>
      <c r="I500" s="439"/>
      <c r="J500" s="24" t="s">
        <v>27</v>
      </c>
      <c r="K500" s="24" t="s">
        <v>28</v>
      </c>
      <c r="L500" s="25" t="s">
        <v>259</v>
      </c>
      <c r="N500" s="685" t="s">
        <v>522</v>
      </c>
    </row>
    <row r="501" spans="2:25" ht="12" customHeight="1">
      <c r="B501" s="214" t="s">
        <v>295</v>
      </c>
      <c r="C501" s="219">
        <f>A!B2120</f>
        <v>5.8599999999998431E-2</v>
      </c>
      <c r="D501" s="219">
        <f>A!C2120</f>
        <v>0</v>
      </c>
      <c r="E501" s="219">
        <f>A!D2120</f>
        <v>0</v>
      </c>
      <c r="F501" s="219">
        <f>A!E2120</f>
        <v>1.0831938622639008</v>
      </c>
      <c r="G501" s="219">
        <f>A!F2120</f>
        <v>1</v>
      </c>
      <c r="H501" s="219">
        <f>A!G2120</f>
        <v>0.99000000000000021</v>
      </c>
      <c r="I501" s="219"/>
      <c r="J501" s="471">
        <f t="shared" ref="J501:J518" si="63">MINA(C501:I501)</f>
        <v>0</v>
      </c>
      <c r="K501" s="219">
        <f t="shared" ref="K501:K518" si="64">MAXA(C501:I501)</f>
        <v>1.0831938622639008</v>
      </c>
      <c r="L501" s="27">
        <f t="shared" ref="L501:L518" si="65">(K501-J501)/AVERAGE(C501:I501)</f>
        <v>2.0752206113863809</v>
      </c>
      <c r="N501" s="598">
        <f>A!H2120</f>
        <v>0</v>
      </c>
    </row>
    <row r="502" spans="2:25" ht="12" customHeight="1">
      <c r="B502" s="215" t="s">
        <v>296</v>
      </c>
      <c r="C502" s="219">
        <f>A!B2121</f>
        <v>0</v>
      </c>
      <c r="D502" s="219">
        <f>A!C2121</f>
        <v>0</v>
      </c>
      <c r="E502" s="219">
        <f>A!D2121</f>
        <v>0</v>
      </c>
      <c r="F502" s="219">
        <f>A!E2121</f>
        <v>0.40958801792440092</v>
      </c>
      <c r="G502" s="219">
        <f>A!F2121</f>
        <v>0</v>
      </c>
      <c r="H502" s="219">
        <f>A!G2121</f>
        <v>-2.0199999999999996</v>
      </c>
      <c r="I502" s="155"/>
      <c r="J502" s="219">
        <f t="shared" si="63"/>
        <v>-2.0199999999999996</v>
      </c>
      <c r="K502" s="219">
        <f t="shared" si="64"/>
        <v>0.40958801792440092</v>
      </c>
      <c r="L502" s="27">
        <f t="shared" si="65"/>
        <v>-9.0520489600170411</v>
      </c>
      <c r="M502" s="2"/>
      <c r="N502" s="598">
        <f>A!H2121</f>
        <v>0</v>
      </c>
      <c r="O502" s="2"/>
      <c r="P502" s="10"/>
      <c r="Q502" s="10"/>
      <c r="R502" s="10"/>
      <c r="S502" s="2"/>
      <c r="T502" s="2"/>
      <c r="U502" s="2"/>
      <c r="V502" s="2"/>
      <c r="W502" s="2"/>
      <c r="X502" s="2"/>
      <c r="Y502" s="2"/>
    </row>
    <row r="503" spans="2:25" ht="12" customHeight="1">
      <c r="B503" s="215" t="s">
        <v>297</v>
      </c>
      <c r="C503" s="219">
        <f>A!B2122</f>
        <v>0</v>
      </c>
      <c r="D503" s="219">
        <f>A!C2122</f>
        <v>0</v>
      </c>
      <c r="E503" s="219">
        <f>A!D2122</f>
        <v>0</v>
      </c>
      <c r="F503" s="219">
        <f>A!E2122</f>
        <v>1.1523256510059809E-4</v>
      </c>
      <c r="G503" s="219">
        <f>A!F2122</f>
        <v>0</v>
      </c>
      <c r="H503" s="219">
        <f>A!G2122</f>
        <v>0</v>
      </c>
      <c r="I503" s="155"/>
      <c r="J503" s="219">
        <f t="shared" si="63"/>
        <v>0</v>
      </c>
      <c r="K503" s="219">
        <f t="shared" si="64"/>
        <v>1.1523256510059809E-4</v>
      </c>
      <c r="L503" s="27">
        <f t="shared" si="65"/>
        <v>6</v>
      </c>
      <c r="M503" s="2"/>
      <c r="N503" s="598">
        <f>A!H2122</f>
        <v>0</v>
      </c>
      <c r="O503" s="2"/>
      <c r="P503" s="10"/>
      <c r="Q503" s="10"/>
      <c r="R503" s="10"/>
      <c r="S503" s="2"/>
      <c r="T503" s="2"/>
      <c r="U503" s="2"/>
      <c r="V503" s="2"/>
      <c r="W503" s="2"/>
      <c r="X503" s="2"/>
      <c r="Y503" s="2"/>
    </row>
    <row r="504" spans="2:25" ht="12" customHeight="1">
      <c r="B504" s="215" t="s">
        <v>422</v>
      </c>
      <c r="C504" s="219">
        <f>A!B2123</f>
        <v>0</v>
      </c>
      <c r="D504" s="219">
        <f>A!C2123</f>
        <v>0</v>
      </c>
      <c r="E504" s="219">
        <f>A!D2123</f>
        <v>0</v>
      </c>
      <c r="F504" s="219">
        <f>A!E2123</f>
        <v>-0.40947278535930032</v>
      </c>
      <c r="G504" s="219">
        <f>A!F2123</f>
        <v>0</v>
      </c>
      <c r="H504" s="219">
        <f>A!G2123</f>
        <v>2.0199999999999996</v>
      </c>
      <c r="I504" s="155"/>
      <c r="J504" s="190">
        <f t="shared" si="63"/>
        <v>-0.40947278535930032</v>
      </c>
      <c r="K504" s="219">
        <f t="shared" si="64"/>
        <v>2.0199999999999996</v>
      </c>
      <c r="L504" s="27">
        <f t="shared" si="65"/>
        <v>9.0509719920552989</v>
      </c>
      <c r="M504" s="2"/>
      <c r="N504" s="598">
        <f>A!H2123</f>
        <v>0</v>
      </c>
      <c r="O504" s="2"/>
      <c r="P504" s="16"/>
      <c r="Q504" s="16"/>
      <c r="R504" s="16"/>
      <c r="S504" s="2"/>
      <c r="T504" s="2"/>
      <c r="U504" s="2"/>
      <c r="V504" s="2"/>
      <c r="W504" s="2"/>
      <c r="X504" s="2"/>
      <c r="Y504" s="2"/>
    </row>
    <row r="505" spans="2:25" ht="12" customHeight="1">
      <c r="B505" s="215" t="s">
        <v>423</v>
      </c>
      <c r="C505" s="219">
        <f>A!B2124</f>
        <v>0</v>
      </c>
      <c r="D505" s="219">
        <f>A!C2124</f>
        <v>0</v>
      </c>
      <c r="E505" s="219">
        <f>A!D2124</f>
        <v>0</v>
      </c>
      <c r="F505" s="219">
        <f>A!E2124</f>
        <v>1.1523256510059809E-4</v>
      </c>
      <c r="G505" s="219">
        <f>A!F2124</f>
        <v>0</v>
      </c>
      <c r="H505" s="219">
        <f>A!G2124</f>
        <v>0</v>
      </c>
      <c r="I505" s="155"/>
      <c r="J505" s="190">
        <f t="shared" si="63"/>
        <v>0</v>
      </c>
      <c r="K505" s="219">
        <f t="shared" si="64"/>
        <v>1.1523256510059809E-4</v>
      </c>
      <c r="L505" s="27">
        <f t="shared" si="65"/>
        <v>6</v>
      </c>
      <c r="M505" s="2"/>
      <c r="N505" s="598">
        <f>A!H2124</f>
        <v>0</v>
      </c>
      <c r="O505" s="2"/>
      <c r="P505" s="16"/>
      <c r="Q505" s="16"/>
      <c r="R505" s="16"/>
      <c r="S505" s="2"/>
      <c r="T505" s="2"/>
      <c r="U505" s="2"/>
      <c r="V505" s="2"/>
      <c r="W505" s="2"/>
      <c r="X505" s="2"/>
      <c r="Y505" s="2"/>
    </row>
    <row r="506" spans="2:25" ht="12" customHeight="1">
      <c r="B506" s="215" t="s">
        <v>424</v>
      </c>
      <c r="C506" s="219">
        <f>A!B2125</f>
        <v>0</v>
      </c>
      <c r="D506" s="219">
        <f>A!C2125</f>
        <v>0</v>
      </c>
      <c r="E506" s="219">
        <f>A!D2125</f>
        <v>0</v>
      </c>
      <c r="F506" s="219">
        <f>A!E2125</f>
        <v>0</v>
      </c>
      <c r="G506" s="219">
        <f>A!F2125</f>
        <v>0</v>
      </c>
      <c r="H506" s="219">
        <f>A!G2125</f>
        <v>0</v>
      </c>
      <c r="I506" s="155"/>
      <c r="J506" s="190">
        <f t="shared" si="63"/>
        <v>0</v>
      </c>
      <c r="K506" s="219">
        <f t="shared" si="64"/>
        <v>0</v>
      </c>
      <c r="L506" s="27" t="e">
        <f t="shared" si="65"/>
        <v>#DIV/0!</v>
      </c>
      <c r="M506" s="2"/>
      <c r="N506" s="598">
        <f>A!H2125</f>
        <v>0</v>
      </c>
      <c r="O506" s="2"/>
      <c r="P506" s="16"/>
      <c r="Q506" s="16"/>
      <c r="R506" s="16"/>
      <c r="S506" s="2"/>
      <c r="T506" s="2"/>
      <c r="U506" s="2"/>
      <c r="V506" s="2"/>
      <c r="W506" s="2"/>
      <c r="X506" s="2"/>
      <c r="Y506" s="2"/>
    </row>
    <row r="507" spans="2:25" ht="12" customHeight="1">
      <c r="B507" s="215" t="s">
        <v>298</v>
      </c>
      <c r="C507" s="219">
        <f>A!B2126</f>
        <v>0</v>
      </c>
      <c r="D507" s="219">
        <f>A!C2126</f>
        <v>0</v>
      </c>
      <c r="E507" s="219">
        <f>A!D2126</f>
        <v>0</v>
      </c>
      <c r="F507" s="219">
        <f>A!E2126</f>
        <v>0</v>
      </c>
      <c r="G507" s="219">
        <f>A!F2126</f>
        <v>0</v>
      </c>
      <c r="H507" s="219">
        <f>A!G2126</f>
        <v>0</v>
      </c>
      <c r="I507" s="155"/>
      <c r="J507" s="219">
        <f t="shared" si="63"/>
        <v>0</v>
      </c>
      <c r="K507" s="219">
        <f t="shared" si="64"/>
        <v>0</v>
      </c>
      <c r="L507" s="27" t="e">
        <f t="shared" si="65"/>
        <v>#DIV/0!</v>
      </c>
      <c r="M507" s="2"/>
      <c r="N507" s="598">
        <f>A!H2126</f>
        <v>0</v>
      </c>
      <c r="O507" s="2"/>
      <c r="P507" s="16"/>
      <c r="Q507" s="16"/>
      <c r="R507" s="16"/>
      <c r="S507" s="2"/>
      <c r="T507" s="2"/>
      <c r="U507" s="2"/>
      <c r="V507" s="2"/>
      <c r="W507" s="2"/>
      <c r="X507" s="2"/>
      <c r="Y507" s="2"/>
    </row>
    <row r="508" spans="2:25" ht="12" customHeight="1">
      <c r="B508" s="215" t="s">
        <v>299</v>
      </c>
      <c r="C508" s="219">
        <f>A!B2127</f>
        <v>0</v>
      </c>
      <c r="D508" s="219">
        <f>A!C2127</f>
        <v>0</v>
      </c>
      <c r="E508" s="219">
        <f>A!D2127</f>
        <v>0</v>
      </c>
      <c r="F508" s="219">
        <f>A!E2127</f>
        <v>-5.6977901598642688E-5</v>
      </c>
      <c r="G508" s="219">
        <f>A!F2127</f>
        <v>0</v>
      </c>
      <c r="H508" s="219">
        <f>A!G2127</f>
        <v>0</v>
      </c>
      <c r="I508" s="155"/>
      <c r="J508" s="219">
        <f t="shared" si="63"/>
        <v>-5.6977901598642688E-5</v>
      </c>
      <c r="K508" s="219">
        <f t="shared" si="64"/>
        <v>0</v>
      </c>
      <c r="L508" s="27">
        <f t="shared" si="65"/>
        <v>-6</v>
      </c>
      <c r="M508" s="2"/>
      <c r="N508" s="598">
        <f>A!H2127</f>
        <v>0</v>
      </c>
      <c r="O508" s="2"/>
      <c r="P508" s="16"/>
      <c r="Q508" s="16"/>
      <c r="R508" s="16"/>
      <c r="S508" s="2"/>
      <c r="T508" s="2"/>
      <c r="U508" s="2"/>
      <c r="V508" s="2"/>
      <c r="W508" s="2"/>
      <c r="X508" s="2"/>
      <c r="Y508" s="2"/>
    </row>
    <row r="509" spans="2:25" ht="12" customHeight="1">
      <c r="B509" s="215" t="s">
        <v>300</v>
      </c>
      <c r="C509" s="219">
        <f>A!B2128</f>
        <v>-0.1222000000000012</v>
      </c>
      <c r="D509" s="219">
        <f>A!C2128</f>
        <v>0</v>
      </c>
      <c r="E509" s="219">
        <f>A!D2128</f>
        <v>0</v>
      </c>
      <c r="F509" s="219">
        <f>A!E2128</f>
        <v>-0.46234494185489972</v>
      </c>
      <c r="G509" s="219"/>
      <c r="H509" s="219">
        <f>A!G2128</f>
        <v>-0.36999999999999922</v>
      </c>
      <c r="I509" s="155"/>
      <c r="J509" s="219">
        <f t="shared" si="63"/>
        <v>-0.46234494185489972</v>
      </c>
      <c r="K509" s="219">
        <f t="shared" si="64"/>
        <v>0</v>
      </c>
      <c r="L509" s="27">
        <f t="shared" si="65"/>
        <v>-2.4218081390513539</v>
      </c>
      <c r="M509" s="2"/>
      <c r="N509" s="598">
        <f>A!H2128</f>
        <v>0</v>
      </c>
      <c r="O509" s="2"/>
      <c r="P509" s="16"/>
      <c r="Q509" s="16"/>
      <c r="R509" s="16"/>
      <c r="S509" s="2"/>
      <c r="T509" s="2"/>
      <c r="U509" s="2"/>
      <c r="V509" s="2"/>
      <c r="W509" s="2"/>
      <c r="X509" s="2"/>
      <c r="Y509" s="2"/>
    </row>
    <row r="510" spans="2:25" ht="12" customHeight="1">
      <c r="B510" s="215" t="s">
        <v>306</v>
      </c>
      <c r="C510" s="219">
        <f>A!B2129</f>
        <v>-0.12210000000000143</v>
      </c>
      <c r="D510" s="219">
        <f>A!C2129</f>
        <v>0</v>
      </c>
      <c r="E510" s="219">
        <f>A!D2129</f>
        <v>0</v>
      </c>
      <c r="F510" s="219"/>
      <c r="G510" s="219"/>
      <c r="H510" s="219">
        <f>A!G2129</f>
        <v>-0.35999999999999943</v>
      </c>
      <c r="I510" s="155"/>
      <c r="J510" s="219">
        <f t="shared" si="63"/>
        <v>-0.35999999999999943</v>
      </c>
      <c r="K510" s="219">
        <f t="shared" si="64"/>
        <v>0</v>
      </c>
      <c r="L510" s="27">
        <f t="shared" si="65"/>
        <v>-2.9869321717485899</v>
      </c>
      <c r="M510" s="2"/>
      <c r="N510" s="598">
        <f>A!H2129</f>
        <v>0</v>
      </c>
      <c r="O510" s="2"/>
      <c r="P510" s="16"/>
      <c r="Q510" s="16"/>
      <c r="R510" s="16"/>
      <c r="S510" s="2"/>
      <c r="T510" s="2"/>
      <c r="U510" s="2"/>
      <c r="V510" s="2"/>
      <c r="W510" s="2"/>
      <c r="X510" s="2"/>
      <c r="Y510" s="2"/>
    </row>
    <row r="511" spans="2:25" ht="12" customHeight="1">
      <c r="B511" s="215" t="s">
        <v>307</v>
      </c>
      <c r="C511" s="219">
        <f>A!B2130</f>
        <v>-0.12130000000000152</v>
      </c>
      <c r="D511" s="219">
        <f>A!C2130</f>
        <v>0</v>
      </c>
      <c r="E511" s="219">
        <f>A!D2130</f>
        <v>0</v>
      </c>
      <c r="F511" s="219">
        <f>A!E2130</f>
        <v>-0.46223752044990007</v>
      </c>
      <c r="G511" s="219"/>
      <c r="H511" s="219">
        <f>A!G2130</f>
        <v>-0.34999999999999964</v>
      </c>
      <c r="I511" s="155"/>
      <c r="J511" s="219">
        <f t="shared" si="63"/>
        <v>-0.46223752044990007</v>
      </c>
      <c r="K511" s="219">
        <f t="shared" si="64"/>
        <v>0</v>
      </c>
      <c r="L511" s="27">
        <f t="shared" si="65"/>
        <v>-2.4757308106220157</v>
      </c>
      <c r="M511" s="2"/>
      <c r="N511" s="598">
        <f>A!H2130</f>
        <v>0</v>
      </c>
      <c r="O511" s="2"/>
      <c r="P511" s="16"/>
      <c r="Q511" s="16"/>
      <c r="R511" s="16"/>
      <c r="S511" s="2"/>
      <c r="T511" s="2"/>
      <c r="U511" s="2"/>
      <c r="V511" s="2"/>
      <c r="W511" s="2"/>
      <c r="X511" s="2"/>
      <c r="Y511" s="2"/>
    </row>
    <row r="512" spans="2:25" ht="12" customHeight="1">
      <c r="B512" s="215" t="s">
        <v>308</v>
      </c>
      <c r="C512" s="219">
        <f>A!B2131</f>
        <v>-0.12340000000000018</v>
      </c>
      <c r="D512" s="219">
        <f>A!C2131</f>
        <v>0</v>
      </c>
      <c r="E512" s="219">
        <f>A!D2131</f>
        <v>0</v>
      </c>
      <c r="F512" s="219">
        <f>A!E2131</f>
        <v>-0.46234511721419835</v>
      </c>
      <c r="G512" s="219"/>
      <c r="H512" s="219">
        <f>A!G2131</f>
        <v>-0.35999999999999943</v>
      </c>
      <c r="I512" s="155"/>
      <c r="J512" s="219">
        <f t="shared" si="63"/>
        <v>-0.46234511721419835</v>
      </c>
      <c r="K512" s="219">
        <f t="shared" si="64"/>
        <v>0</v>
      </c>
      <c r="L512" s="27">
        <f t="shared" si="65"/>
        <v>-2.4443431364260677</v>
      </c>
      <c r="M512" s="2"/>
      <c r="N512" s="598">
        <f>A!H2131</f>
        <v>0</v>
      </c>
      <c r="O512" s="2"/>
      <c r="P512" s="16"/>
      <c r="Q512" s="16"/>
      <c r="R512" s="16"/>
      <c r="S512" s="2"/>
      <c r="T512" s="2"/>
      <c r="U512" s="2"/>
      <c r="V512" s="2"/>
      <c r="W512" s="2"/>
      <c r="X512" s="2"/>
      <c r="Y512" s="2"/>
    </row>
    <row r="513" spans="2:25" ht="12" customHeight="1">
      <c r="B513" s="215" t="s">
        <v>309</v>
      </c>
      <c r="C513" s="219">
        <f>A!B2132</f>
        <v>-0.12430000000000163</v>
      </c>
      <c r="D513" s="219">
        <f>A!C2132</f>
        <v>0</v>
      </c>
      <c r="E513" s="219">
        <f>A!D2132</f>
        <v>0</v>
      </c>
      <c r="F513" s="219">
        <f>A!E2132</f>
        <v>-0.4623472495845995</v>
      </c>
      <c r="G513" s="219"/>
      <c r="H513" s="219">
        <f>A!G2132</f>
        <v>-0.40000000000000036</v>
      </c>
      <c r="I513" s="155"/>
      <c r="J513" s="219">
        <f t="shared" si="63"/>
        <v>-0.4623472495845995</v>
      </c>
      <c r="K513" s="219">
        <f t="shared" si="64"/>
        <v>0</v>
      </c>
      <c r="L513" s="27">
        <f t="shared" si="65"/>
        <v>-2.3430220363927283</v>
      </c>
      <c r="M513" s="2"/>
      <c r="N513" s="598">
        <f>A!H2132</f>
        <v>0</v>
      </c>
      <c r="O513" s="2"/>
      <c r="P513" s="16"/>
      <c r="Q513" s="16"/>
      <c r="R513" s="16"/>
      <c r="S513" s="2"/>
      <c r="T513" s="2"/>
      <c r="U513" s="2"/>
      <c r="V513" s="2"/>
      <c r="W513" s="2"/>
      <c r="X513" s="2"/>
      <c r="Y513" s="2"/>
    </row>
    <row r="514" spans="2:25" ht="12" customHeight="1">
      <c r="B514" s="215" t="s">
        <v>301</v>
      </c>
      <c r="C514" s="219">
        <f>A!B2133</f>
        <v>40.074199999999998</v>
      </c>
      <c r="D514" s="219"/>
      <c r="E514" s="219"/>
      <c r="F514" s="219">
        <f>A!E2133</f>
        <v>39.037812542884602</v>
      </c>
      <c r="G514" s="219">
        <f>A!F2133</f>
        <v>39</v>
      </c>
      <c r="H514" s="219">
        <f>A!G2133</f>
        <v>37.89</v>
      </c>
      <c r="I514" s="155"/>
      <c r="J514" s="219">
        <f t="shared" si="63"/>
        <v>37.89</v>
      </c>
      <c r="K514" s="219">
        <f t="shared" si="64"/>
        <v>40.074199999999998</v>
      </c>
      <c r="L514" s="27">
        <f t="shared" si="65"/>
        <v>5.6004405696998702E-2</v>
      </c>
      <c r="M514" s="2"/>
      <c r="N514" s="598">
        <f>A!H2133</f>
        <v>0</v>
      </c>
      <c r="O514" s="2"/>
      <c r="P514" s="16"/>
      <c r="Q514" s="16"/>
      <c r="R514" s="16"/>
      <c r="S514" s="2"/>
      <c r="T514" s="2"/>
      <c r="U514" s="2"/>
      <c r="V514" s="2"/>
      <c r="W514" s="2"/>
      <c r="X514" s="2"/>
      <c r="Y514" s="2"/>
    </row>
    <row r="515" spans="2:25" ht="12" customHeight="1">
      <c r="B515" s="215" t="s">
        <v>302</v>
      </c>
      <c r="C515" s="219">
        <f>A!B2134</f>
        <v>-1.3175000000000026</v>
      </c>
      <c r="D515" s="219"/>
      <c r="E515" s="219"/>
      <c r="F515" s="219">
        <f>A!E2134</f>
        <v>0.10666299034859605</v>
      </c>
      <c r="G515" s="219">
        <f>A!F2134</f>
        <v>0</v>
      </c>
      <c r="H515" s="219">
        <f>A!G2134</f>
        <v>0.32000000000000028</v>
      </c>
      <c r="I515" s="155"/>
      <c r="J515" s="219">
        <f t="shared" si="63"/>
        <v>-1.3175000000000026</v>
      </c>
      <c r="K515" s="219">
        <f t="shared" si="64"/>
        <v>0.32000000000000028</v>
      </c>
      <c r="L515" s="27">
        <f t="shared" si="65"/>
        <v>-7.3526356999504259</v>
      </c>
      <c r="M515" s="2"/>
      <c r="N515" s="598">
        <f>A!H2134</f>
        <v>0</v>
      </c>
      <c r="O515" s="2"/>
      <c r="P515" s="16"/>
      <c r="Q515" s="16"/>
      <c r="R515" s="16"/>
      <c r="S515" s="2"/>
      <c r="T515" s="2"/>
      <c r="U515" s="2"/>
      <c r="V515" s="2"/>
      <c r="W515" s="2"/>
      <c r="X515" s="2"/>
      <c r="Y515" s="2"/>
    </row>
    <row r="516" spans="2:25">
      <c r="B516" s="215" t="s">
        <v>303</v>
      </c>
      <c r="C516" s="219">
        <f>A!B2135</f>
        <v>-15.7395</v>
      </c>
      <c r="D516" s="219"/>
      <c r="E516" s="219"/>
      <c r="F516" s="219">
        <f>A!E2135</f>
        <v>-15.0875440977998</v>
      </c>
      <c r="G516" s="219">
        <f>A!F2135</f>
        <v>-17</v>
      </c>
      <c r="H516" s="219">
        <f>A!G2135</f>
        <v>-17.5</v>
      </c>
      <c r="I516" s="155"/>
      <c r="J516" s="219">
        <f t="shared" si="63"/>
        <v>-17.5</v>
      </c>
      <c r="K516" s="219">
        <f t="shared" si="64"/>
        <v>-15.0875440977998</v>
      </c>
      <c r="L516" s="27">
        <f t="shared" si="65"/>
        <v>-0.14771560143382953</v>
      </c>
      <c r="M516" s="2"/>
      <c r="N516" s="598">
        <f>A!H2135</f>
        <v>0</v>
      </c>
      <c r="O516" s="2"/>
      <c r="P516" s="16"/>
      <c r="Q516" s="16"/>
      <c r="R516" s="16"/>
      <c r="S516" s="2"/>
      <c r="T516" s="2"/>
      <c r="U516" s="2"/>
      <c r="V516" s="2"/>
      <c r="W516" s="2"/>
      <c r="X516" s="2"/>
      <c r="Y516" s="2"/>
    </row>
    <row r="517" spans="2:25">
      <c r="B517" s="215" t="s">
        <v>304</v>
      </c>
      <c r="C517" s="219">
        <f>A!B2136</f>
        <v>-23.812000000000001</v>
      </c>
      <c r="D517" s="219"/>
      <c r="E517" s="219"/>
      <c r="F517" s="219">
        <f>A!E2136</f>
        <v>-20.864358691949398</v>
      </c>
      <c r="G517" s="219">
        <f>A!F2136</f>
        <v>-26</v>
      </c>
      <c r="H517" s="219">
        <f>A!G2136</f>
        <v>-19.149999999999999</v>
      </c>
      <c r="I517" s="155"/>
      <c r="J517" s="219">
        <f t="shared" si="63"/>
        <v>-26</v>
      </c>
      <c r="K517" s="219">
        <f t="shared" si="64"/>
        <v>-19.149999999999999</v>
      </c>
      <c r="L517" s="27">
        <f t="shared" si="65"/>
        <v>-0.30503295913358341</v>
      </c>
      <c r="M517" s="2"/>
      <c r="N517" s="598">
        <f>A!H2136</f>
        <v>0</v>
      </c>
      <c r="O517" s="2"/>
      <c r="P517" s="16"/>
      <c r="Q517" s="16"/>
      <c r="R517" s="16"/>
      <c r="S517" s="2"/>
      <c r="T517" s="2"/>
      <c r="U517" s="2"/>
      <c r="V517" s="2"/>
      <c r="W517" s="2"/>
      <c r="X517" s="2"/>
      <c r="Y517" s="2"/>
    </row>
    <row r="518" spans="2:25" ht="15.75" thickBot="1">
      <c r="B518" s="216" t="s">
        <v>305</v>
      </c>
      <c r="C518" s="158">
        <f>A!B2137</f>
        <v>-19.350499999999997</v>
      </c>
      <c r="D518" s="158"/>
      <c r="E518" s="158"/>
      <c r="F518" s="158">
        <f>A!E2137</f>
        <v>-16.600713117223798</v>
      </c>
      <c r="G518" s="158">
        <f>A!F2137</f>
        <v>-12</v>
      </c>
      <c r="H518" s="158">
        <f>A!G2137</f>
        <v>-19.600000000000001</v>
      </c>
      <c r="I518" s="157"/>
      <c r="J518" s="158">
        <f t="shared" si="63"/>
        <v>-19.600000000000001</v>
      </c>
      <c r="K518" s="158">
        <f t="shared" si="64"/>
        <v>-12</v>
      </c>
      <c r="L518" s="30">
        <f t="shared" si="65"/>
        <v>-0.45002892764110553</v>
      </c>
      <c r="N518" s="598">
        <f>A!H2137</f>
        <v>0</v>
      </c>
    </row>
    <row r="519" spans="2:25" ht="15.75" thickTop="1">
      <c r="D519" s="32" t="s">
        <v>567</v>
      </c>
    </row>
    <row r="522" spans="2: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10"/>
      <c r="Q522" s="10"/>
      <c r="R522" s="10"/>
      <c r="S522" s="2"/>
      <c r="T522" s="2"/>
      <c r="U522" s="2"/>
      <c r="V522" s="2"/>
      <c r="W522" s="2"/>
      <c r="X522" s="2"/>
      <c r="Y522" s="2"/>
    </row>
    <row r="523" spans="2: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10"/>
      <c r="Q523" s="10"/>
      <c r="R523" s="10"/>
      <c r="S523" s="2"/>
      <c r="T523" s="2"/>
      <c r="U523" s="2"/>
      <c r="V523" s="2"/>
      <c r="W523" s="2"/>
      <c r="X523" s="2"/>
      <c r="Y523" s="2"/>
    </row>
    <row r="524" spans="2: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16"/>
      <c r="Q524" s="16"/>
      <c r="R524" s="16"/>
      <c r="S524" s="2"/>
      <c r="T524" s="2"/>
      <c r="U524" s="2"/>
      <c r="V524" s="2"/>
      <c r="W524" s="2"/>
      <c r="X524" s="2"/>
      <c r="Y524" s="2"/>
    </row>
    <row r="525" spans="2: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16"/>
      <c r="Q525" s="16"/>
      <c r="R525" s="16"/>
      <c r="S525" s="2"/>
      <c r="T525" s="2"/>
      <c r="U525" s="2"/>
      <c r="V525" s="2"/>
      <c r="W525" s="2"/>
      <c r="X525" s="2"/>
      <c r="Y525" s="2"/>
    </row>
    <row r="526" spans="2: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16"/>
      <c r="Q526" s="16"/>
      <c r="R526" s="16"/>
      <c r="S526" s="2"/>
      <c r="T526" s="2"/>
      <c r="U526" s="2"/>
      <c r="V526" s="2"/>
      <c r="W526" s="2"/>
      <c r="X526" s="2"/>
      <c r="Y526" s="2"/>
    </row>
    <row r="527" spans="2: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16"/>
      <c r="Q527" s="16"/>
      <c r="R527" s="16"/>
      <c r="S527" s="2"/>
      <c r="T527" s="2"/>
      <c r="U527" s="2"/>
      <c r="V527" s="2"/>
      <c r="W527" s="2"/>
      <c r="X527" s="2"/>
      <c r="Y527" s="2"/>
    </row>
    <row r="528" spans="2: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16"/>
      <c r="Q528" s="16"/>
      <c r="R528" s="16"/>
      <c r="S528" s="2"/>
      <c r="T528" s="2"/>
      <c r="U528" s="2"/>
      <c r="V528" s="2"/>
      <c r="W528" s="2"/>
      <c r="X528" s="2"/>
      <c r="Y528" s="2"/>
    </row>
    <row r="529" spans="2: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16"/>
      <c r="Q529" s="16"/>
      <c r="R529" s="16"/>
      <c r="S529" s="2"/>
      <c r="T529" s="2"/>
      <c r="U529" s="2"/>
      <c r="V529" s="2"/>
      <c r="W529" s="2"/>
      <c r="X529" s="2"/>
      <c r="Y529" s="2"/>
    </row>
    <row r="530" spans="2: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16"/>
      <c r="Q530" s="16"/>
      <c r="R530" s="16"/>
      <c r="S530" s="2"/>
      <c r="T530" s="2"/>
      <c r="U530" s="2"/>
      <c r="V530" s="2"/>
      <c r="W530" s="2"/>
      <c r="X530" s="2"/>
      <c r="Y530" s="2"/>
    </row>
    <row r="531" spans="2: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16"/>
      <c r="Q531" s="16"/>
      <c r="R531" s="16"/>
      <c r="S531" s="2"/>
      <c r="T531" s="2"/>
      <c r="U531" s="2"/>
      <c r="V531" s="2"/>
      <c r="W531" s="2"/>
      <c r="X531" s="2"/>
      <c r="Y531" s="2"/>
    </row>
    <row r="532" spans="2: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16"/>
      <c r="Q532" s="16"/>
      <c r="R532" s="16"/>
      <c r="S532" s="2"/>
      <c r="T532" s="2"/>
      <c r="U532" s="2"/>
      <c r="V532" s="2"/>
      <c r="W532" s="2"/>
      <c r="X532" s="2"/>
      <c r="Y532" s="2"/>
    </row>
    <row r="533" spans="2: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16"/>
      <c r="Q533" s="16"/>
      <c r="R533" s="16"/>
      <c r="S533" s="2"/>
      <c r="T533" s="2"/>
      <c r="U533" s="2"/>
      <c r="V533" s="2"/>
      <c r="W533" s="2"/>
      <c r="X533" s="2"/>
      <c r="Y533" s="2"/>
    </row>
    <row r="534" spans="2: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16"/>
      <c r="Q534" s="16"/>
      <c r="R534" s="16"/>
      <c r="S534" s="2"/>
      <c r="T534" s="2"/>
      <c r="U534" s="2"/>
      <c r="V534" s="2"/>
      <c r="W534" s="2"/>
      <c r="X534" s="2"/>
      <c r="Y534" s="2"/>
    </row>
    <row r="535" spans="2: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16"/>
      <c r="Q535" s="16"/>
      <c r="R535" s="16"/>
      <c r="S535" s="2"/>
      <c r="T535" s="2"/>
      <c r="U535" s="2"/>
      <c r="V535" s="2"/>
      <c r="W535" s="2"/>
      <c r="X535" s="2"/>
      <c r="Y535" s="2"/>
    </row>
    <row r="536" spans="2: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16"/>
      <c r="Q536" s="16"/>
      <c r="R536" s="16"/>
      <c r="S536" s="2"/>
      <c r="T536" s="2"/>
      <c r="U536" s="2"/>
      <c r="V536" s="2"/>
      <c r="W536" s="2"/>
      <c r="X536" s="2"/>
      <c r="Y536" s="2"/>
    </row>
    <row r="537" spans="2: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16"/>
      <c r="Q537" s="16"/>
      <c r="R537" s="16"/>
      <c r="S537" s="2"/>
      <c r="T537" s="2"/>
      <c r="U537" s="2"/>
      <c r="V537" s="2"/>
      <c r="W537" s="2"/>
      <c r="X537" s="2"/>
      <c r="Y537" s="2"/>
    </row>
    <row r="542" spans="2: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9" spans="2: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ht="9.9499999999999993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ht="9.9499999999999993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ht="9.9499999999999993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ht="9.9499999999999993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ht="9.9499999999999993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ht="9.9499999999999993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ht="9.9499999999999993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ht="9.9499999999999993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ht="9.9499999999999993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ht="9.9499999999999993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ht="9.9499999999999993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ht="9.9499999999999993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ht="9.9499999999999993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ht="9.9499999999999993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ht="9.9499999999999993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ht="9.9499999999999993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ht="9.9499999999999993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ht="9.9499999999999993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ht="9.9499999999999993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ht="9.9499999999999993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ht="9.9499999999999993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ht="11.1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ht="9.9499999999999993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ht="9.9499999999999993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ht="9.9499999999999993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ht="9.9499999999999993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ht="9.9499999999999993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ht="9.9499999999999993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ht="9.9499999999999993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ht="9.9499999999999993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ht="9.9499999999999993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ht="9.9499999999999993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ht="9.9499999999999993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ht="9.9499999999999993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ht="9.9499999999999993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ht="9.9499999999999993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ht="9.9499999999999993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ht="9.9499999999999993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ht="9.9499999999999993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ht="9.9499999999999993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ht="9.9499999999999993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ht="9.9499999999999993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ht="9.9499999999999993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ht="11.1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ht="9.9499999999999993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ht="9.9499999999999993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ht="9.9499999999999993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ht="9.9499999999999993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ht="9.9499999999999993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ht="9.9499999999999993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ht="9.9499999999999993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ht="9.9499999999999993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ht="9.9499999999999993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ht="9.9499999999999993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ht="9.9499999999999993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ht="9.9499999999999993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ht="9.9499999999999993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ht="9.9499999999999993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ht="9.9499999999999993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ht="9.9499999999999993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ht="9.9499999999999993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ht="9.9499999999999993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ht="9.9499999999999993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ht="9.9499999999999993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ht="9.9499999999999993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ht="11.1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ht="9.9499999999999993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ht="9.9499999999999993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ht="9.9499999999999993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ht="9.9499999999999993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ht="9.9499999999999993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ht="9.9499999999999993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ht="9.9499999999999993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ht="9.9499999999999993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ht="9.9499999999999993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ht="9.9499999999999993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ht="9.9499999999999993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ht="9.9499999999999993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ht="9.9499999999999993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ht="9.9499999999999993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ht="9.9499999999999993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ht="9.9499999999999993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ht="9.9499999999999993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ht="9.9499999999999993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ht="9.9499999999999993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ht="9.9499999999999993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ht="9.9499999999999993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ht="11.1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ht="9.9499999999999993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4" spans="2: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6" spans="2: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</sheetData>
  <phoneticPr fontId="0" type="noConversion"/>
  <pageMargins left="0.75" right="0.5" top="0.8" bottom="0.55000000000000004" header="0.5" footer="0.5"/>
  <pageSetup scale="10"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5"/>
  <sheetViews>
    <sheetView topLeftCell="A325" zoomScale="50" workbookViewId="0">
      <selection activeCell="H340" sqref="H340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1">
      <c r="A1">
        <f>Q!A1</f>
        <v>0</v>
      </c>
      <c r="B1" t="str">
        <f>Q!B1</f>
        <v>e300results.XLS, July, 2004</v>
      </c>
      <c r="C1">
        <f>Q!C1</f>
        <v>0</v>
      </c>
      <c r="D1">
        <f>Q!D1</f>
        <v>0</v>
      </c>
      <c r="E1">
        <f>Q!E1</f>
        <v>0</v>
      </c>
      <c r="F1">
        <f>Q!F1</f>
        <v>0</v>
      </c>
      <c r="G1">
        <f>Q!G1</f>
        <v>0</v>
      </c>
      <c r="H1" t="str">
        <f>Q!H1</f>
        <v>SEE SHEET 'A'  FOR INSTRUCTIONS</v>
      </c>
      <c r="I1">
        <f>Q!N1</f>
        <v>0</v>
      </c>
    </row>
    <row r="2" spans="1:21">
      <c r="A2">
        <f>Q!A2</f>
        <v>0</v>
      </c>
      <c r="B2">
        <f>Q!B2</f>
        <v>0</v>
      </c>
      <c r="C2">
        <f>Q!C2</f>
        <v>0</v>
      </c>
      <c r="D2">
        <f>Q!D2</f>
        <v>0</v>
      </c>
      <c r="E2">
        <f>Q!E2</f>
        <v>0</v>
      </c>
      <c r="F2">
        <f>Q!F2</f>
        <v>0</v>
      </c>
      <c r="G2">
        <f>Q!G2</f>
        <v>0</v>
      </c>
      <c r="H2">
        <f>Q!H2</f>
        <v>0</v>
      </c>
      <c r="I2">
        <f>Q!N2</f>
        <v>0</v>
      </c>
    </row>
    <row r="3" spans="1:21">
      <c r="A3">
        <f>Q!A3</f>
        <v>0</v>
      </c>
      <c r="B3">
        <f>Q!B3</f>
        <v>0</v>
      </c>
      <c r="C3">
        <f>Q!C3</f>
        <v>0</v>
      </c>
      <c r="D3">
        <f>Q!D3</f>
        <v>0</v>
      </c>
      <c r="E3">
        <f>Q!E3</f>
        <v>0</v>
      </c>
      <c r="F3">
        <f>Q!F3</f>
        <v>0</v>
      </c>
      <c r="G3">
        <f>Q!G3</f>
        <v>0</v>
      </c>
      <c r="H3">
        <f>Q!H3</f>
        <v>0</v>
      </c>
      <c r="I3">
        <f>Q!N3</f>
        <v>0</v>
      </c>
    </row>
    <row r="4" spans="1:21">
      <c r="A4">
        <f>Q!A4</f>
        <v>0</v>
      </c>
      <c r="B4">
        <f>Q!B4</f>
        <v>0</v>
      </c>
      <c r="C4">
        <f>Q!C4</f>
        <v>0</v>
      </c>
      <c r="D4">
        <f>Q!D4</f>
        <v>0</v>
      </c>
      <c r="E4">
        <f>Q!E4</f>
        <v>0</v>
      </c>
      <c r="F4">
        <f>Q!F4</f>
        <v>0</v>
      </c>
      <c r="G4">
        <f>Q!G4</f>
        <v>0</v>
      </c>
      <c r="H4">
        <f>Q!H4</f>
        <v>0</v>
      </c>
      <c r="I4">
        <f>Q!N4</f>
        <v>0</v>
      </c>
    </row>
    <row r="5" spans="1:21">
      <c r="A5">
        <f>Q!A5</f>
        <v>0</v>
      </c>
      <c r="B5">
        <f>Q!B5</f>
        <v>0</v>
      </c>
      <c r="C5">
        <f>Q!C5</f>
        <v>0</v>
      </c>
      <c r="D5">
        <f>Q!D5</f>
        <v>0</v>
      </c>
      <c r="E5">
        <f>Q!E5</f>
        <v>0</v>
      </c>
      <c r="F5">
        <f>Q!F5</f>
        <v>0</v>
      </c>
      <c r="G5">
        <f>Q!G5</f>
        <v>0</v>
      </c>
      <c r="H5">
        <f>Q!H5</f>
        <v>0</v>
      </c>
      <c r="I5">
        <f>Q!N5</f>
        <v>0</v>
      </c>
    </row>
    <row r="6" spans="1:21">
      <c r="A6">
        <f>Q!A6</f>
        <v>0</v>
      </c>
      <c r="B6" t="str">
        <f>Q!B6</f>
        <v>Space Cooling Electricity Consumption</v>
      </c>
      <c r="C6">
        <f>Q!C6</f>
        <v>0</v>
      </c>
      <c r="D6">
        <f>Q!D6</f>
        <v>0</v>
      </c>
      <c r="E6">
        <f>Q!E6</f>
        <v>0</v>
      </c>
      <c r="F6">
        <f>Q!F6</f>
        <v>0</v>
      </c>
      <c r="G6">
        <f>Q!G6</f>
        <v>0</v>
      </c>
      <c r="H6">
        <f>Q!H6</f>
        <v>0</v>
      </c>
      <c r="I6">
        <f>Q!N6</f>
        <v>0</v>
      </c>
    </row>
    <row r="7" spans="1:21">
      <c r="A7">
        <f>Q!A7</f>
        <v>0</v>
      </c>
      <c r="B7" t="str">
        <f>Q!B7</f>
        <v>Energy Consumption, Total (kWh,e)</v>
      </c>
      <c r="C7">
        <f>Q!C7</f>
        <v>0</v>
      </c>
      <c r="D7">
        <f>Q!D7</f>
        <v>0</v>
      </c>
      <c r="E7">
        <f>Q!E7</f>
        <v>0</v>
      </c>
      <c r="F7">
        <f>Q!F7</f>
        <v>0</v>
      </c>
      <c r="G7">
        <f>Q!G7</f>
        <v>0</v>
      </c>
      <c r="H7">
        <f>Q!H7</f>
        <v>0</v>
      </c>
      <c r="I7">
        <f>Q!N7</f>
        <v>0</v>
      </c>
    </row>
    <row r="8" spans="1:21" ht="15.75">
      <c r="A8">
        <f>Q!A8</f>
        <v>0</v>
      </c>
      <c r="B8">
        <f>Q!B8</f>
        <v>0</v>
      </c>
      <c r="C8" t="str">
        <f>Q!C8</f>
        <v>TRNSYS</v>
      </c>
      <c r="D8" t="str">
        <f>Q!D8</f>
        <v>DOE-2.2</v>
      </c>
      <c r="E8" t="str">
        <f>Q!E8</f>
        <v>DOE21E-E</v>
      </c>
      <c r="F8" t="str">
        <f>Q!F8</f>
        <v>Energy+</v>
      </c>
      <c r="G8" t="str">
        <f>Q!G8</f>
        <v>CODYRUN</v>
      </c>
      <c r="H8" t="str">
        <f>Q!H8</f>
        <v>HOT3000</v>
      </c>
      <c r="I8" t="str">
        <f>Q!N8</f>
        <v>Your</v>
      </c>
      <c r="M8" s="58" t="s">
        <v>527</v>
      </c>
    </row>
    <row r="9" spans="1:21">
      <c r="A9">
        <f>Q!A9</f>
        <v>0</v>
      </c>
      <c r="B9">
        <f>Q!B9</f>
        <v>0</v>
      </c>
      <c r="C9" t="s">
        <v>569</v>
      </c>
      <c r="D9" t="s">
        <v>570</v>
      </c>
      <c r="E9" t="s">
        <v>573</v>
      </c>
      <c r="F9" t="s">
        <v>617</v>
      </c>
      <c r="G9" t="s">
        <v>571</v>
      </c>
      <c r="H9" t="s">
        <v>572</v>
      </c>
      <c r="I9" t="s">
        <v>522</v>
      </c>
      <c r="J9" s="500" t="s">
        <v>568</v>
      </c>
      <c r="M9" s="116"/>
      <c r="N9" t="s">
        <v>446</v>
      </c>
      <c r="O9" t="s">
        <v>447</v>
      </c>
      <c r="P9" t="s">
        <v>448</v>
      </c>
      <c r="Q9" t="s">
        <v>617</v>
      </c>
      <c r="R9" t="s">
        <v>481</v>
      </c>
      <c r="S9" t="s">
        <v>484</v>
      </c>
      <c r="U9" s="500" t="s">
        <v>568</v>
      </c>
    </row>
    <row r="10" spans="1:21" ht="15.75">
      <c r="A10">
        <f>Q!A10</f>
        <v>0</v>
      </c>
      <c r="B10" t="s">
        <v>276</v>
      </c>
      <c r="C10">
        <f>Q!C10</f>
        <v>35633.777252734755</v>
      </c>
      <c r="D10">
        <f>Q!D10</f>
        <v>34750</v>
      </c>
      <c r="E10">
        <f>Q!E10</f>
        <v>34755</v>
      </c>
      <c r="F10">
        <f>Q!F10</f>
        <v>35023.729818476299</v>
      </c>
      <c r="G10">
        <f>Q!G10</f>
        <v>34976.411000001252</v>
      </c>
      <c r="H10">
        <f>Q!H10</f>
        <v>35070</v>
      </c>
      <c r="I10">
        <f>Q!N10</f>
        <v>0</v>
      </c>
      <c r="J10" s="119"/>
      <c r="M10" t="s">
        <v>276</v>
      </c>
      <c r="N10" s="116">
        <v>35633.777252734755</v>
      </c>
      <c r="O10" s="116">
        <v>34608</v>
      </c>
      <c r="P10" s="116">
        <v>37908</v>
      </c>
      <c r="Q10" s="116">
        <v>35149</v>
      </c>
      <c r="R10" s="116">
        <v>31988</v>
      </c>
      <c r="S10" s="692">
        <v>35029</v>
      </c>
      <c r="U10" s="119">
        <f>(MAX(N10:S10)-MIN(N10:S10))/AVERAGE(N10:S10)</f>
        <v>0.16888889870262044</v>
      </c>
    </row>
    <row r="11" spans="1:21" ht="15.75">
      <c r="A11">
        <f>Q!A11</f>
        <v>0</v>
      </c>
      <c r="B11" t="s">
        <v>277</v>
      </c>
      <c r="C11">
        <f>Q!C11</f>
        <v>39973.379846119082</v>
      </c>
      <c r="D11">
        <f>Q!D11</f>
        <v>39379</v>
      </c>
      <c r="E11">
        <f>Q!E11</f>
        <v>39384</v>
      </c>
      <c r="F11">
        <f>Q!F11</f>
        <v>39434.164607727085</v>
      </c>
      <c r="G11">
        <f>Q!G11</f>
        <v>39519.569000001269</v>
      </c>
      <c r="H11">
        <f>Q!H11</f>
        <v>39608</v>
      </c>
      <c r="I11">
        <f>Q!N11</f>
        <v>0</v>
      </c>
      <c r="J11" s="119"/>
      <c r="M11" t="s">
        <v>277</v>
      </c>
      <c r="N11" s="116">
        <v>39973.379846119082</v>
      </c>
      <c r="O11" s="116">
        <v>39268</v>
      </c>
      <c r="P11" s="116">
        <v>43821</v>
      </c>
      <c r="Q11" s="116">
        <v>39999</v>
      </c>
      <c r="R11" s="116">
        <v>35628</v>
      </c>
      <c r="S11" s="692">
        <v>39626</v>
      </c>
      <c r="U11" s="119">
        <f t="shared" ref="U11:U30" si="0">(MAX(N11:S11)-MIN(N11:S11))/AVERAGE(N11:S11)</f>
        <v>0.20627288105258443</v>
      </c>
    </row>
    <row r="12" spans="1:21" ht="15.75">
      <c r="A12">
        <f>Q!A12</f>
        <v>0</v>
      </c>
      <c r="B12" t="s">
        <v>278</v>
      </c>
      <c r="C12">
        <f>Q!C12</f>
        <v>40059.657032557334</v>
      </c>
      <c r="D12">
        <f>Q!D12</f>
        <v>38745</v>
      </c>
      <c r="E12">
        <f>Q!E12</f>
        <v>38792</v>
      </c>
      <c r="F12">
        <f>Q!F12</f>
        <v>39375.03481243331</v>
      </c>
      <c r="G12">
        <f>Q!G12</f>
        <v>39400.815000001385</v>
      </c>
      <c r="H12">
        <f>Q!H12</f>
        <v>39457</v>
      </c>
      <c r="I12">
        <f>Q!N12</f>
        <v>0</v>
      </c>
      <c r="J12" s="119"/>
      <c r="M12" t="s">
        <v>278</v>
      </c>
      <c r="N12" s="116">
        <v>38897</v>
      </c>
      <c r="O12" s="116">
        <v>38692</v>
      </c>
      <c r="P12" s="116">
        <v>41626</v>
      </c>
      <c r="Q12" s="116">
        <v>39274</v>
      </c>
      <c r="R12" s="116">
        <v>43434</v>
      </c>
      <c r="S12" s="692">
        <v>38575</v>
      </c>
      <c r="U12" s="119">
        <f t="shared" si="0"/>
        <v>0.12122346131776564</v>
      </c>
    </row>
    <row r="13" spans="1:21" ht="15.75">
      <c r="A13">
        <f>Q!A13</f>
        <v>0</v>
      </c>
      <c r="B13" t="s">
        <v>279</v>
      </c>
      <c r="C13">
        <f>Q!C13</f>
        <v>40963.300377974272</v>
      </c>
      <c r="D13">
        <f>Q!D13</f>
        <v>39708</v>
      </c>
      <c r="E13">
        <f>Q!E13</f>
        <v>39438</v>
      </c>
      <c r="F13">
        <f>Q!F13</f>
        <v>40468.794822146912</v>
      </c>
      <c r="G13">
        <f>Q!G13</f>
        <v>40535.137000001225</v>
      </c>
      <c r="H13">
        <f>Q!H13</f>
        <v>40330</v>
      </c>
      <c r="I13">
        <f>Q!N13</f>
        <v>0</v>
      </c>
      <c r="J13" s="119"/>
      <c r="M13" t="s">
        <v>279</v>
      </c>
      <c r="N13" s="116">
        <v>40963.300377974272</v>
      </c>
      <c r="O13" s="116">
        <v>39445</v>
      </c>
      <c r="P13" s="116">
        <v>43103</v>
      </c>
      <c r="Q13" s="116">
        <v>40373</v>
      </c>
      <c r="R13" s="116">
        <v>44484</v>
      </c>
      <c r="S13" s="692">
        <v>38770</v>
      </c>
      <c r="U13" s="119">
        <f t="shared" si="0"/>
        <v>0.13872394504439789</v>
      </c>
    </row>
    <row r="14" spans="1:21" ht="15.75">
      <c r="A14">
        <f>Q!A14</f>
        <v>0</v>
      </c>
      <c r="B14" t="s">
        <v>449</v>
      </c>
      <c r="C14">
        <f>Q!C14</f>
        <v>40619.295122139025</v>
      </c>
      <c r="D14">
        <f>Q!D14</f>
        <v>39358</v>
      </c>
      <c r="E14">
        <f>Q!E14</f>
        <v>39265</v>
      </c>
      <c r="F14">
        <f>Q!F14</f>
        <v>40071.420592405018</v>
      </c>
      <c r="G14">
        <f>Q!G14</f>
        <v>40065.261000001236</v>
      </c>
      <c r="H14">
        <f>Q!H14</f>
        <v>39947</v>
      </c>
      <c r="I14">
        <f>Q!N14</f>
        <v>0</v>
      </c>
      <c r="J14" s="119"/>
      <c r="M14" t="s">
        <v>449</v>
      </c>
      <c r="N14" s="116">
        <v>39665</v>
      </c>
      <c r="O14" s="116">
        <v>39181</v>
      </c>
      <c r="P14" s="116">
        <v>42648</v>
      </c>
      <c r="Q14" s="116">
        <v>39997</v>
      </c>
      <c r="R14" s="116">
        <v>44077</v>
      </c>
      <c r="S14" s="692">
        <v>39373</v>
      </c>
      <c r="U14" s="119">
        <f t="shared" si="0"/>
        <v>0.11993092214043381</v>
      </c>
    </row>
    <row r="15" spans="1:21" ht="15.75">
      <c r="A15">
        <f>Q!A15</f>
        <v>0</v>
      </c>
      <c r="B15" t="s">
        <v>280</v>
      </c>
      <c r="C15">
        <f>Q!C15</f>
        <v>32236.979468446429</v>
      </c>
      <c r="D15">
        <f>Q!D15</f>
        <v>30547</v>
      </c>
      <c r="E15">
        <f>Q!E15</f>
        <v>30548</v>
      </c>
      <c r="F15">
        <f>Q!F15</f>
        <v>31376.20652912368</v>
      </c>
      <c r="G15">
        <f>Q!G15</f>
        <v>31586.592000001216</v>
      </c>
      <c r="H15">
        <f>Q!H15</f>
        <v>31742</v>
      </c>
      <c r="I15">
        <f>Q!N15</f>
        <v>0</v>
      </c>
      <c r="J15" s="119"/>
      <c r="M15" t="s">
        <v>280</v>
      </c>
      <c r="N15" s="116">
        <v>32236.979468446429</v>
      </c>
      <c r="O15" s="116">
        <v>30394</v>
      </c>
      <c r="P15" s="116">
        <v>33326</v>
      </c>
      <c r="Q15" s="116">
        <v>31447</v>
      </c>
      <c r="R15" s="116">
        <v>31862</v>
      </c>
      <c r="S15" s="692">
        <v>31627</v>
      </c>
      <c r="U15" s="119">
        <f t="shared" si="0"/>
        <v>9.2156348803324434E-2</v>
      </c>
    </row>
    <row r="16" spans="1:21" ht="15.75">
      <c r="A16">
        <f>Q!A16</f>
        <v>0</v>
      </c>
      <c r="B16" t="s">
        <v>281</v>
      </c>
      <c r="C16">
        <f>Q!C16</f>
        <v>55298.791720929417</v>
      </c>
      <c r="D16">
        <f>Q!D16</f>
        <v>54064</v>
      </c>
      <c r="E16">
        <f>Q!E16</f>
        <v>54016</v>
      </c>
      <c r="F16">
        <f>Q!F16</f>
        <v>54944.250192986554</v>
      </c>
      <c r="G16">
        <f>Q!G16</f>
        <v>54843.258000001253</v>
      </c>
      <c r="H16">
        <f>Q!H16</f>
        <v>55068</v>
      </c>
      <c r="I16">
        <f>Q!N16</f>
        <v>0</v>
      </c>
      <c r="J16" s="119"/>
      <c r="M16" t="s">
        <v>281</v>
      </c>
      <c r="N16" s="116">
        <v>55298.791720929417</v>
      </c>
      <c r="O16" s="116">
        <v>53819</v>
      </c>
      <c r="P16" s="116">
        <v>55028</v>
      </c>
      <c r="Q16" s="116">
        <v>55351</v>
      </c>
      <c r="R16" s="116">
        <v>54306</v>
      </c>
      <c r="S16" s="692">
        <v>54924</v>
      </c>
      <c r="U16" s="119">
        <f t="shared" si="0"/>
        <v>2.7962430296230589E-2</v>
      </c>
    </row>
    <row r="17" spans="1:28" ht="15.75">
      <c r="A17">
        <f>Q!A17</f>
        <v>0</v>
      </c>
      <c r="B17" t="s">
        <v>291</v>
      </c>
      <c r="C17">
        <f>Q!C17</f>
        <v>32045.153568170928</v>
      </c>
      <c r="D17">
        <f>Q!D17</f>
        <v>30846</v>
      </c>
      <c r="E17">
        <f>Q!E17</f>
        <v>30876</v>
      </c>
      <c r="F17">
        <f>Q!F17</f>
        <v>31265.643283038276</v>
      </c>
      <c r="G17">
        <f>Q!G17</f>
        <v>0</v>
      </c>
      <c r="H17">
        <f>Q!H17</f>
        <v>31413</v>
      </c>
      <c r="I17">
        <f>Q!N17</f>
        <v>0</v>
      </c>
      <c r="J17" s="119"/>
      <c r="M17" t="s">
        <v>291</v>
      </c>
      <c r="N17" s="116">
        <v>32045.153568170928</v>
      </c>
      <c r="O17" s="116">
        <v>30784</v>
      </c>
      <c r="P17" s="116">
        <v>37594</v>
      </c>
      <c r="Q17" s="116">
        <v>34331</v>
      </c>
      <c r="R17" s="116"/>
      <c r="S17" s="692">
        <v>31413</v>
      </c>
      <c r="U17" s="119">
        <f t="shared" si="0"/>
        <v>0.20491414379335088</v>
      </c>
    </row>
    <row r="18" spans="1:28" ht="15.75">
      <c r="A18">
        <f>Q!A18</f>
        <v>0</v>
      </c>
      <c r="B18" t="s">
        <v>288</v>
      </c>
      <c r="C18">
        <f>Q!C18</f>
        <v>32078.431863626436</v>
      </c>
      <c r="D18">
        <f>Q!D18</f>
        <v>31668</v>
      </c>
      <c r="E18">
        <f>Q!E18</f>
        <v>31699</v>
      </c>
      <c r="F18">
        <f>Q!F18</f>
        <v>32010.506096667465</v>
      </c>
      <c r="G18">
        <f>Q!G18</f>
        <v>0</v>
      </c>
      <c r="H18">
        <f>Q!H18</f>
        <v>31503</v>
      </c>
      <c r="I18">
        <f>Q!N18</f>
        <v>0</v>
      </c>
      <c r="J18" s="119"/>
      <c r="M18" t="s">
        <v>288</v>
      </c>
      <c r="N18" s="116">
        <v>32078.431863626436</v>
      </c>
      <c r="O18" s="116">
        <v>31632</v>
      </c>
      <c r="P18" s="116">
        <v>33629</v>
      </c>
      <c r="Q18" s="116">
        <v>34331</v>
      </c>
      <c r="R18" s="116"/>
      <c r="S18" s="692">
        <v>31503</v>
      </c>
      <c r="U18" s="119">
        <f t="shared" si="0"/>
        <v>8.6656264065204103E-2</v>
      </c>
    </row>
    <row r="19" spans="1:28" ht="15.75">
      <c r="A19">
        <f>Q!A19</f>
        <v>0</v>
      </c>
      <c r="B19" t="s">
        <v>289</v>
      </c>
      <c r="C19">
        <f>Q!C19</f>
        <v>33387.007607424253</v>
      </c>
      <c r="D19">
        <f>Q!D19</f>
        <v>32530</v>
      </c>
      <c r="E19">
        <f>Q!E19</f>
        <v>32910</v>
      </c>
      <c r="F19">
        <f>Q!F19</f>
        <v>32978.545256475802</v>
      </c>
      <c r="G19">
        <f>Q!G19</f>
        <v>0</v>
      </c>
      <c r="H19">
        <f>Q!H19</f>
        <v>33208</v>
      </c>
      <c r="I19">
        <f>Q!N19</f>
        <v>0</v>
      </c>
      <c r="J19" s="119"/>
      <c r="M19" t="s">
        <v>289</v>
      </c>
      <c r="N19" s="116">
        <v>33387.007607424253</v>
      </c>
      <c r="O19" s="116">
        <v>32787</v>
      </c>
      <c r="P19" s="116">
        <v>35245</v>
      </c>
      <c r="Q19" s="116">
        <v>34331</v>
      </c>
      <c r="R19" s="116"/>
      <c r="S19" s="692">
        <v>33208</v>
      </c>
      <c r="U19" s="119">
        <f t="shared" si="0"/>
        <v>7.2739967605181199E-2</v>
      </c>
    </row>
    <row r="20" spans="1:28" ht="15.75">
      <c r="A20">
        <f>Q!A20</f>
        <v>0</v>
      </c>
      <c r="B20" t="s">
        <v>292</v>
      </c>
      <c r="C20">
        <f>Q!C20</f>
        <v>32538.031318731744</v>
      </c>
      <c r="D20">
        <f>Q!D20</f>
        <v>31932</v>
      </c>
      <c r="E20">
        <f>Q!E20</f>
        <v>31811</v>
      </c>
      <c r="F20">
        <f>Q!F20</f>
        <v>32085.518026958744</v>
      </c>
      <c r="G20">
        <f>Q!G20</f>
        <v>0</v>
      </c>
      <c r="H20">
        <f>Q!H20</f>
        <v>31818</v>
      </c>
      <c r="I20">
        <f>Q!N20</f>
        <v>0</v>
      </c>
      <c r="J20" s="119"/>
      <c r="M20" t="s">
        <v>292</v>
      </c>
      <c r="N20" s="116">
        <v>32538.031318731744</v>
      </c>
      <c r="O20" s="116">
        <v>31754</v>
      </c>
      <c r="P20" s="116">
        <v>35630</v>
      </c>
      <c r="Q20" s="116">
        <v>34035</v>
      </c>
      <c r="R20" s="116"/>
      <c r="S20" s="692">
        <v>31818</v>
      </c>
      <c r="U20" s="119">
        <f t="shared" si="0"/>
        <v>0.11690542203993634</v>
      </c>
    </row>
    <row r="21" spans="1:28" ht="15.75">
      <c r="A21">
        <f>Q!A21</f>
        <v>0</v>
      </c>
      <c r="B21" t="s">
        <v>290</v>
      </c>
      <c r="C21">
        <f>Q!C21</f>
        <v>33691.321017245209</v>
      </c>
      <c r="D21">
        <f>Q!D21</f>
        <v>33032</v>
      </c>
      <c r="E21">
        <f>Q!E21</f>
        <v>32973</v>
      </c>
      <c r="F21">
        <f>Q!F21</f>
        <v>33284.82650610905</v>
      </c>
      <c r="G21">
        <f>Q!G21</f>
        <v>0</v>
      </c>
      <c r="H21">
        <f>Q!H21</f>
        <v>33248</v>
      </c>
      <c r="I21">
        <f>Q!N21</f>
        <v>0</v>
      </c>
      <c r="J21" s="119"/>
      <c r="M21" t="s">
        <v>290</v>
      </c>
      <c r="N21" s="116">
        <v>32041.368754945077</v>
      </c>
      <c r="O21" s="116">
        <v>32892</v>
      </c>
      <c r="P21" s="116">
        <v>35905</v>
      </c>
      <c r="Q21" s="116">
        <v>34035</v>
      </c>
      <c r="R21" s="116"/>
      <c r="S21" s="692">
        <v>33248</v>
      </c>
      <c r="U21" s="119">
        <f t="shared" si="0"/>
        <v>0.11490601324708996</v>
      </c>
    </row>
    <row r="22" spans="1:28" ht="15.75">
      <c r="A22">
        <f>Q!A22</f>
        <v>0</v>
      </c>
      <c r="B22" t="s">
        <v>282</v>
      </c>
      <c r="C22">
        <f>Q!C22</f>
        <v>22337.887016316719</v>
      </c>
      <c r="D22">
        <f>Q!D22</f>
        <v>22817</v>
      </c>
      <c r="E22">
        <f>Q!E22</f>
        <v>22822</v>
      </c>
      <c r="F22">
        <f>Q!F22</f>
        <v>23075.81966362716</v>
      </c>
      <c r="G22">
        <f>Q!G22</f>
        <v>22322.953000000023</v>
      </c>
      <c r="H22">
        <f>Q!H22</f>
        <v>23138</v>
      </c>
      <c r="I22">
        <f>Q!N22</f>
        <v>0</v>
      </c>
      <c r="J22" s="119"/>
      <c r="M22" t="s">
        <v>282</v>
      </c>
      <c r="N22" s="116">
        <v>22337.887016316719</v>
      </c>
      <c r="O22" s="116">
        <v>22802</v>
      </c>
      <c r="P22" s="116">
        <v>22808</v>
      </c>
      <c r="Q22" s="116">
        <v>23055</v>
      </c>
      <c r="R22" s="116">
        <v>22438</v>
      </c>
      <c r="S22" s="692">
        <v>23138</v>
      </c>
      <c r="U22" s="119">
        <f t="shared" si="0"/>
        <v>3.5149487647575868E-2</v>
      </c>
    </row>
    <row r="23" spans="1:28" ht="15.75">
      <c r="A23">
        <f>Q!A23</f>
        <v>0</v>
      </c>
      <c r="B23" t="str">
        <f>Q!B23</f>
        <v>E500 May-Sep</v>
      </c>
      <c r="C23">
        <f>Q!C23</f>
        <v>17390.851076390049</v>
      </c>
      <c r="D23">
        <f>Q!D23</f>
        <v>17872</v>
      </c>
      <c r="E23">
        <f>Q!E23</f>
        <v>17870</v>
      </c>
      <c r="F23">
        <f>Q!F23</f>
        <v>18030.714541373109</v>
      </c>
      <c r="G23">
        <f>Q!G23</f>
        <v>17434.537000000029</v>
      </c>
      <c r="H23">
        <f>Q!H23</f>
        <v>18051</v>
      </c>
      <c r="I23">
        <f>Q!N23</f>
        <v>0</v>
      </c>
      <c r="J23" s="119"/>
      <c r="M23" t="s">
        <v>120</v>
      </c>
      <c r="N23" s="116">
        <v>17390.851076390049</v>
      </c>
      <c r="O23" s="116">
        <v>17854</v>
      </c>
      <c r="P23" s="116">
        <v>17854</v>
      </c>
      <c r="Q23" s="116">
        <v>18006</v>
      </c>
      <c r="R23" s="116">
        <v>17459</v>
      </c>
      <c r="S23" s="692">
        <v>18051</v>
      </c>
      <c r="U23" s="119">
        <f t="shared" si="0"/>
        <v>3.7151424043369997E-2</v>
      </c>
    </row>
    <row r="24" spans="1:28" ht="15.75">
      <c r="A24">
        <f>Q!A24</f>
        <v>0</v>
      </c>
      <c r="B24" t="s">
        <v>283</v>
      </c>
      <c r="C24">
        <f>Q!C24</f>
        <v>34608.775362869957</v>
      </c>
      <c r="D24">
        <f>Q!D24</f>
        <v>35971</v>
      </c>
      <c r="E24">
        <f>Q!E24</f>
        <v>35970</v>
      </c>
      <c r="F24">
        <f>Q!F24</f>
        <v>35791.020097479886</v>
      </c>
      <c r="G24">
        <f>Q!G24</f>
        <v>34848.63700000001</v>
      </c>
      <c r="H24">
        <f>Q!H24</f>
        <v>35845</v>
      </c>
      <c r="I24">
        <f>Q!N24</f>
        <v>0</v>
      </c>
      <c r="J24" s="119"/>
      <c r="M24" t="s">
        <v>283</v>
      </c>
      <c r="N24" s="116">
        <v>34608.775362869957</v>
      </c>
      <c r="O24" s="116">
        <v>35955</v>
      </c>
      <c r="P24" s="116">
        <v>35954</v>
      </c>
      <c r="Q24" s="116">
        <v>35720</v>
      </c>
      <c r="R24" s="116">
        <v>34908</v>
      </c>
      <c r="S24" s="692">
        <v>35845</v>
      </c>
      <c r="U24" s="119">
        <f t="shared" si="0"/>
        <v>3.792346315946768E-2</v>
      </c>
    </row>
    <row r="25" spans="1:28" ht="15.75">
      <c r="A25">
        <f>Q!A25</f>
        <v>0</v>
      </c>
      <c r="B25" t="s">
        <v>284</v>
      </c>
      <c r="C25">
        <f>Q!C25</f>
        <v>24986.581989315273</v>
      </c>
      <c r="D25">
        <f>Q!D25</f>
        <v>25389</v>
      </c>
      <c r="E25">
        <f>Q!E25</f>
        <v>25390</v>
      </c>
      <c r="F25">
        <f>Q!F25</f>
        <v>25812.897251308386</v>
      </c>
      <c r="G25">
        <f>Q!G25</f>
        <v>25131.070000000262</v>
      </c>
      <c r="H25">
        <f>Q!H25</f>
        <v>25781</v>
      </c>
      <c r="I25">
        <f>Q!N25</f>
        <v>0</v>
      </c>
      <c r="J25" s="119"/>
      <c r="M25" t="s">
        <v>284</v>
      </c>
      <c r="N25" s="116">
        <v>24986.581989315273</v>
      </c>
      <c r="O25" s="116">
        <v>26043</v>
      </c>
      <c r="P25" s="116">
        <v>27201</v>
      </c>
      <c r="Q25" s="116">
        <v>24051</v>
      </c>
      <c r="R25" s="116">
        <v>25161</v>
      </c>
      <c r="S25" s="692">
        <v>25781</v>
      </c>
      <c r="U25" s="119">
        <f t="shared" si="0"/>
        <v>0.1233491591478259</v>
      </c>
    </row>
    <row r="26" spans="1:28" ht="15.75">
      <c r="A26">
        <f>Q!A26</f>
        <v>0</v>
      </c>
      <c r="B26" t="s">
        <v>285</v>
      </c>
      <c r="C26">
        <f>Q!C26</f>
        <v>23544.160692124755</v>
      </c>
      <c r="D26">
        <f>Q!D26</f>
        <v>24293</v>
      </c>
      <c r="E26">
        <f>Q!E26</f>
        <v>24307</v>
      </c>
      <c r="F26">
        <f>Q!F26</f>
        <v>24385.540125936655</v>
      </c>
      <c r="G26">
        <f>Q!G26</f>
        <v>23619.743999999955</v>
      </c>
      <c r="H26">
        <f>Q!H26</f>
        <v>24360</v>
      </c>
      <c r="I26">
        <f>Q!N26</f>
        <v>0</v>
      </c>
      <c r="J26" s="119"/>
      <c r="M26" t="s">
        <v>285</v>
      </c>
      <c r="N26" s="116">
        <v>23544.160692124755</v>
      </c>
      <c r="O26" s="116">
        <v>24424</v>
      </c>
      <c r="P26" s="116">
        <v>24462</v>
      </c>
      <c r="Q26" s="116">
        <v>24027</v>
      </c>
      <c r="R26" s="116">
        <v>23741</v>
      </c>
      <c r="S26" s="692">
        <v>24360</v>
      </c>
      <c r="U26" s="119">
        <f t="shared" si="0"/>
        <v>3.8095641372887803E-2</v>
      </c>
    </row>
    <row r="27" spans="1:28" ht="15.75">
      <c r="A27">
        <f>Q!A27</f>
        <v>0</v>
      </c>
      <c r="B27" t="s">
        <v>286</v>
      </c>
      <c r="C27">
        <f>Q!C27</f>
        <v>20320.873963030244</v>
      </c>
      <c r="D27">
        <f>Q!D27</f>
        <v>20408</v>
      </c>
      <c r="E27">
        <f>Q!E27</f>
        <v>20421</v>
      </c>
      <c r="F27">
        <f>Q!F27</f>
        <v>20781.350761084934</v>
      </c>
      <c r="G27">
        <f>Q!G27</f>
        <v>20241.712999999996</v>
      </c>
      <c r="H27">
        <f>Q!H27</f>
        <v>21323</v>
      </c>
      <c r="I27">
        <f>Q!N27</f>
        <v>0</v>
      </c>
      <c r="J27" s="119"/>
      <c r="M27" t="s">
        <v>286</v>
      </c>
      <c r="N27" s="116">
        <v>20320.873963030244</v>
      </c>
      <c r="O27" s="116">
        <v>20077</v>
      </c>
      <c r="P27" s="116">
        <v>20074</v>
      </c>
      <c r="Q27" s="116">
        <v>20718</v>
      </c>
      <c r="R27" s="116">
        <v>20303</v>
      </c>
      <c r="S27" s="692">
        <v>21323</v>
      </c>
      <c r="U27" s="119">
        <f t="shared" si="0"/>
        <v>6.1018171008218582E-2</v>
      </c>
    </row>
    <row r="28" spans="1:28" ht="15.75">
      <c r="A28">
        <f>Q!A28</f>
        <v>0</v>
      </c>
      <c r="B28" t="s">
        <v>287</v>
      </c>
      <c r="C28">
        <f>Q!C28</f>
        <v>17281.271045603677</v>
      </c>
      <c r="D28">
        <f>Q!D28</f>
        <v>17540</v>
      </c>
      <c r="E28">
        <f>Q!E28</f>
        <v>17537</v>
      </c>
      <c r="F28">
        <f>Q!F28</f>
        <v>17993.961739492486</v>
      </c>
      <c r="G28">
        <f>Q!G28</f>
        <v>17442.46800000007</v>
      </c>
      <c r="H28">
        <f>Q!H28</f>
        <v>17875</v>
      </c>
      <c r="I28">
        <f>Q!N28</f>
        <v>0</v>
      </c>
      <c r="J28" s="119"/>
      <c r="M28" t="s">
        <v>287</v>
      </c>
      <c r="N28" s="116">
        <v>17281.271045603677</v>
      </c>
      <c r="O28" s="116">
        <v>17558</v>
      </c>
      <c r="P28" s="116">
        <v>17548</v>
      </c>
      <c r="Q28" s="116">
        <v>17738</v>
      </c>
      <c r="R28" s="116">
        <v>17447</v>
      </c>
      <c r="S28" s="692">
        <v>17875</v>
      </c>
      <c r="U28" s="119">
        <f t="shared" si="0"/>
        <v>3.3783460596503161E-2</v>
      </c>
    </row>
    <row r="29" spans="1:28" ht="15.75">
      <c r="A29">
        <f>Q!A29</f>
        <v>0</v>
      </c>
      <c r="B29" t="s">
        <v>293</v>
      </c>
      <c r="C29">
        <f>Q!C29</f>
        <v>19430.378480857089</v>
      </c>
      <c r="D29">
        <f>Q!D29</f>
        <v>19878</v>
      </c>
      <c r="E29">
        <f>Q!E29</f>
        <v>19874</v>
      </c>
      <c r="F29">
        <f>Q!F29</f>
        <v>20122.73410516217</v>
      </c>
      <c r="G29">
        <f>Q!G29</f>
        <v>19536.572000000106</v>
      </c>
      <c r="H29">
        <f>Q!H29</f>
        <v>20164</v>
      </c>
      <c r="I29">
        <f>Q!N29</f>
        <v>0</v>
      </c>
      <c r="J29" s="119"/>
      <c r="M29" t="s">
        <v>293</v>
      </c>
      <c r="N29" s="116">
        <v>19430.378480857089</v>
      </c>
      <c r="O29" s="116">
        <v>20145</v>
      </c>
      <c r="P29" s="116">
        <v>21685</v>
      </c>
      <c r="Q29" s="116">
        <v>17789</v>
      </c>
      <c r="R29" s="116">
        <v>19566</v>
      </c>
      <c r="S29" s="692">
        <v>20164</v>
      </c>
      <c r="U29" s="119">
        <f t="shared" si="0"/>
        <v>0.19680183798711626</v>
      </c>
    </row>
    <row r="30" spans="1:28" ht="15.75">
      <c r="A30">
        <f>Q!A30</f>
        <v>0</v>
      </c>
      <c r="B30" t="s">
        <v>294</v>
      </c>
      <c r="C30">
        <f>Q!C30</f>
        <v>15687.079578945253</v>
      </c>
      <c r="D30">
        <f>Q!D30</f>
        <v>15802</v>
      </c>
      <c r="E30">
        <f>Q!E30</f>
        <v>15791</v>
      </c>
      <c r="F30">
        <f>Q!F30</f>
        <v>16608.601068330921</v>
      </c>
      <c r="G30">
        <f>Q!G30</f>
        <v>15791.080999999982</v>
      </c>
      <c r="H30">
        <f>Q!H30</f>
        <v>16339</v>
      </c>
      <c r="I30">
        <f>Q!N30</f>
        <v>0</v>
      </c>
      <c r="J30" s="119"/>
      <c r="M30" t="s">
        <v>294</v>
      </c>
      <c r="N30" s="116">
        <v>15687.079578945253</v>
      </c>
      <c r="O30" s="116">
        <v>15741</v>
      </c>
      <c r="P30" s="116">
        <v>15740</v>
      </c>
      <c r="Q30" s="116">
        <v>16643</v>
      </c>
      <c r="R30" s="116">
        <v>15781</v>
      </c>
      <c r="S30" s="692">
        <v>16339</v>
      </c>
      <c r="U30" s="119">
        <f t="shared" si="0"/>
        <v>5.9787949343450331E-2</v>
      </c>
    </row>
    <row r="31" spans="1:28">
      <c r="B31" t="str">
        <f>Q!B31</f>
        <v>Energy Consumption, Compressor (kWh,e)</v>
      </c>
      <c r="C31">
        <f>Q!C31</f>
        <v>0</v>
      </c>
      <c r="D31">
        <f>Q!D31</f>
        <v>0</v>
      </c>
      <c r="E31">
        <f>Q!E31</f>
        <v>0</v>
      </c>
      <c r="F31">
        <f>Q!F31</f>
        <v>0</v>
      </c>
      <c r="G31">
        <f>Q!G31</f>
        <v>0</v>
      </c>
      <c r="H31">
        <f>Q!H31</f>
        <v>0</v>
      </c>
      <c r="I31">
        <f>Q!N31</f>
        <v>0</v>
      </c>
      <c r="X31" s="116"/>
      <c r="Y31" s="116"/>
      <c r="Z31" s="116"/>
      <c r="AA31" s="116"/>
      <c r="AB31" s="116"/>
    </row>
    <row r="32" spans="1:28">
      <c r="B32">
        <f>Q!B32</f>
        <v>0</v>
      </c>
      <c r="C32" t="str">
        <f>Q!C32</f>
        <v>TRNSYS</v>
      </c>
      <c r="D32" t="str">
        <f>Q!D32</f>
        <v>DOE-2.2</v>
      </c>
      <c r="E32" t="str">
        <f>Q!E32</f>
        <v>DOE21E-E</v>
      </c>
      <c r="F32" t="str">
        <f>Q!F32</f>
        <v>Energy+</v>
      </c>
      <c r="G32" t="str">
        <f>Q!G32</f>
        <v>CODYRUN</v>
      </c>
      <c r="H32" t="str">
        <f>Q!H32</f>
        <v>HOT3000</v>
      </c>
      <c r="I32" t="str">
        <f>Q!N32</f>
        <v>Your</v>
      </c>
      <c r="X32" s="116"/>
      <c r="Y32" s="116"/>
      <c r="Z32" s="116"/>
      <c r="AA32" s="116"/>
      <c r="AB32" s="116"/>
    </row>
    <row r="33" spans="2:28">
      <c r="B33">
        <f>Q!B33</f>
        <v>0</v>
      </c>
      <c r="C33" t="s">
        <v>569</v>
      </c>
      <c r="D33" t="s">
        <v>570</v>
      </c>
      <c r="E33" t="s">
        <v>573</v>
      </c>
      <c r="F33" t="s">
        <v>617</v>
      </c>
      <c r="G33" t="s">
        <v>571</v>
      </c>
      <c r="H33" t="s">
        <v>572</v>
      </c>
      <c r="I33" t="s">
        <v>522</v>
      </c>
      <c r="X33" s="116"/>
      <c r="Y33" s="116"/>
      <c r="Z33" s="116"/>
      <c r="AA33" s="116"/>
      <c r="AB33" s="116"/>
    </row>
    <row r="34" spans="2:28">
      <c r="B34" t="s">
        <v>276</v>
      </c>
      <c r="C34">
        <f>Q!C34</f>
        <v>22353.534309268729</v>
      </c>
      <c r="D34">
        <f>Q!D34</f>
        <v>21569</v>
      </c>
      <c r="E34">
        <f>Q!E34</f>
        <v>21573</v>
      </c>
      <c r="F34">
        <f>Q!F34</f>
        <v>0</v>
      </c>
      <c r="G34">
        <f>Q!G34</f>
        <v>21770.00099999996</v>
      </c>
      <c r="H34">
        <f>Q!H34</f>
        <v>21876</v>
      </c>
      <c r="I34">
        <f>Q!N34</f>
        <v>0</v>
      </c>
      <c r="X34" s="116"/>
      <c r="Y34" s="116"/>
      <c r="Z34" s="116"/>
      <c r="AA34" s="116"/>
      <c r="AB34" s="116"/>
    </row>
    <row r="35" spans="2:28">
      <c r="B35" t="s">
        <v>277</v>
      </c>
      <c r="C35">
        <f>Q!C35</f>
        <v>26339.625369982768</v>
      </c>
      <c r="D35">
        <f>Q!D35</f>
        <v>25813</v>
      </c>
      <c r="E35">
        <f>Q!E35</f>
        <v>25817</v>
      </c>
      <c r="F35">
        <f>Q!F35</f>
        <v>0</v>
      </c>
      <c r="G35">
        <f>Q!G35</f>
        <v>25936.82099999996</v>
      </c>
      <c r="H35">
        <f>Q!H35</f>
        <v>26053</v>
      </c>
      <c r="I35">
        <f>Q!N35</f>
        <v>0</v>
      </c>
      <c r="X35" s="116"/>
      <c r="Y35" s="116"/>
      <c r="Z35" s="116"/>
      <c r="AA35" s="116"/>
      <c r="AB35" s="116"/>
    </row>
    <row r="36" spans="2:28">
      <c r="B36" t="s">
        <v>278</v>
      </c>
      <c r="C36">
        <f>Q!C36</f>
        <v>26433.137388696625</v>
      </c>
      <c r="D36">
        <f>Q!D36</f>
        <v>25250</v>
      </c>
      <c r="E36">
        <f>Q!E36</f>
        <v>25294</v>
      </c>
      <c r="F36">
        <f>Q!F36</f>
        <v>0</v>
      </c>
      <c r="G36">
        <f>Q!G36</f>
        <v>25846.026000000074</v>
      </c>
      <c r="H36">
        <f>Q!H36</f>
        <v>25912</v>
      </c>
      <c r="I36">
        <f>Q!N36</f>
        <v>0</v>
      </c>
      <c r="X36" s="116"/>
      <c r="Y36" s="116"/>
      <c r="Z36" s="116"/>
      <c r="AA36" s="116"/>
      <c r="AB36" s="116"/>
    </row>
    <row r="37" spans="2:28">
      <c r="B37" t="s">
        <v>279</v>
      </c>
      <c r="C37">
        <f>Q!C37</f>
        <v>27299.732074423395</v>
      </c>
      <c r="D37">
        <f>Q!D37</f>
        <v>26172</v>
      </c>
      <c r="E37">
        <f>Q!E37</f>
        <v>25925</v>
      </c>
      <c r="F37">
        <f>Q!F37</f>
        <v>0</v>
      </c>
      <c r="G37">
        <f>Q!G37</f>
        <v>26927.732999999924</v>
      </c>
      <c r="H37">
        <f>Q!H37</f>
        <v>26775</v>
      </c>
      <c r="I37">
        <f>Q!N37</f>
        <v>0</v>
      </c>
      <c r="X37" s="116"/>
      <c r="Y37" s="116"/>
      <c r="Z37" s="116"/>
      <c r="AA37" s="116"/>
      <c r="AB37" s="116"/>
    </row>
    <row r="38" spans="2:28">
      <c r="B38" t="s">
        <v>449</v>
      </c>
      <c r="C38">
        <f>Q!C38</f>
        <v>26962.93733737541</v>
      </c>
      <c r="D38">
        <f>Q!D38</f>
        <v>25829</v>
      </c>
      <c r="E38">
        <f>Q!E38</f>
        <v>25745</v>
      </c>
      <c r="F38">
        <f>Q!F38</f>
        <v>0</v>
      </c>
      <c r="G38">
        <f>Q!G38</f>
        <v>26472.789999999939</v>
      </c>
      <c r="H38">
        <f>Q!H38</f>
        <v>26400</v>
      </c>
      <c r="I38">
        <f>Q!N38</f>
        <v>0</v>
      </c>
      <c r="X38" s="116"/>
      <c r="Y38" s="116"/>
      <c r="Z38" s="116"/>
      <c r="AA38" s="116"/>
      <c r="AB38" s="116"/>
    </row>
    <row r="39" spans="2:28">
      <c r="B39" t="s">
        <v>280</v>
      </c>
      <c r="C39">
        <f>Q!C39</f>
        <v>19316.840364594198</v>
      </c>
      <c r="D39">
        <f>Q!D39</f>
        <v>17802</v>
      </c>
      <c r="E39">
        <f>Q!E39</f>
        <v>17801</v>
      </c>
      <c r="F39">
        <f>Q!F39</f>
        <v>0</v>
      </c>
      <c r="G39">
        <f>Q!G39</f>
        <v>18738.054999999913</v>
      </c>
      <c r="H39">
        <f>Q!H39</f>
        <v>18891</v>
      </c>
      <c r="I39">
        <f>Q!N39</f>
        <v>0</v>
      </c>
      <c r="X39" s="116"/>
      <c r="Y39" s="116"/>
      <c r="Z39" s="116"/>
      <c r="AA39" s="116"/>
      <c r="AB39" s="116"/>
    </row>
    <row r="40" spans="2:28">
      <c r="B40" t="s">
        <v>281</v>
      </c>
      <c r="C40">
        <f>Q!C40</f>
        <v>40105.839879967134</v>
      </c>
      <c r="D40">
        <f>Q!D40</f>
        <v>38999</v>
      </c>
      <c r="E40">
        <f>Q!E40</f>
        <v>38955</v>
      </c>
      <c r="F40">
        <f>Q!F40</f>
        <v>0</v>
      </c>
      <c r="G40">
        <f>Q!G40</f>
        <v>39697.162000000208</v>
      </c>
      <c r="H40">
        <f>Q!H40</f>
        <v>39941</v>
      </c>
      <c r="I40">
        <f>Q!N40</f>
        <v>0</v>
      </c>
      <c r="X40" s="116"/>
      <c r="Y40" s="116"/>
      <c r="Z40" s="116"/>
      <c r="AA40" s="116"/>
      <c r="AB40" s="116"/>
    </row>
    <row r="41" spans="2:28">
      <c r="B41" t="s">
        <v>291</v>
      </c>
      <c r="C41">
        <f>Q!C41</f>
        <v>19178.948737703857</v>
      </c>
      <c r="D41">
        <f>Q!D41</f>
        <v>18106</v>
      </c>
      <c r="E41">
        <f>Q!E41</f>
        <v>18131</v>
      </c>
      <c r="F41">
        <f>Q!F41</f>
        <v>0</v>
      </c>
      <c r="G41">
        <f>Q!G41</f>
        <v>0</v>
      </c>
      <c r="H41">
        <f>Q!H41</f>
        <v>18629</v>
      </c>
      <c r="I41">
        <f>Q!N41</f>
        <v>0</v>
      </c>
      <c r="X41" s="116"/>
      <c r="Y41" s="116"/>
      <c r="Z41" s="116"/>
      <c r="AA41" s="116"/>
      <c r="AB41" s="116"/>
    </row>
    <row r="42" spans="2:28">
      <c r="B42" t="s">
        <v>288</v>
      </c>
      <c r="C42">
        <f>Q!C42</f>
        <v>19204.494365578117</v>
      </c>
      <c r="D42">
        <f>Q!D42</f>
        <v>18823</v>
      </c>
      <c r="E42">
        <f>Q!E42</f>
        <v>18850</v>
      </c>
      <c r="F42">
        <f>Q!F42</f>
        <v>0</v>
      </c>
      <c r="G42">
        <f>Q!G42</f>
        <v>0</v>
      </c>
      <c r="H42">
        <f>Q!H42</f>
        <v>18685</v>
      </c>
      <c r="I42">
        <f>Q!N42</f>
        <v>0</v>
      </c>
      <c r="X42" s="116"/>
      <c r="Y42" s="116"/>
      <c r="Z42" s="116"/>
      <c r="AA42" s="116"/>
      <c r="AB42" s="116"/>
    </row>
    <row r="43" spans="2:28">
      <c r="B43" t="s">
        <v>289</v>
      </c>
      <c r="C43">
        <f>Q!C43</f>
        <v>20358.585393713744</v>
      </c>
      <c r="D43">
        <f>Q!D43</f>
        <v>19596</v>
      </c>
      <c r="E43">
        <f>Q!E43</f>
        <v>19934</v>
      </c>
      <c r="F43">
        <f>Q!F43</f>
        <v>0</v>
      </c>
      <c r="G43">
        <f>Q!G43</f>
        <v>0</v>
      </c>
      <c r="H43">
        <f>Q!H43</f>
        <v>20214</v>
      </c>
      <c r="I43">
        <f>Q!N43</f>
        <v>0</v>
      </c>
      <c r="X43" s="116"/>
      <c r="Y43" s="116"/>
      <c r="Z43" s="116"/>
      <c r="AA43" s="116"/>
      <c r="AB43" s="116"/>
    </row>
    <row r="44" spans="2:28">
      <c r="B44" t="s">
        <v>292</v>
      </c>
      <c r="C44">
        <f>Q!C44</f>
        <v>19598.621063024904</v>
      </c>
      <c r="D44">
        <f>Q!D44</f>
        <v>19059</v>
      </c>
      <c r="E44">
        <f>Q!E44</f>
        <v>18951</v>
      </c>
      <c r="F44">
        <f>Q!F44</f>
        <v>0</v>
      </c>
      <c r="G44">
        <f>Q!G44</f>
        <v>0</v>
      </c>
      <c r="H44">
        <f>Q!H44</f>
        <v>18966</v>
      </c>
      <c r="I44">
        <f>Q!N44</f>
        <v>0</v>
      </c>
      <c r="X44" s="116"/>
      <c r="Y44" s="116"/>
      <c r="Z44" s="116"/>
      <c r="AA44" s="116"/>
      <c r="AB44" s="116"/>
    </row>
    <row r="45" spans="2:28">
      <c r="B45" t="s">
        <v>290</v>
      </c>
      <c r="C45">
        <f>Q!C45</f>
        <v>20629.133255656114</v>
      </c>
      <c r="D45">
        <f>Q!D45</f>
        <v>20042</v>
      </c>
      <c r="E45">
        <f>Q!E45</f>
        <v>19989</v>
      </c>
      <c r="F45">
        <f>Q!F45</f>
        <v>0</v>
      </c>
      <c r="G45">
        <f>Q!G45</f>
        <v>0</v>
      </c>
      <c r="H45">
        <f>Q!H45</f>
        <v>20249</v>
      </c>
      <c r="I45">
        <f>Q!N45</f>
        <v>0</v>
      </c>
      <c r="X45" s="116"/>
      <c r="Y45" s="116"/>
      <c r="Z45" s="116"/>
      <c r="AA45" s="116"/>
      <c r="AB45" s="116"/>
    </row>
    <row r="46" spans="2:28">
      <c r="B46" t="s">
        <v>282</v>
      </c>
      <c r="C46">
        <f>Q!C46</f>
        <v>17854.295557848422</v>
      </c>
      <c r="D46">
        <f>Q!D46</f>
        <v>18473</v>
      </c>
      <c r="E46">
        <f>Q!E46</f>
        <v>18478</v>
      </c>
      <c r="F46">
        <f>Q!F46</f>
        <v>0</v>
      </c>
      <c r="G46">
        <f>Q!G46</f>
        <v>17857.852000000032</v>
      </c>
      <c r="H46">
        <f>Q!H46</f>
        <v>18522</v>
      </c>
      <c r="I46">
        <f>Q!N46</f>
        <v>0</v>
      </c>
      <c r="X46" s="116"/>
      <c r="Y46" s="116"/>
      <c r="Z46" s="116"/>
      <c r="AA46" s="116"/>
      <c r="AB46" s="116"/>
    </row>
    <row r="47" spans="2:28">
      <c r="B47" t="str">
        <f>Q!B47</f>
        <v>E500 May-Sep</v>
      </c>
      <c r="C47">
        <f>Q!C47</f>
        <v>13942.147864083752</v>
      </c>
      <c r="D47">
        <f>Q!D47</f>
        <v>14508</v>
      </c>
      <c r="E47">
        <f>Q!E47</f>
        <v>14506</v>
      </c>
      <c r="F47">
        <f>Q!F47</f>
        <v>0</v>
      </c>
      <c r="G47">
        <f>Q!G47</f>
        <v>13988.512000000033</v>
      </c>
      <c r="H47">
        <f>Q!H47</f>
        <v>14491</v>
      </c>
      <c r="I47">
        <f>Q!N47</f>
        <v>0</v>
      </c>
      <c r="X47" s="116"/>
      <c r="Y47" s="116"/>
      <c r="Z47" s="116"/>
      <c r="AA47" s="116"/>
      <c r="AB47" s="116"/>
    </row>
    <row r="48" spans="2:28">
      <c r="B48" t="s">
        <v>283</v>
      </c>
      <c r="C48">
        <f>Q!C48</f>
        <v>27747.878980448822</v>
      </c>
      <c r="D48">
        <f>Q!D48</f>
        <v>28811</v>
      </c>
      <c r="E48">
        <f>Q!E48</f>
        <v>28810</v>
      </c>
      <c r="F48">
        <f>Q!F48</f>
        <v>0</v>
      </c>
      <c r="G48">
        <f>Q!G48</f>
        <v>27901.95700000002</v>
      </c>
      <c r="H48">
        <f>Q!H48</f>
        <v>28721</v>
      </c>
      <c r="I48">
        <f>Q!N48</f>
        <v>0</v>
      </c>
      <c r="X48" s="116"/>
      <c r="Y48" s="116"/>
      <c r="Z48" s="116"/>
      <c r="AA48" s="116"/>
      <c r="AB48" s="116"/>
    </row>
    <row r="49" spans="2:28">
      <c r="B49" t="s">
        <v>284</v>
      </c>
      <c r="C49">
        <f>Q!C49</f>
        <v>19521.276662968372</v>
      </c>
      <c r="D49">
        <f>Q!D49</f>
        <v>20121</v>
      </c>
      <c r="E49">
        <f>Q!E49</f>
        <v>20126</v>
      </c>
      <c r="F49">
        <f>Q!F49</f>
        <v>0</v>
      </c>
      <c r="G49">
        <f>Q!G49</f>
        <v>19654.972000000191</v>
      </c>
      <c r="H49">
        <f>Q!H49</f>
        <v>20185</v>
      </c>
      <c r="I49">
        <f>Q!N49</f>
        <v>0</v>
      </c>
      <c r="X49" s="116"/>
      <c r="Y49" s="116"/>
      <c r="Z49" s="116"/>
      <c r="AA49" s="116"/>
      <c r="AB49" s="116"/>
    </row>
    <row r="50" spans="2:28">
      <c r="B50" t="s">
        <v>285</v>
      </c>
      <c r="C50">
        <f>Q!C50</f>
        <v>18620.310806459944</v>
      </c>
      <c r="D50">
        <f>Q!D50</f>
        <v>19407</v>
      </c>
      <c r="E50">
        <f>Q!E50</f>
        <v>19418</v>
      </c>
      <c r="F50">
        <f>Q!F50</f>
        <v>0</v>
      </c>
      <c r="G50">
        <f>Q!G50</f>
        <v>18689.798999999959</v>
      </c>
      <c r="H50">
        <f>Q!H50</f>
        <v>19281</v>
      </c>
      <c r="I50">
        <f>Q!N50</f>
        <v>0</v>
      </c>
      <c r="X50" s="116"/>
      <c r="Y50" s="116"/>
      <c r="Z50" s="116"/>
      <c r="AA50" s="116"/>
      <c r="AB50" s="116"/>
    </row>
    <row r="51" spans="2:28">
      <c r="B51" t="s">
        <v>286</v>
      </c>
      <c r="C51">
        <f>Q!C51</f>
        <v>16557.874829804307</v>
      </c>
      <c r="D51">
        <f>Q!D51</f>
        <v>16880</v>
      </c>
      <c r="E51">
        <f>Q!E51</f>
        <v>16893</v>
      </c>
      <c r="F51">
        <f>Q!F51</f>
        <v>0</v>
      </c>
      <c r="G51">
        <f>Q!G51</f>
        <v>16506.801999999989</v>
      </c>
      <c r="H51">
        <f>Q!H51</f>
        <v>17443</v>
      </c>
      <c r="I51">
        <f>Q!N51</f>
        <v>0</v>
      </c>
      <c r="X51" s="116"/>
      <c r="Y51" s="116"/>
      <c r="Z51" s="116"/>
      <c r="AA51" s="116"/>
      <c r="AB51" s="116"/>
    </row>
    <row r="52" spans="2:28">
      <c r="B52" t="s">
        <v>287</v>
      </c>
      <c r="C52">
        <f>Q!C52</f>
        <v>13656.995123440021</v>
      </c>
      <c r="D52">
        <f>Q!D52</f>
        <v>14127</v>
      </c>
      <c r="E52">
        <f>Q!E52</f>
        <v>14124</v>
      </c>
      <c r="F52">
        <f>Q!F52</f>
        <v>0</v>
      </c>
      <c r="G52">
        <f>Q!G52</f>
        <v>13855.928000000073</v>
      </c>
      <c r="H52">
        <f>Q!H52</f>
        <v>14172</v>
      </c>
      <c r="I52">
        <f>Q!N52</f>
        <v>0</v>
      </c>
      <c r="X52" s="116"/>
      <c r="Y52" s="116"/>
      <c r="Z52" s="116"/>
      <c r="AA52" s="116"/>
      <c r="AB52" s="116"/>
    </row>
    <row r="53" spans="2:28">
      <c r="B53" t="s">
        <v>293</v>
      </c>
      <c r="C53">
        <f>Q!C53</f>
        <v>15020.743269785731</v>
      </c>
      <c r="D53">
        <f>Q!D53</f>
        <v>15680</v>
      </c>
      <c r="E53">
        <f>Q!E53</f>
        <v>15677</v>
      </c>
      <c r="F53">
        <f>Q!F53</f>
        <v>0</v>
      </c>
      <c r="G53">
        <f>Q!G53</f>
        <v>15163.82</v>
      </c>
      <c r="H53">
        <f>Q!H53</f>
        <v>15664</v>
      </c>
      <c r="I53">
        <f>Q!N53</f>
        <v>0</v>
      </c>
      <c r="X53" s="116"/>
      <c r="Y53" s="116"/>
      <c r="Z53" s="116"/>
      <c r="AA53" s="116"/>
      <c r="AB53" s="116"/>
    </row>
    <row r="54" spans="2:28">
      <c r="B54" t="s">
        <v>294</v>
      </c>
      <c r="C54">
        <f>Q!C54</f>
        <v>12621.868518963793</v>
      </c>
      <c r="D54">
        <f>Q!D54</f>
        <v>12967</v>
      </c>
      <c r="E54">
        <f>Q!E54</f>
        <v>12957</v>
      </c>
      <c r="F54">
        <f>Q!F54</f>
        <v>0</v>
      </c>
      <c r="G54">
        <f>Q!G54</f>
        <v>12750.622999999985</v>
      </c>
      <c r="H54">
        <f>Q!H54</f>
        <v>13215</v>
      </c>
      <c r="I54">
        <f>Q!N54</f>
        <v>0</v>
      </c>
      <c r="X54" s="116"/>
      <c r="Y54" s="116"/>
      <c r="Z54" s="116"/>
      <c r="AA54" s="116"/>
      <c r="AB54" s="116"/>
    </row>
    <row r="55" spans="2:28">
      <c r="X55" s="116"/>
      <c r="Y55" s="116"/>
      <c r="Z55" s="116"/>
      <c r="AA55" s="116"/>
      <c r="AB55" s="116"/>
    </row>
    <row r="56" spans="2:28">
      <c r="X56" s="116"/>
      <c r="Y56" s="116"/>
      <c r="Z56" s="116"/>
      <c r="AA56" s="116"/>
      <c r="AB56" s="116"/>
    </row>
    <row r="57" spans="2:28">
      <c r="B57" t="str">
        <f>Q!B57</f>
        <v>Energy Consumption, Supply Fan (kWh,e)</v>
      </c>
      <c r="C57">
        <f>Q!C57</f>
        <v>0</v>
      </c>
      <c r="D57">
        <f>Q!D57</f>
        <v>0</v>
      </c>
      <c r="E57">
        <f>Q!E57</f>
        <v>0</v>
      </c>
      <c r="F57">
        <f>Q!F57</f>
        <v>0</v>
      </c>
      <c r="G57">
        <f>Q!G57</f>
        <v>0</v>
      </c>
      <c r="H57">
        <f>Q!H57</f>
        <v>0</v>
      </c>
      <c r="I57">
        <f>Q!N57</f>
        <v>0</v>
      </c>
      <c r="X57" s="116"/>
      <c r="Y57" s="116"/>
      <c r="Z57" s="116"/>
      <c r="AA57" s="116"/>
      <c r="AB57" s="116"/>
    </row>
    <row r="58" spans="2:28">
      <c r="B58">
        <f>Q!B58</f>
        <v>0</v>
      </c>
      <c r="C58" t="str">
        <f>Q!C58</f>
        <v>TRNSYS</v>
      </c>
      <c r="D58" t="str">
        <f>Q!D58</f>
        <v>DOE-2.2</v>
      </c>
      <c r="E58" t="str">
        <f>Q!E58</f>
        <v>DOE21E-E</v>
      </c>
      <c r="F58" t="str">
        <f>Q!F58</f>
        <v>Energy+</v>
      </c>
      <c r="G58" t="str">
        <f>Q!G58</f>
        <v>CODYRUN</v>
      </c>
      <c r="H58" t="str">
        <f>Q!H58</f>
        <v>HOT3000</v>
      </c>
      <c r="I58" t="str">
        <f>Q!N58</f>
        <v>Your</v>
      </c>
      <c r="X58" s="116"/>
      <c r="Y58" s="116"/>
      <c r="Z58" s="116"/>
      <c r="AA58" s="116"/>
      <c r="AB58" s="116"/>
    </row>
    <row r="59" spans="2:28">
      <c r="B59">
        <f>Q!B59</f>
        <v>0</v>
      </c>
      <c r="C59" t="s">
        <v>569</v>
      </c>
      <c r="D59" t="s">
        <v>570</v>
      </c>
      <c r="E59" t="s">
        <v>573</v>
      </c>
      <c r="F59" t="s">
        <v>617</v>
      </c>
      <c r="G59" t="s">
        <v>571</v>
      </c>
      <c r="H59" t="s">
        <v>572</v>
      </c>
      <c r="I59" t="s">
        <v>522</v>
      </c>
      <c r="X59" s="116"/>
      <c r="Y59" s="116"/>
      <c r="Z59" s="116"/>
      <c r="AA59" s="116"/>
      <c r="AB59" s="116"/>
    </row>
    <row r="60" spans="2:28">
      <c r="B60" t="s">
        <v>276</v>
      </c>
      <c r="C60">
        <f>Q!C60</f>
        <v>10879.92</v>
      </c>
      <c r="D60">
        <f>Q!D60</f>
        <v>10880</v>
      </c>
      <c r="E60">
        <f>Q!E60</f>
        <v>10880</v>
      </c>
      <c r="F60">
        <f>Q!F60</f>
        <v>10862.091928960235</v>
      </c>
      <c r="G60">
        <f>Q!G60</f>
        <v>10879.920000001301</v>
      </c>
      <c r="H60">
        <f>Q!H60</f>
        <v>10880</v>
      </c>
      <c r="I60">
        <f>Q!N60</f>
        <v>0</v>
      </c>
      <c r="X60" s="116"/>
      <c r="Y60" s="116"/>
      <c r="Z60" s="116"/>
      <c r="AA60" s="116"/>
      <c r="AB60" s="116"/>
    </row>
    <row r="61" spans="2:28">
      <c r="B61" t="s">
        <v>277</v>
      </c>
      <c r="C61">
        <f>Q!C61</f>
        <v>10879.92</v>
      </c>
      <c r="D61">
        <f>Q!D61</f>
        <v>10880</v>
      </c>
      <c r="E61">
        <f>Q!E61</f>
        <v>10880</v>
      </c>
      <c r="F61">
        <f>Q!F61</f>
        <v>10862.091928960235</v>
      </c>
      <c r="G61">
        <f>Q!G61</f>
        <v>10879.920000001301</v>
      </c>
      <c r="H61">
        <f>Q!H61</f>
        <v>10880</v>
      </c>
      <c r="I61">
        <f>Q!N61</f>
        <v>0</v>
      </c>
      <c r="X61" s="116"/>
      <c r="Y61" s="116"/>
      <c r="Z61" s="116"/>
      <c r="AA61" s="116"/>
      <c r="AB61" s="116"/>
    </row>
    <row r="62" spans="2:28">
      <c r="B62" t="s">
        <v>278</v>
      </c>
      <c r="C62">
        <f>Q!C62</f>
        <v>10879.92</v>
      </c>
      <c r="D62">
        <f>Q!D62</f>
        <v>10880</v>
      </c>
      <c r="E62">
        <f>Q!E62</f>
        <v>10880</v>
      </c>
      <c r="F62">
        <f>Q!F62</f>
        <v>10862.091928960235</v>
      </c>
      <c r="G62">
        <f>Q!G62</f>
        <v>10879.920000001301</v>
      </c>
      <c r="H62">
        <f>Q!H62</f>
        <v>10880</v>
      </c>
      <c r="I62">
        <f>Q!N62</f>
        <v>0</v>
      </c>
      <c r="X62" s="116"/>
      <c r="Y62" s="116"/>
      <c r="Z62" s="116"/>
      <c r="AA62" s="116"/>
      <c r="AB62" s="116"/>
    </row>
    <row r="63" spans="2:28">
      <c r="B63" t="s">
        <v>279</v>
      </c>
      <c r="C63">
        <f>Q!C63</f>
        <v>10879.92</v>
      </c>
      <c r="D63">
        <f>Q!D63</f>
        <v>10880</v>
      </c>
      <c r="E63">
        <f>Q!E63</f>
        <v>10880</v>
      </c>
      <c r="F63">
        <f>Q!F63</f>
        <v>10862.091928960235</v>
      </c>
      <c r="G63">
        <f>Q!G63</f>
        <v>10879.920000001301</v>
      </c>
      <c r="H63">
        <f>Q!H63</f>
        <v>10880</v>
      </c>
      <c r="I63">
        <f>Q!N63</f>
        <v>0</v>
      </c>
      <c r="X63" s="116"/>
      <c r="Y63" s="116"/>
      <c r="Z63" s="116"/>
      <c r="AA63" s="116"/>
      <c r="AB63" s="116"/>
    </row>
    <row r="64" spans="2:28">
      <c r="B64" t="s">
        <v>449</v>
      </c>
      <c r="C64">
        <f>Q!C64</f>
        <v>10879.92</v>
      </c>
      <c r="D64">
        <f>Q!D64</f>
        <v>10880</v>
      </c>
      <c r="E64">
        <f>Q!E64</f>
        <v>10880</v>
      </c>
      <c r="F64">
        <f>Q!F64</f>
        <v>10862.091928960235</v>
      </c>
      <c r="G64">
        <f>Q!G64</f>
        <v>10879.920000001301</v>
      </c>
      <c r="H64">
        <f>Q!H64</f>
        <v>10880</v>
      </c>
      <c r="I64">
        <f>Q!N64</f>
        <v>0</v>
      </c>
      <c r="X64" s="116"/>
      <c r="Y64" s="116"/>
      <c r="Z64" s="116"/>
      <c r="AA64" s="116"/>
      <c r="AB64" s="116"/>
    </row>
    <row r="65" spans="1:28">
      <c r="B65" t="s">
        <v>280</v>
      </c>
      <c r="C65">
        <f>Q!C65</f>
        <v>10879.92</v>
      </c>
      <c r="D65">
        <f>Q!D65</f>
        <v>10880</v>
      </c>
      <c r="E65">
        <f>Q!E65</f>
        <v>10880</v>
      </c>
      <c r="F65">
        <f>Q!F65</f>
        <v>10862.091928960235</v>
      </c>
      <c r="G65">
        <f>Q!G65</f>
        <v>10879.920000001301</v>
      </c>
      <c r="H65">
        <f>Q!H65</f>
        <v>10880</v>
      </c>
      <c r="I65">
        <f>Q!N65</f>
        <v>0</v>
      </c>
      <c r="X65" s="116"/>
      <c r="Y65" s="116"/>
      <c r="Z65" s="116"/>
      <c r="AA65" s="116"/>
      <c r="AB65" s="116"/>
    </row>
    <row r="66" spans="1:28">
      <c r="B66" t="s">
        <v>281</v>
      </c>
      <c r="C66">
        <f>Q!C66</f>
        <v>10879.92</v>
      </c>
      <c r="D66">
        <f>Q!D66</f>
        <v>10880</v>
      </c>
      <c r="E66">
        <f>Q!E66</f>
        <v>10880</v>
      </c>
      <c r="F66">
        <f>Q!F66</f>
        <v>10862.091928960235</v>
      </c>
      <c r="G66">
        <f>Q!G66</f>
        <v>10879.920000001301</v>
      </c>
      <c r="H66">
        <f>Q!H66</f>
        <v>10880</v>
      </c>
      <c r="I66">
        <f>Q!N66</f>
        <v>0</v>
      </c>
      <c r="X66" s="116"/>
      <c r="Y66" s="116"/>
      <c r="Z66" s="116"/>
      <c r="AA66" s="116"/>
      <c r="AB66" s="116"/>
    </row>
    <row r="67" spans="1:28">
      <c r="B67" t="s">
        <v>291</v>
      </c>
      <c r="C67">
        <f>Q!C67</f>
        <v>10879.92</v>
      </c>
      <c r="D67">
        <f>Q!D67</f>
        <v>10880</v>
      </c>
      <c r="E67">
        <f>Q!E67</f>
        <v>10880</v>
      </c>
      <c r="F67">
        <f>Q!F67</f>
        <v>10862.091928960235</v>
      </c>
      <c r="G67">
        <f>Q!G67</f>
        <v>0</v>
      </c>
      <c r="H67">
        <f>Q!H67</f>
        <v>10880</v>
      </c>
      <c r="I67">
        <f>Q!N67</f>
        <v>0</v>
      </c>
      <c r="X67" s="116"/>
      <c r="Y67" s="116"/>
      <c r="Z67" s="116"/>
      <c r="AA67" s="116"/>
      <c r="AB67" s="116"/>
    </row>
    <row r="68" spans="1:28">
      <c r="B68" t="s">
        <v>288</v>
      </c>
      <c r="C68">
        <f>Q!C68</f>
        <v>10879.92</v>
      </c>
      <c r="D68">
        <f>Q!D68</f>
        <v>10880</v>
      </c>
      <c r="E68">
        <f>Q!E68</f>
        <v>10880</v>
      </c>
      <c r="F68">
        <f>Q!F68</f>
        <v>10862.091928960235</v>
      </c>
      <c r="G68">
        <f>Q!G68</f>
        <v>0</v>
      </c>
      <c r="H68">
        <f>Q!H68</f>
        <v>10880</v>
      </c>
      <c r="I68">
        <f>Q!N68</f>
        <v>0</v>
      </c>
      <c r="X68" s="116"/>
      <c r="Y68" s="116"/>
      <c r="Z68" s="116"/>
      <c r="AA68" s="116"/>
      <c r="AB68" s="116"/>
    </row>
    <row r="69" spans="1:28">
      <c r="B69" t="s">
        <v>289</v>
      </c>
      <c r="C69">
        <f>Q!C69</f>
        <v>10879.92</v>
      </c>
      <c r="D69">
        <f>Q!D69</f>
        <v>10880</v>
      </c>
      <c r="E69">
        <f>Q!E69</f>
        <v>10880</v>
      </c>
      <c r="F69">
        <f>Q!F69</f>
        <v>10862.091928960235</v>
      </c>
      <c r="G69">
        <f>Q!G69</f>
        <v>0</v>
      </c>
      <c r="H69">
        <f>Q!H69</f>
        <v>10880</v>
      </c>
      <c r="I69">
        <f>Q!N69</f>
        <v>0</v>
      </c>
      <c r="X69" s="116"/>
      <c r="Y69" s="116"/>
      <c r="Z69" s="116"/>
      <c r="AA69" s="116"/>
      <c r="AB69" s="116"/>
    </row>
    <row r="70" spans="1:28">
      <c r="B70" t="s">
        <v>292</v>
      </c>
      <c r="C70">
        <f>Q!C70</f>
        <v>10879.92</v>
      </c>
      <c r="D70">
        <f>Q!D70</f>
        <v>10880</v>
      </c>
      <c r="E70">
        <f>Q!E70</f>
        <v>10880</v>
      </c>
      <c r="F70">
        <f>Q!F70</f>
        <v>10862.091928960235</v>
      </c>
      <c r="G70">
        <f>Q!G70</f>
        <v>0</v>
      </c>
      <c r="H70">
        <f>Q!H70</f>
        <v>10880</v>
      </c>
      <c r="I70">
        <f>Q!N70</f>
        <v>0</v>
      </c>
      <c r="X70" s="116"/>
      <c r="Y70" s="116"/>
      <c r="Z70" s="116"/>
      <c r="AA70" s="116"/>
      <c r="AB70" s="116"/>
    </row>
    <row r="71" spans="1:28">
      <c r="B71" t="s">
        <v>290</v>
      </c>
      <c r="C71">
        <f>Q!C71</f>
        <v>10879.92</v>
      </c>
      <c r="D71">
        <f>Q!D71</f>
        <v>10880</v>
      </c>
      <c r="E71">
        <f>Q!E71</f>
        <v>10880</v>
      </c>
      <c r="F71">
        <f>Q!F71</f>
        <v>10862.091928960235</v>
      </c>
      <c r="G71">
        <f>Q!G71</f>
        <v>0</v>
      </c>
      <c r="H71">
        <f>Q!H71</f>
        <v>10880</v>
      </c>
      <c r="I71">
        <f>Q!N71</f>
        <v>0</v>
      </c>
      <c r="X71" s="116"/>
      <c r="Y71" s="116"/>
      <c r="Z71" s="116"/>
      <c r="AA71" s="116"/>
      <c r="AB71" s="116"/>
    </row>
    <row r="72" spans="1:28">
      <c r="B72" t="s">
        <v>282</v>
      </c>
      <c r="C72">
        <f>Q!C72</f>
        <v>2563.8216350909911</v>
      </c>
      <c r="D72">
        <f>Q!D72</f>
        <v>2369</v>
      </c>
      <c r="E72">
        <f>Q!E72</f>
        <v>2369</v>
      </c>
      <c r="F72">
        <f>Q!F72</f>
        <v>2630.5429758614428</v>
      </c>
      <c r="G72">
        <f>Q!G72</f>
        <v>2553.2319999999895</v>
      </c>
      <c r="H72">
        <f>Q!H72</f>
        <v>2639</v>
      </c>
      <c r="I72">
        <f>Q!N72</f>
        <v>0</v>
      </c>
      <c r="X72" s="116"/>
      <c r="Y72" s="116"/>
      <c r="Z72" s="116"/>
      <c r="AA72" s="116"/>
      <c r="AB72" s="116"/>
    </row>
    <row r="73" spans="1:28">
      <c r="B73" t="str">
        <f>Q!B73</f>
        <v>E500 May-Sep</v>
      </c>
      <c r="C73">
        <f>Q!C73</f>
        <v>1972.0485219541506</v>
      </c>
      <c r="D73">
        <f>Q!D73</f>
        <v>1837</v>
      </c>
      <c r="E73">
        <f>Q!E73</f>
        <v>1837</v>
      </c>
      <c r="F73">
        <f>Q!F73</f>
        <v>2030.7654181163252</v>
      </c>
      <c r="G73">
        <f>Q!G73</f>
        <v>1970.496999999993</v>
      </c>
      <c r="H73">
        <f>Q!H73</f>
        <v>2035</v>
      </c>
      <c r="I73">
        <f>Q!N73</f>
        <v>0</v>
      </c>
      <c r="X73" s="116"/>
      <c r="Y73" s="116"/>
      <c r="Z73" s="116"/>
      <c r="AA73" s="116"/>
      <c r="AB73" s="116"/>
    </row>
    <row r="74" spans="1:28">
      <c r="B74" t="s">
        <v>283</v>
      </c>
      <c r="C74">
        <f>Q!C74</f>
        <v>3923.219754588878</v>
      </c>
      <c r="D74">
        <f>Q!D74</f>
        <v>4099</v>
      </c>
      <c r="E74">
        <f>Q!E74</f>
        <v>4099</v>
      </c>
      <c r="F74">
        <f>Q!F74</f>
        <v>4065.8534654745631</v>
      </c>
      <c r="G74">
        <f>Q!G74</f>
        <v>3972.28</v>
      </c>
      <c r="H74">
        <f>Q!H74</f>
        <v>4073</v>
      </c>
      <c r="I74">
        <f>Q!N74</f>
        <v>0</v>
      </c>
      <c r="X74" s="116"/>
      <c r="Y74" s="116"/>
      <c r="Z74" s="116"/>
      <c r="AA74" s="116"/>
      <c r="AB74" s="116"/>
    </row>
    <row r="75" spans="1:28">
      <c r="B75" t="s">
        <v>284</v>
      </c>
      <c r="C75">
        <f>Q!C75</f>
        <v>3125.1884048447769</v>
      </c>
      <c r="D75">
        <f>Q!D75</f>
        <v>2874</v>
      </c>
      <c r="E75">
        <f>Q!E75</f>
        <v>2871</v>
      </c>
      <c r="F75">
        <f>Q!F75</f>
        <v>3140.7018870980669</v>
      </c>
      <c r="G75">
        <f>Q!G75</f>
        <v>3131.2710000000302</v>
      </c>
      <c r="H75">
        <f>Q!H75</f>
        <v>3200</v>
      </c>
      <c r="I75">
        <f>Q!N75</f>
        <v>0</v>
      </c>
      <c r="X75" s="116"/>
      <c r="Y75" s="116"/>
      <c r="Z75" s="116"/>
      <c r="AA75" s="116"/>
      <c r="AB75" s="116"/>
    </row>
    <row r="76" spans="1:28">
      <c r="B76" t="s">
        <v>285</v>
      </c>
      <c r="C76">
        <f>Q!C76</f>
        <v>2815.5716197033621</v>
      </c>
      <c r="D76">
        <f>Q!D76</f>
        <v>2704</v>
      </c>
      <c r="E76">
        <f>Q!E76</f>
        <v>2707</v>
      </c>
      <c r="F76">
        <f>Q!F76</f>
        <v>2878.8648882399661</v>
      </c>
      <c r="G76">
        <f>Q!G76</f>
        <v>2819.112000000006</v>
      </c>
      <c r="H76">
        <f>Q!H76</f>
        <v>2904</v>
      </c>
      <c r="I76">
        <f>Q!N76</f>
        <v>0</v>
      </c>
      <c r="X76" s="116"/>
      <c r="Y76" s="116"/>
      <c r="Z76" s="116"/>
      <c r="AA76" s="116"/>
      <c r="AB76" s="116"/>
    </row>
    <row r="77" spans="1:28">
      <c r="B77" t="s">
        <v>286</v>
      </c>
      <c r="C77">
        <f>Q!C77</f>
        <v>2151.7702225905218</v>
      </c>
      <c r="D77">
        <f>Q!D77</f>
        <v>1886</v>
      </c>
      <c r="E77">
        <f>Q!E77</f>
        <v>1885</v>
      </c>
      <c r="F77">
        <f>Q!F77</f>
        <v>2192.24716644307</v>
      </c>
      <c r="G77">
        <f>Q!G77</f>
        <v>2135.7079999999992</v>
      </c>
      <c r="H77">
        <f>Q!H77</f>
        <v>2221</v>
      </c>
      <c r="I77">
        <f>Q!N77</f>
        <v>0</v>
      </c>
      <c r="X77" s="116"/>
      <c r="Y77" s="116"/>
      <c r="Z77" s="116"/>
      <c r="AA77" s="116"/>
      <c r="AB77" s="116"/>
    </row>
    <row r="78" spans="1:28">
      <c r="B78" t="s">
        <v>287</v>
      </c>
      <c r="C78">
        <f>Q!C78</f>
        <v>2072.4450715134722</v>
      </c>
      <c r="D78">
        <f>Q!D78</f>
        <v>1833</v>
      </c>
      <c r="E78">
        <f>Q!E78</f>
        <v>1833</v>
      </c>
      <c r="F78">
        <f>Q!F78</f>
        <v>2121.7133965835774</v>
      </c>
      <c r="G78">
        <f>Q!G78</f>
        <v>2050.855999999997</v>
      </c>
      <c r="H78">
        <f>Q!H78</f>
        <v>2117</v>
      </c>
      <c r="I78">
        <f>Q!N78</f>
        <v>0</v>
      </c>
      <c r="X78" s="116"/>
      <c r="Y78" s="116"/>
      <c r="Z78" s="116"/>
      <c r="AA78" s="116"/>
      <c r="AB78" s="116"/>
    </row>
    <row r="79" spans="1:28">
      <c r="A79">
        <f>Q!A81</f>
        <v>0</v>
      </c>
      <c r="B79" t="s">
        <v>293</v>
      </c>
      <c r="C79">
        <f>Q!C79</f>
        <v>2521.531736717593</v>
      </c>
      <c r="D79">
        <f>Q!D79</f>
        <v>2258</v>
      </c>
      <c r="E79">
        <f>Q!E79</f>
        <v>2258</v>
      </c>
      <c r="F79">
        <f>Q!F79</f>
        <v>2493.7907916854338</v>
      </c>
      <c r="G79">
        <f>Q!G79</f>
        <v>2500.4160000000597</v>
      </c>
      <c r="H79">
        <f>Q!H79</f>
        <v>2573</v>
      </c>
      <c r="I79">
        <f>Q!N79</f>
        <v>0</v>
      </c>
    </row>
    <row r="80" spans="1:28">
      <c r="A80">
        <f>Q!A82</f>
        <v>0</v>
      </c>
      <c r="B80" t="s">
        <v>294</v>
      </c>
      <c r="C80">
        <f>Q!C80</f>
        <v>1752.7588105418879</v>
      </c>
      <c r="D80">
        <f>Q!D80</f>
        <v>1501</v>
      </c>
      <c r="E80">
        <f>Q!E80</f>
        <v>1501</v>
      </c>
      <c r="F80">
        <f>Q!F80</f>
        <v>1865.1834311343553</v>
      </c>
      <c r="G80">
        <f>Q!G80</f>
        <v>1738.6670000000074</v>
      </c>
      <c r="H80">
        <f>Q!H80</f>
        <v>1786</v>
      </c>
      <c r="I80">
        <f>Q!N80</f>
        <v>0</v>
      </c>
    </row>
    <row r="81" spans="1:9">
      <c r="A81">
        <f>Q!A83</f>
        <v>0</v>
      </c>
      <c r="B81" t="str">
        <f>Q!B81</f>
        <v>Energy Consumption, Condenser Fan (kWh,e)</v>
      </c>
      <c r="C81">
        <f>Q!C81</f>
        <v>0</v>
      </c>
      <c r="D81">
        <f>Q!D81</f>
        <v>0</v>
      </c>
      <c r="E81">
        <f>Q!E81</f>
        <v>0</v>
      </c>
      <c r="F81">
        <f>Q!F81</f>
        <v>0</v>
      </c>
      <c r="G81">
        <f>Q!G81</f>
        <v>0</v>
      </c>
      <c r="H81">
        <f>Q!H81</f>
        <v>0</v>
      </c>
      <c r="I81">
        <f>Q!N81</f>
        <v>0</v>
      </c>
    </row>
    <row r="82" spans="1:9">
      <c r="A82">
        <f>Q!A84</f>
        <v>0</v>
      </c>
      <c r="B82">
        <f>Q!B82</f>
        <v>0</v>
      </c>
      <c r="C82" t="str">
        <f>Q!C82</f>
        <v>TRNSYS</v>
      </c>
      <c r="D82" t="str">
        <f>Q!D82</f>
        <v>DOE-2.2</v>
      </c>
      <c r="E82" t="str">
        <f>Q!E82</f>
        <v>DOE21E-E</v>
      </c>
      <c r="F82" t="str">
        <f>Q!F82</f>
        <v>Energy+</v>
      </c>
      <c r="G82" t="str">
        <f>Q!G82</f>
        <v>CODYRUN</v>
      </c>
      <c r="H82" t="str">
        <f>Q!H82</f>
        <v>HOT3000</v>
      </c>
      <c r="I82" t="str">
        <f>Q!N82</f>
        <v>Your</v>
      </c>
    </row>
    <row r="83" spans="1:9">
      <c r="A83">
        <f>Q!A85</f>
        <v>0</v>
      </c>
      <c r="B83">
        <f>Q!B83</f>
        <v>0</v>
      </c>
      <c r="C83" t="s">
        <v>569</v>
      </c>
      <c r="D83" t="s">
        <v>570</v>
      </c>
      <c r="E83" t="s">
        <v>573</v>
      </c>
      <c r="F83" t="s">
        <v>617</v>
      </c>
      <c r="G83" t="s">
        <v>571</v>
      </c>
      <c r="H83" t="s">
        <v>572</v>
      </c>
      <c r="I83" t="s">
        <v>522</v>
      </c>
    </row>
    <row r="84" spans="1:9">
      <c r="A84">
        <f>Q!A86</f>
        <v>0</v>
      </c>
      <c r="B84" t="s">
        <v>276</v>
      </c>
      <c r="C84">
        <f>Q!C84</f>
        <v>2400.3229434660229</v>
      </c>
      <c r="D84">
        <f>Q!D84</f>
        <v>2301</v>
      </c>
      <c r="E84">
        <f>Q!E84</f>
        <v>2302</v>
      </c>
      <c r="F84">
        <f>Q!F84</f>
        <v>0</v>
      </c>
      <c r="G84">
        <f>Q!G84</f>
        <v>2326.4899999999893</v>
      </c>
      <c r="H84">
        <f>Q!H84</f>
        <v>2323</v>
      </c>
      <c r="I84">
        <f>Q!N84</f>
        <v>0</v>
      </c>
    </row>
    <row r="85" spans="1:9">
      <c r="A85">
        <f>Q!A87</f>
        <v>0</v>
      </c>
      <c r="B85" t="s">
        <v>277</v>
      </c>
      <c r="C85">
        <f>Q!C85</f>
        <v>2753.8344761363155</v>
      </c>
      <c r="D85">
        <f>Q!D85</f>
        <v>2686</v>
      </c>
      <c r="E85">
        <f>Q!E85</f>
        <v>2687</v>
      </c>
      <c r="F85">
        <f>Q!F85</f>
        <v>0</v>
      </c>
      <c r="G85">
        <f>Q!G85</f>
        <v>2702.828000000005</v>
      </c>
      <c r="H85">
        <f>Q!H85</f>
        <v>2691</v>
      </c>
      <c r="I85">
        <f>Q!N85</f>
        <v>0</v>
      </c>
    </row>
    <row r="86" spans="1:9">
      <c r="A86">
        <f>Q!A88</f>
        <v>0</v>
      </c>
      <c r="B86" t="s">
        <v>278</v>
      </c>
      <c r="C86">
        <f>Q!C86</f>
        <v>2746.5996438607058</v>
      </c>
      <c r="D86">
        <f>Q!D86</f>
        <v>2615</v>
      </c>
      <c r="E86">
        <f>Q!E86</f>
        <v>2618</v>
      </c>
      <c r="F86">
        <f>Q!F86</f>
        <v>0</v>
      </c>
      <c r="G86">
        <f>Q!G86</f>
        <v>2674.8690000000088</v>
      </c>
      <c r="H86">
        <f>Q!H86</f>
        <v>2681</v>
      </c>
      <c r="I86">
        <f>Q!N86</f>
        <v>0</v>
      </c>
    </row>
    <row r="87" spans="1:9">
      <c r="A87">
        <f>Q!A89</f>
        <v>0</v>
      </c>
      <c r="B87" t="s">
        <v>279</v>
      </c>
      <c r="C87">
        <f>Q!C87</f>
        <v>2783.6483035508809</v>
      </c>
      <c r="D87">
        <f>Q!D87</f>
        <v>2656</v>
      </c>
      <c r="E87">
        <f>Q!E87</f>
        <v>2633</v>
      </c>
      <c r="F87">
        <f>Q!F87</f>
        <v>0</v>
      </c>
      <c r="G87">
        <f>Q!G87</f>
        <v>2727.4839999999936</v>
      </c>
      <c r="H87">
        <f>Q!H87</f>
        <v>2693</v>
      </c>
      <c r="I87">
        <f>Q!N87</f>
        <v>0</v>
      </c>
    </row>
    <row r="88" spans="1:9">
      <c r="A88">
        <f>Q!A90</f>
        <v>0</v>
      </c>
      <c r="B88" t="s">
        <v>449</v>
      </c>
      <c r="C88">
        <f>Q!C88</f>
        <v>2776.4377847636142</v>
      </c>
      <c r="D88">
        <f>Q!D88</f>
        <v>2649</v>
      </c>
      <c r="E88">
        <f>Q!E88</f>
        <v>2640</v>
      </c>
      <c r="F88">
        <f>Q!F88</f>
        <v>0</v>
      </c>
      <c r="G88">
        <f>Q!G88</f>
        <v>2712.5509999999958</v>
      </c>
      <c r="H88">
        <f>Q!H88</f>
        <v>2684</v>
      </c>
      <c r="I88">
        <f>Q!N88</f>
        <v>0</v>
      </c>
    </row>
    <row r="89" spans="1:9">
      <c r="A89">
        <f>Q!A91</f>
        <v>0</v>
      </c>
      <c r="B89" t="s">
        <v>280</v>
      </c>
      <c r="C89">
        <f>Q!C89</f>
        <v>2040.2191038522333</v>
      </c>
      <c r="D89">
        <f>Q!D89</f>
        <v>1865</v>
      </c>
      <c r="E89">
        <f>Q!E89</f>
        <v>1867</v>
      </c>
      <c r="F89">
        <f>Q!F89</f>
        <v>0</v>
      </c>
      <c r="G89">
        <f>Q!G89</f>
        <v>1968.617000000002</v>
      </c>
      <c r="H89">
        <f>Q!H89</f>
        <v>1970</v>
      </c>
      <c r="I89">
        <f>Q!N89</f>
        <v>0</v>
      </c>
    </row>
    <row r="90" spans="1:9">
      <c r="A90">
        <f>Q!A92</f>
        <v>0</v>
      </c>
      <c r="B90" t="s">
        <v>281</v>
      </c>
      <c r="C90">
        <f>Q!C90</f>
        <v>4313.0318409622851</v>
      </c>
      <c r="D90">
        <f>Q!D90</f>
        <v>4185</v>
      </c>
      <c r="E90">
        <f>Q!E90</f>
        <v>4181</v>
      </c>
      <c r="F90">
        <f>Q!F90</f>
        <v>0</v>
      </c>
      <c r="G90">
        <f>Q!G90</f>
        <v>4266.1759999997475</v>
      </c>
      <c r="H90">
        <f>Q!H90</f>
        <v>4272</v>
      </c>
      <c r="I90">
        <f>Q!N90</f>
        <v>0</v>
      </c>
    </row>
    <row r="91" spans="1:9">
      <c r="A91">
        <f>Q!A93</f>
        <v>0</v>
      </c>
      <c r="B91" t="s">
        <v>291</v>
      </c>
      <c r="C91">
        <f>Q!C91</f>
        <v>1986.2848304670733</v>
      </c>
      <c r="D91">
        <f>Q!D91</f>
        <v>1860</v>
      </c>
      <c r="E91">
        <f>Q!E91</f>
        <v>1865</v>
      </c>
      <c r="F91">
        <f>Q!F91</f>
        <v>0</v>
      </c>
      <c r="G91">
        <f>Q!G91</f>
        <v>0</v>
      </c>
      <c r="H91">
        <f>Q!H91</f>
        <v>1902</v>
      </c>
      <c r="I91">
        <f>Q!N91</f>
        <v>0</v>
      </c>
    </row>
    <row r="92" spans="1:9">
      <c r="A92">
        <f>Q!A94</f>
        <v>0</v>
      </c>
      <c r="B92" t="s">
        <v>288</v>
      </c>
      <c r="C92">
        <f>Q!C92</f>
        <v>1994.01749804832</v>
      </c>
      <c r="D92">
        <f>Q!D92</f>
        <v>1965</v>
      </c>
      <c r="E92">
        <f>Q!E92</f>
        <v>1969</v>
      </c>
      <c r="F92">
        <f>Q!F92</f>
        <v>0</v>
      </c>
      <c r="G92">
        <f>Q!G92</f>
        <v>0</v>
      </c>
      <c r="H92">
        <f>Q!H92</f>
        <v>1936</v>
      </c>
      <c r="I92">
        <f>Q!N92</f>
        <v>0</v>
      </c>
    </row>
    <row r="93" spans="1:9">
      <c r="A93">
        <f>Q!A95</f>
        <v>0</v>
      </c>
      <c r="B93" t="s">
        <v>289</v>
      </c>
      <c r="C93">
        <f>Q!C93</f>
        <v>2148.5022137105116</v>
      </c>
      <c r="D93">
        <f>Q!D93</f>
        <v>2054</v>
      </c>
      <c r="E93">
        <f>Q!E93</f>
        <v>2096</v>
      </c>
      <c r="F93">
        <f>Q!F93</f>
        <v>0</v>
      </c>
      <c r="G93">
        <f>Q!G93</f>
        <v>0</v>
      </c>
      <c r="H93">
        <f>Q!H93</f>
        <v>2115</v>
      </c>
      <c r="I93">
        <f>Q!N93</f>
        <v>0</v>
      </c>
    </row>
    <row r="94" spans="1:9">
      <c r="A94">
        <f>Q!A96</f>
        <v>0</v>
      </c>
      <c r="B94" t="s">
        <v>292</v>
      </c>
      <c r="C94">
        <f>Q!C94</f>
        <v>2059.490255706839</v>
      </c>
      <c r="D94">
        <f>Q!D94</f>
        <v>1993</v>
      </c>
      <c r="E94">
        <f>Q!E94</f>
        <v>1980</v>
      </c>
      <c r="F94">
        <f>Q!F94</f>
        <v>0</v>
      </c>
      <c r="G94">
        <f>Q!G94</f>
        <v>0</v>
      </c>
      <c r="H94">
        <f>Q!H94</f>
        <v>1970</v>
      </c>
      <c r="I94">
        <f>Q!N94</f>
        <v>0</v>
      </c>
    </row>
    <row r="95" spans="1:9">
      <c r="A95">
        <f>Q!A97</f>
        <v>0</v>
      </c>
      <c r="B95" t="s">
        <v>290</v>
      </c>
      <c r="C95">
        <f>Q!C95</f>
        <v>2182.2677615890984</v>
      </c>
      <c r="D95">
        <f>Q!D95</f>
        <v>2110</v>
      </c>
      <c r="E95">
        <f>Q!E95</f>
        <v>2104</v>
      </c>
      <c r="F95">
        <f>Q!F95</f>
        <v>0</v>
      </c>
      <c r="G95">
        <f>Q!G95</f>
        <v>0</v>
      </c>
      <c r="H95">
        <f>Q!H95</f>
        <v>2120</v>
      </c>
      <c r="I95">
        <f>Q!N95</f>
        <v>0</v>
      </c>
    </row>
    <row r="96" spans="1:9">
      <c r="A96">
        <f>Q!A98</f>
        <v>0</v>
      </c>
      <c r="B96" t="s">
        <v>282</v>
      </c>
      <c r="C96">
        <f>Q!C96</f>
        <v>1919.7698233773071</v>
      </c>
      <c r="D96">
        <f>Q!D96</f>
        <v>1975</v>
      </c>
      <c r="E96">
        <f>Q!E96</f>
        <v>1975</v>
      </c>
      <c r="F96">
        <f>Q!F96</f>
        <v>0</v>
      </c>
      <c r="G96">
        <f>Q!G96</f>
        <v>1911.8690000000017</v>
      </c>
      <c r="H96">
        <f>Q!H96</f>
        <v>1976</v>
      </c>
      <c r="I96">
        <f>Q!N96</f>
        <v>0</v>
      </c>
    </row>
    <row r="97" spans="1:9">
      <c r="A97">
        <f>Q!A99</f>
        <v>0</v>
      </c>
      <c r="B97" t="str">
        <f>Q!B97</f>
        <v>E500 May-Sep</v>
      </c>
      <c r="C97">
        <f>Q!C97</f>
        <v>1476.6546903521444</v>
      </c>
      <c r="D97">
        <f>Q!D97</f>
        <v>1527</v>
      </c>
      <c r="E97">
        <f>Q!E97</f>
        <v>1527</v>
      </c>
      <c r="F97">
        <f>Q!F97</f>
        <v>0</v>
      </c>
      <c r="G97">
        <f>Q!G97</f>
        <v>1475.5280000000027</v>
      </c>
      <c r="H97">
        <f>Q!H97</f>
        <v>1524</v>
      </c>
      <c r="I97">
        <f>Q!N97</f>
        <v>0</v>
      </c>
    </row>
    <row r="98" spans="1:9">
      <c r="A98">
        <f>Q!A100</f>
        <v>0</v>
      </c>
      <c r="B98" t="s">
        <v>283</v>
      </c>
      <c r="C98">
        <f>Q!C98</f>
        <v>2937.676627832258</v>
      </c>
      <c r="D98">
        <f>Q!D98</f>
        <v>3061</v>
      </c>
      <c r="E98">
        <f>Q!E98</f>
        <v>3061</v>
      </c>
      <c r="F98">
        <f>Q!F98</f>
        <v>0</v>
      </c>
      <c r="G98">
        <f>Q!G98</f>
        <v>2974.4</v>
      </c>
      <c r="H98">
        <f>Q!H98</f>
        <v>3050</v>
      </c>
      <c r="I98">
        <f>Q!N98</f>
        <v>0</v>
      </c>
    </row>
    <row r="99" spans="1:9">
      <c r="A99">
        <f>Q!A101</f>
        <v>0</v>
      </c>
      <c r="B99" t="s">
        <v>284</v>
      </c>
      <c r="C99">
        <f>Q!C99</f>
        <v>2340.1169215021255</v>
      </c>
      <c r="D99">
        <f>Q!D99</f>
        <v>2394</v>
      </c>
      <c r="E99">
        <f>Q!E99</f>
        <v>2393</v>
      </c>
      <c r="F99">
        <f>Q!F99</f>
        <v>0</v>
      </c>
      <c r="G99">
        <f>Q!G99</f>
        <v>2344.8270000000412</v>
      </c>
      <c r="H99">
        <f>Q!H99</f>
        <v>2396</v>
      </c>
      <c r="I99">
        <f>Q!N99</f>
        <v>0</v>
      </c>
    </row>
    <row r="100" spans="1:9">
      <c r="A100">
        <f>Q!A102</f>
        <v>0</v>
      </c>
      <c r="B100" t="s">
        <v>285</v>
      </c>
      <c r="C100">
        <f>Q!C100</f>
        <v>2108.2782659614504</v>
      </c>
      <c r="D100">
        <f>Q!D100</f>
        <v>2182</v>
      </c>
      <c r="E100">
        <f>Q!E100</f>
        <v>2182</v>
      </c>
      <c r="F100">
        <f>Q!F100</f>
        <v>0</v>
      </c>
      <c r="G100">
        <f>Q!G100</f>
        <v>2110.8329999999924</v>
      </c>
      <c r="H100">
        <f>Q!H100</f>
        <v>2174</v>
      </c>
      <c r="I100">
        <f>Q!N100</f>
        <v>0</v>
      </c>
    </row>
    <row r="101" spans="1:9">
      <c r="A101">
        <f>Q!A103</f>
        <v>0</v>
      </c>
      <c r="B101" t="s">
        <v>286</v>
      </c>
      <c r="C101">
        <f>Q!C101</f>
        <v>1611.2289106354137</v>
      </c>
      <c r="D101">
        <f>Q!D101</f>
        <v>1642</v>
      </c>
      <c r="E101">
        <f>Q!E101</f>
        <v>1643</v>
      </c>
      <c r="F101">
        <f>Q!F101</f>
        <v>0</v>
      </c>
      <c r="G101">
        <f>Q!G101</f>
        <v>1599.2030000000073</v>
      </c>
      <c r="H101">
        <f>Q!H101</f>
        <v>1663</v>
      </c>
      <c r="I101">
        <f>Q!N101</f>
        <v>0</v>
      </c>
    </row>
    <row r="102" spans="1:9">
      <c r="A102">
        <f>Q!A104</f>
        <v>0</v>
      </c>
      <c r="B102" t="s">
        <v>287</v>
      </c>
      <c r="C102">
        <f>Q!C102</f>
        <v>1551.8308506501819</v>
      </c>
      <c r="D102">
        <f>Q!D102</f>
        <v>1580</v>
      </c>
      <c r="E102">
        <f>Q!E102</f>
        <v>1580</v>
      </c>
      <c r="F102">
        <f>Q!F102</f>
        <v>0</v>
      </c>
      <c r="G102">
        <f>Q!G102</f>
        <v>1535.684</v>
      </c>
      <c r="H102">
        <f>Q!H102</f>
        <v>1585</v>
      </c>
      <c r="I102">
        <f>Q!N102</f>
        <v>0</v>
      </c>
    </row>
    <row r="103" spans="1:9">
      <c r="B103" t="s">
        <v>293</v>
      </c>
      <c r="C103">
        <f>Q!C103</f>
        <v>1888.1034743537653</v>
      </c>
      <c r="D103">
        <f>Q!D103</f>
        <v>1940</v>
      </c>
      <c r="E103">
        <f>Q!E103</f>
        <v>1939</v>
      </c>
      <c r="F103">
        <f>Q!F103</f>
        <v>0</v>
      </c>
      <c r="G103">
        <f>Q!G103</f>
        <v>1872.3359999999955</v>
      </c>
      <c r="H103">
        <f>Q!H103</f>
        <v>1926</v>
      </c>
      <c r="I103">
        <f>Q!N103</f>
        <v>0</v>
      </c>
    </row>
    <row r="104" spans="1:9">
      <c r="B104" t="s">
        <v>294</v>
      </c>
      <c r="C104">
        <f>Q!C104</f>
        <v>1312.4522494395735</v>
      </c>
      <c r="D104">
        <f>Q!D104</f>
        <v>1334</v>
      </c>
      <c r="E104">
        <f>Q!E104</f>
        <v>1333</v>
      </c>
      <c r="F104">
        <f>Q!F104</f>
        <v>0</v>
      </c>
      <c r="G104">
        <f>Q!G104</f>
        <v>1301.7909999999904</v>
      </c>
      <c r="H104">
        <f>Q!H104</f>
        <v>1337</v>
      </c>
      <c r="I104">
        <f>Q!N104</f>
        <v>0</v>
      </c>
    </row>
    <row r="108" spans="1:9">
      <c r="A108">
        <f>Q!A105</f>
        <v>0</v>
      </c>
    </row>
    <row r="109" spans="1:9">
      <c r="A109">
        <f>Q!A109</f>
        <v>0</v>
      </c>
      <c r="B109" t="str">
        <f>Q!B109</f>
        <v>Weather Data Checks, E300 Only</v>
      </c>
      <c r="C109">
        <f>Q!C109</f>
        <v>0</v>
      </c>
      <c r="D109">
        <f>Q!D109</f>
        <v>0</v>
      </c>
      <c r="E109">
        <f>Q!E109</f>
        <v>0</v>
      </c>
      <c r="F109">
        <f>Q!F109</f>
        <v>0</v>
      </c>
      <c r="G109">
        <f>Q!G109</f>
        <v>0</v>
      </c>
      <c r="H109">
        <f>Q!H109</f>
        <v>0</v>
      </c>
      <c r="I109">
        <f>Q!N109</f>
        <v>0</v>
      </c>
    </row>
    <row r="110" spans="1:9">
      <c r="A110">
        <f>Q!A110</f>
        <v>0</v>
      </c>
      <c r="B110">
        <f>Q!B110</f>
        <v>0</v>
      </c>
      <c r="C110">
        <f>Q!C110</f>
        <v>0</v>
      </c>
      <c r="D110">
        <f>Q!D110</f>
        <v>0</v>
      </c>
      <c r="E110">
        <f>Q!E110</f>
        <v>0</v>
      </c>
      <c r="F110">
        <f>Q!F110</f>
        <v>0</v>
      </c>
      <c r="G110">
        <f>Q!G110</f>
        <v>0</v>
      </c>
      <c r="H110">
        <f>Q!H110</f>
        <v>0</v>
      </c>
      <c r="I110">
        <f>Q!N110</f>
        <v>0</v>
      </c>
    </row>
    <row r="111" spans="1:9">
      <c r="A111">
        <f>Q!A111</f>
        <v>0</v>
      </c>
      <c r="B111">
        <f>Q!B111</f>
        <v>0</v>
      </c>
      <c r="C111" t="str">
        <f>Q!C111</f>
        <v>TRNSYS</v>
      </c>
      <c r="D111" t="str">
        <f>Q!D111</f>
        <v>DOE-2.2</v>
      </c>
      <c r="E111" t="str">
        <f>Q!E111</f>
        <v>DOE21E-E</v>
      </c>
      <c r="F111" t="str">
        <f>Q!F111</f>
        <v>Energy+</v>
      </c>
      <c r="G111" t="str">
        <f>Q!G111</f>
        <v>CODYRUN</v>
      </c>
      <c r="H111" t="str">
        <f>Q!H111</f>
        <v>HOT3000</v>
      </c>
      <c r="I111" t="str">
        <f>Q!N111</f>
        <v>Your</v>
      </c>
    </row>
    <row r="112" spans="1:9">
      <c r="A112">
        <f>Q!A112</f>
        <v>0</v>
      </c>
      <c r="B112">
        <f>Q!B112</f>
        <v>0</v>
      </c>
      <c r="C112" t="s">
        <v>569</v>
      </c>
      <c r="D112" t="s">
        <v>570</v>
      </c>
      <c r="E112" t="s">
        <v>573</v>
      </c>
      <c r="F112" t="s">
        <v>617</v>
      </c>
      <c r="G112" t="s">
        <v>571</v>
      </c>
      <c r="H112" t="s">
        <v>572</v>
      </c>
      <c r="I112" t="s">
        <v>522</v>
      </c>
    </row>
    <row r="113" spans="1:9">
      <c r="A113">
        <f>Q!A113</f>
        <v>0</v>
      </c>
      <c r="B113" t="str">
        <f>Q!B113</f>
        <v>Annual Mean Output</v>
      </c>
      <c r="C113">
        <f>Q!C113</f>
        <v>0</v>
      </c>
      <c r="D113">
        <f>Q!D113</f>
        <v>0</v>
      </c>
      <c r="E113">
        <f>Q!E113</f>
        <v>0</v>
      </c>
      <c r="F113">
        <f>Q!F113</f>
        <v>0</v>
      </c>
      <c r="G113">
        <f>Q!G113</f>
        <v>0</v>
      </c>
      <c r="H113">
        <f>Q!H113</f>
        <v>0</v>
      </c>
      <c r="I113">
        <f>Q!N113</f>
        <v>0</v>
      </c>
    </row>
    <row r="114" spans="1:9">
      <c r="A114">
        <f>Q!A114</f>
        <v>0</v>
      </c>
      <c r="B114" t="str">
        <f>Q!B114</f>
        <v>ODB</v>
      </c>
      <c r="C114">
        <f>Q!C114</f>
        <v>19.914452054794491</v>
      </c>
      <c r="D114">
        <f>Q!D114</f>
        <v>19.888888888888886</v>
      </c>
      <c r="E114">
        <f>Q!E114</f>
        <v>19.888888888888886</v>
      </c>
      <c r="F114">
        <f>Q!F114</f>
        <v>19.914143835616347</v>
      </c>
      <c r="G114">
        <f>Q!G114</f>
        <v>19.914452054794427</v>
      </c>
      <c r="H114">
        <f>Q!H114</f>
        <v>19.91</v>
      </c>
      <c r="I114">
        <f>Q!N114</f>
        <v>0</v>
      </c>
    </row>
    <row r="115" spans="1:9">
      <c r="A115">
        <f>Q!A115</f>
        <v>0</v>
      </c>
      <c r="B115" t="str">
        <f>Q!B115</f>
        <v>OHR</v>
      </c>
      <c r="C115">
        <f>Q!C115</f>
        <v>1.1642917900684956E-2</v>
      </c>
      <c r="D115">
        <f>Q!D115</f>
        <v>1.1599999999999999E-2</v>
      </c>
      <c r="E115">
        <f>Q!E115</f>
        <v>1.1599999999999999E-2</v>
      </c>
      <c r="F115">
        <f>Q!F115</f>
        <v>1.1607902527993211E-2</v>
      </c>
      <c r="G115">
        <f>Q!G115</f>
        <v>1.1648657534246494E-2</v>
      </c>
      <c r="H115">
        <f>Q!H115</f>
        <v>1.1599999999999999E-2</v>
      </c>
      <c r="I115">
        <f>Q!N115</f>
        <v>0</v>
      </c>
    </row>
    <row r="116" spans="1:9">
      <c r="A116">
        <f>Q!A116</f>
        <v>0</v>
      </c>
      <c r="B116" t="str">
        <f>Q!B116</f>
        <v>Annual Hourly Integrated Maxima</v>
      </c>
      <c r="C116">
        <f>Q!C116</f>
        <v>0</v>
      </c>
      <c r="D116">
        <f>Q!D116</f>
        <v>0</v>
      </c>
      <c r="E116">
        <f>Q!E116</f>
        <v>0</v>
      </c>
      <c r="F116">
        <f>Q!F116</f>
        <v>0</v>
      </c>
      <c r="G116">
        <f>Q!G116</f>
        <v>0</v>
      </c>
      <c r="H116">
        <f>Q!H116</f>
        <v>0</v>
      </c>
      <c r="I116">
        <f>Q!N116</f>
        <v>0</v>
      </c>
    </row>
    <row r="117" spans="1:9">
      <c r="A117">
        <f>Q!A117</f>
        <v>0</v>
      </c>
      <c r="B117" t="str">
        <f>Q!B117</f>
        <v>ODB</v>
      </c>
      <c r="C117">
        <f>Q!C117</f>
        <v>34.700000000000003</v>
      </c>
      <c r="D117">
        <f>Q!D117</f>
        <v>35</v>
      </c>
      <c r="E117">
        <f>Q!E117</f>
        <v>35</v>
      </c>
      <c r="F117">
        <f>Q!F117</f>
        <v>34.774999999999999</v>
      </c>
      <c r="G117">
        <f>Q!G117</f>
        <v>35</v>
      </c>
      <c r="H117">
        <f>Q!H117</f>
        <v>35</v>
      </c>
      <c r="I117">
        <f>Q!N117</f>
        <v>0</v>
      </c>
    </row>
    <row r="118" spans="1:9">
      <c r="A118">
        <f>Q!A118</f>
        <v>0</v>
      </c>
      <c r="B118" t="str">
        <f>Q!B118</f>
        <v>OHR</v>
      </c>
      <c r="C118">
        <f>Q!C118</f>
        <v>2.1877500000000001E-2</v>
      </c>
      <c r="D118">
        <f>Q!D118</f>
        <v>2.2499999999999999E-2</v>
      </c>
      <c r="E118">
        <f>Q!E118</f>
        <v>2.2499999999999999E-2</v>
      </c>
      <c r="F118">
        <f>Q!F118</f>
        <v>2.1867908064606201E-2</v>
      </c>
      <c r="G118">
        <f>Q!G118</f>
        <v>2.2405999999999999E-2</v>
      </c>
      <c r="H118">
        <f>Q!H118</f>
        <v>2.23E-2</v>
      </c>
      <c r="I118">
        <f>Q!N118</f>
        <v>0</v>
      </c>
    </row>
    <row r="119" spans="1:9">
      <c r="A119">
        <f>Q!A119</f>
        <v>0</v>
      </c>
    </row>
    <row r="120" spans="1:9">
      <c r="A120">
        <f>Q!A120</f>
        <v>0</v>
      </c>
    </row>
    <row r="121" spans="1:9">
      <c r="A121">
        <f>Q!A121</f>
        <v>0</v>
      </c>
    </row>
    <row r="122" spans="1:9">
      <c r="A122">
        <f>Q!A122</f>
        <v>0</v>
      </c>
    </row>
    <row r="123" spans="1:9">
      <c r="A123">
        <f>Q!A123</f>
        <v>0</v>
      </c>
    </row>
    <row r="124" spans="1:9">
      <c r="A124">
        <f>Q!A124</f>
        <v>0</v>
      </c>
    </row>
    <row r="125" spans="1:9">
      <c r="A125">
        <f>Q!A125</f>
        <v>0</v>
      </c>
      <c r="B125" t="str">
        <f>Q!B125</f>
        <v>Space Cooling Coil Loads</v>
      </c>
      <c r="C125">
        <f>Q!C125</f>
        <v>0</v>
      </c>
      <c r="D125">
        <f>Q!D125</f>
        <v>0</v>
      </c>
      <c r="E125">
        <f>Q!E125</f>
        <v>0</v>
      </c>
      <c r="F125">
        <f>Q!F125</f>
        <v>0</v>
      </c>
      <c r="G125">
        <f>Q!G125</f>
        <v>0</v>
      </c>
      <c r="H125">
        <f>Q!H125</f>
        <v>0</v>
      </c>
      <c r="I125">
        <f>Q!N125</f>
        <v>0</v>
      </c>
    </row>
    <row r="126" spans="1:9">
      <c r="A126">
        <f>Q!A126</f>
        <v>0</v>
      </c>
      <c r="B126" t="str">
        <f>Q!B126</f>
        <v>Total Sensible + Latent (kWh,th)</v>
      </c>
      <c r="C126">
        <f>Q!C126</f>
        <v>0</v>
      </c>
      <c r="D126">
        <f>Q!D126</f>
        <v>0</v>
      </c>
      <c r="E126">
        <f>Q!E126</f>
        <v>0</v>
      </c>
      <c r="F126">
        <f>Q!F126</f>
        <v>0</v>
      </c>
      <c r="G126">
        <f>Q!G126</f>
        <v>0</v>
      </c>
      <c r="H126">
        <f>Q!H126</f>
        <v>0</v>
      </c>
      <c r="I126">
        <f>Q!N126</f>
        <v>0</v>
      </c>
    </row>
    <row r="127" spans="1:9">
      <c r="A127">
        <f>Q!A127</f>
        <v>0</v>
      </c>
      <c r="B127">
        <f>Q!B127</f>
        <v>0</v>
      </c>
      <c r="C127" t="str">
        <f>Q!C127</f>
        <v>TRNSYS</v>
      </c>
      <c r="D127" t="str">
        <f>Q!D127</f>
        <v>DOE-2.2</v>
      </c>
      <c r="E127" t="str">
        <f>Q!E127</f>
        <v>DOE21E-E</v>
      </c>
      <c r="F127" t="str">
        <f>Q!F127</f>
        <v>Energy+</v>
      </c>
      <c r="G127" t="str">
        <f>Q!G127</f>
        <v>CODYRUN</v>
      </c>
      <c r="H127" t="str">
        <f>Q!H127</f>
        <v>HOT3000</v>
      </c>
      <c r="I127" t="str">
        <f>Q!N127</f>
        <v>Your</v>
      </c>
    </row>
    <row r="128" spans="1:9">
      <c r="A128">
        <f>Q!A128</f>
        <v>0</v>
      </c>
      <c r="B128">
        <f>Q!B128</f>
        <v>0</v>
      </c>
      <c r="C128" t="s">
        <v>569</v>
      </c>
      <c r="D128" t="s">
        <v>570</v>
      </c>
      <c r="E128" t="s">
        <v>573</v>
      </c>
      <c r="F128" t="s">
        <v>617</v>
      </c>
      <c r="G128" t="s">
        <v>571</v>
      </c>
      <c r="H128" t="s">
        <v>572</v>
      </c>
      <c r="I128" t="s">
        <v>522</v>
      </c>
    </row>
    <row r="129" spans="1:9">
      <c r="A129">
        <f>Q!A129</f>
        <v>0</v>
      </c>
      <c r="B129" s="481" t="s">
        <v>276</v>
      </c>
      <c r="C129">
        <f>Q!C129</f>
        <v>80426.867481742112</v>
      </c>
      <c r="D129">
        <f>Q!D129</f>
        <v>77283.435600000012</v>
      </c>
      <c r="E129">
        <f>Q!E129</f>
        <v>77291.935500000007</v>
      </c>
      <c r="F129">
        <f>Q!F129</f>
        <v>78329.997540555065</v>
      </c>
      <c r="G129">
        <f>Q!G129</f>
        <v>77744.589000000124</v>
      </c>
      <c r="H129">
        <f>Q!H129</f>
        <v>78257</v>
      </c>
      <c r="I129">
        <f>Q!N129</f>
        <v>0</v>
      </c>
    </row>
    <row r="130" spans="1:9">
      <c r="A130">
        <f>Q!A130</f>
        <v>0</v>
      </c>
      <c r="B130" s="481" t="s">
        <v>277</v>
      </c>
      <c r="C130">
        <f>Q!C130</f>
        <v>99342.131564849216</v>
      </c>
      <c r="D130">
        <f>Q!D130</f>
        <v>97394.785200000013</v>
      </c>
      <c r="E130">
        <f>Q!E130</f>
        <v>97412.078100000013</v>
      </c>
      <c r="F130">
        <f>Q!F130</f>
        <v>97347.66090722708</v>
      </c>
      <c r="G130">
        <f>Q!G130</f>
        <v>97295.865999999718</v>
      </c>
      <c r="H130">
        <f>Q!H130</f>
        <v>97261</v>
      </c>
      <c r="I130">
        <f>Q!N130</f>
        <v>0</v>
      </c>
    </row>
    <row r="131" spans="1:9">
      <c r="A131">
        <f>Q!A131</f>
        <v>0</v>
      </c>
      <c r="B131" s="481" t="s">
        <v>278</v>
      </c>
      <c r="C131">
        <f>Q!C131</f>
        <v>99791.677967264899</v>
      </c>
      <c r="D131">
        <f>Q!D131</f>
        <v>96356.331900000005</v>
      </c>
      <c r="E131">
        <f>Q!E131</f>
        <v>96493.209600000002</v>
      </c>
      <c r="F131">
        <f>Q!F131</f>
        <v>97434.838325451346</v>
      </c>
      <c r="G131">
        <f>Q!G131</f>
        <v>97141.307000000001</v>
      </c>
      <c r="H131">
        <f>Q!H131</f>
        <v>96957</v>
      </c>
      <c r="I131">
        <f>Q!N131</f>
        <v>0</v>
      </c>
    </row>
    <row r="132" spans="1:9">
      <c r="A132">
        <f>Q!A132</f>
        <v>0</v>
      </c>
      <c r="B132" s="481" t="s">
        <v>279</v>
      </c>
      <c r="C132">
        <f>Q!C132</f>
        <v>105012.87148956976</v>
      </c>
      <c r="D132">
        <f>Q!D132</f>
        <v>100729.97010000001</v>
      </c>
      <c r="E132">
        <f>Q!E132</f>
        <v>100993.467</v>
      </c>
      <c r="F132">
        <f>Q!F132</f>
        <v>103810.92900120793</v>
      </c>
      <c r="G132">
        <f>Q!G132</f>
        <v>103712.91500000004</v>
      </c>
      <c r="H132">
        <f>Q!H132</f>
        <v>102008</v>
      </c>
      <c r="I132">
        <f>Q!N132</f>
        <v>0</v>
      </c>
    </row>
    <row r="133" spans="1:9">
      <c r="A133">
        <f>Q!A133</f>
        <v>0</v>
      </c>
      <c r="B133" s="481" t="s">
        <v>449</v>
      </c>
      <c r="C133">
        <f>Q!C133</f>
        <v>102727.97891432175</v>
      </c>
      <c r="D133">
        <f>Q!D133</f>
        <v>99027.645300000004</v>
      </c>
      <c r="E133">
        <f>Q!E133</f>
        <v>99223.143000000011</v>
      </c>
      <c r="F133">
        <f>Q!F133</f>
        <v>101133.52775017772</v>
      </c>
      <c r="G133">
        <f>Q!G133</f>
        <v>100676.21</v>
      </c>
      <c r="H133">
        <f>Q!H133</f>
        <v>99753</v>
      </c>
      <c r="I133">
        <f>Q!N133</f>
        <v>0</v>
      </c>
    </row>
    <row r="134" spans="1:9">
      <c r="A134">
        <f>Q!A134</f>
        <v>0</v>
      </c>
      <c r="B134" s="481" t="s">
        <v>280</v>
      </c>
      <c r="C134">
        <f>Q!C134</f>
        <v>69387.997605120792</v>
      </c>
      <c r="D134">
        <f>Q!D134</f>
        <v>63736.353600000009</v>
      </c>
      <c r="E134">
        <f>Q!E134</f>
        <v>63634.647900000004</v>
      </c>
      <c r="F134">
        <f>Q!F134</f>
        <v>66594.547200499786</v>
      </c>
      <c r="G134">
        <f>Q!G134</f>
        <v>66860.163000000059</v>
      </c>
      <c r="H134">
        <f>Q!H134</f>
        <v>67389</v>
      </c>
      <c r="I134">
        <f>Q!N134</f>
        <v>0</v>
      </c>
    </row>
    <row r="135" spans="1:9">
      <c r="A135">
        <f>Q!A135</f>
        <v>0</v>
      </c>
      <c r="B135" s="481" t="s">
        <v>281</v>
      </c>
      <c r="C135">
        <f>Q!C135</f>
        <v>162974.06257335175</v>
      </c>
      <c r="D135">
        <f>Q!D135</f>
        <v>159807.20610000001</v>
      </c>
      <c r="E135">
        <f>Q!E135</f>
        <v>159853.80900000001</v>
      </c>
      <c r="F135">
        <f>Q!F135</f>
        <v>162207.68653318047</v>
      </c>
      <c r="G135">
        <f>Q!G135</f>
        <v>161200.17900000018</v>
      </c>
      <c r="H135">
        <f>Q!H135</f>
        <v>162168</v>
      </c>
      <c r="I135">
        <f>Q!N135</f>
        <v>0</v>
      </c>
    </row>
    <row r="136" spans="1:9">
      <c r="A136">
        <f>Q!A136</f>
        <v>0</v>
      </c>
      <c r="B136" s="481" t="s">
        <v>291</v>
      </c>
      <c r="C136">
        <f>Q!C136</f>
        <v>68792.822126469924</v>
      </c>
      <c r="D136">
        <f>Q!D136</f>
        <v>64917.546600000009</v>
      </c>
      <c r="E136">
        <f>Q!E136</f>
        <v>65025.114300000008</v>
      </c>
      <c r="F136">
        <f>Q!F136</f>
        <v>66490.499195532233</v>
      </c>
      <c r="G136">
        <f>Q!G136</f>
        <v>0</v>
      </c>
      <c r="H136">
        <f>Q!H136</f>
        <v>66898</v>
      </c>
      <c r="I136">
        <f>Q!N136</f>
        <v>0</v>
      </c>
    </row>
    <row r="137" spans="1:9">
      <c r="A137">
        <f>Q!A137</f>
        <v>0</v>
      </c>
      <c r="B137" s="481" t="s">
        <v>288</v>
      </c>
      <c r="C137">
        <f>Q!C137</f>
        <v>68672.853832539928</v>
      </c>
      <c r="D137">
        <f>Q!D137</f>
        <v>66779.6109</v>
      </c>
      <c r="E137">
        <f>Q!E137</f>
        <v>66843.506700000013</v>
      </c>
      <c r="F137">
        <f>Q!F137</f>
        <v>68071.421886632073</v>
      </c>
      <c r="G137">
        <f>Q!G137</f>
        <v>0</v>
      </c>
      <c r="H137">
        <f>Q!H137</f>
        <v>66175</v>
      </c>
      <c r="I137">
        <f>Q!N137</f>
        <v>0</v>
      </c>
    </row>
    <row r="138" spans="1:9">
      <c r="A138">
        <f>Q!A138</f>
        <v>0</v>
      </c>
      <c r="B138" s="481" t="s">
        <v>289</v>
      </c>
      <c r="C138">
        <f>Q!C138</f>
        <v>72609.307406750057</v>
      </c>
      <c r="D138">
        <f>Q!D138</f>
        <v>69610.956900000005</v>
      </c>
      <c r="E138">
        <f>Q!E138</f>
        <v>70882.131600000008</v>
      </c>
      <c r="F138">
        <f>Q!F138</f>
        <v>71248.090397460735</v>
      </c>
      <c r="G138">
        <f>Q!G138</f>
        <v>0</v>
      </c>
      <c r="H138">
        <f>Q!H138</f>
        <v>71803</v>
      </c>
      <c r="I138">
        <f>Q!N138</f>
        <v>0</v>
      </c>
    </row>
    <row r="139" spans="1:9">
      <c r="A139">
        <f>Q!A139</f>
        <v>0</v>
      </c>
      <c r="B139" s="481" t="s">
        <v>292</v>
      </c>
      <c r="C139">
        <f>Q!C139</f>
        <v>69756.311989893147</v>
      </c>
      <c r="D139">
        <f>Q!D139</f>
        <v>67640.738700000002</v>
      </c>
      <c r="E139">
        <f>Q!E139</f>
        <v>67219.260900000008</v>
      </c>
      <c r="F139">
        <f>Q!F139</f>
        <v>68287.754447713814</v>
      </c>
      <c r="G139">
        <f>Q!G139</f>
        <v>0</v>
      </c>
      <c r="H139">
        <f>Q!H139</f>
        <v>67200</v>
      </c>
      <c r="I139">
        <f>Q!N139</f>
        <v>0</v>
      </c>
    </row>
    <row r="140" spans="1:9">
      <c r="A140">
        <f>Q!A140</f>
        <v>0</v>
      </c>
      <c r="B140" s="481" t="s">
        <v>290</v>
      </c>
      <c r="C140">
        <f>Q!C140</f>
        <v>73711.363480827218</v>
      </c>
      <c r="D140">
        <f>Q!D140</f>
        <v>71380.108500000002</v>
      </c>
      <c r="E140">
        <f>Q!E140</f>
        <v>71181.093600000007</v>
      </c>
      <c r="F140">
        <f>Q!F140</f>
        <v>72362.101155627257</v>
      </c>
      <c r="G140">
        <f>Q!G140</f>
        <v>0</v>
      </c>
      <c r="H140">
        <f>Q!H140</f>
        <v>72029</v>
      </c>
      <c r="I140">
        <f>Q!N140</f>
        <v>0</v>
      </c>
    </row>
    <row r="141" spans="1:9">
      <c r="A141">
        <f>Q!A141</f>
        <v>0</v>
      </c>
      <c r="B141" s="481" t="s">
        <v>282</v>
      </c>
      <c r="C141">
        <f>Q!C141</f>
        <v>63357.106250000092</v>
      </c>
      <c r="D141">
        <f>Q!D141</f>
        <v>65995.861499999999</v>
      </c>
      <c r="E141">
        <f>Q!E141</f>
        <v>65992.344300000012</v>
      </c>
      <c r="F141">
        <f>Q!F141</f>
        <v>65589.356347818946</v>
      </c>
      <c r="G141">
        <f>Q!G141</f>
        <v>63105.366000000147</v>
      </c>
      <c r="H141">
        <f>Q!H141</f>
        <v>65614</v>
      </c>
      <c r="I141">
        <f>Q!N141</f>
        <v>0</v>
      </c>
    </row>
    <row r="142" spans="1:9">
      <c r="A142">
        <f>Q!A142</f>
        <v>0</v>
      </c>
      <c r="B142" s="481" t="str">
        <f>Q!B142</f>
        <v>E500 May-Sep</v>
      </c>
      <c r="C142">
        <f>Q!C142</f>
        <v>48443.43080000006</v>
      </c>
      <c r="D142">
        <f>Q!D142</f>
        <v>50692.817400000007</v>
      </c>
      <c r="E142">
        <f>Q!E142</f>
        <v>50690.472600000008</v>
      </c>
      <c r="F142">
        <f>Q!F142</f>
        <v>50355.674104136109</v>
      </c>
      <c r="G142">
        <f>Q!G142</f>
        <v>48439.57</v>
      </c>
      <c r="H142">
        <f>Q!H142</f>
        <v>50357</v>
      </c>
      <c r="I142">
        <f>Q!N142</f>
        <v>0</v>
      </c>
    </row>
    <row r="143" spans="1:9">
      <c r="A143">
        <f>Q!A143</f>
        <v>0</v>
      </c>
      <c r="B143" s="481" t="s">
        <v>283</v>
      </c>
      <c r="C143">
        <f>Q!C143</f>
        <v>108974.30994000004</v>
      </c>
      <c r="D143">
        <f>Q!D143</f>
        <v>114017.95170000001</v>
      </c>
      <c r="E143">
        <f>Q!E143</f>
        <v>114015.3138</v>
      </c>
      <c r="F143">
        <f>Q!F143</f>
        <v>112794.87725401894</v>
      </c>
      <c r="G143">
        <f>Q!G143</f>
        <v>108979.01299999964</v>
      </c>
      <c r="H143">
        <f>Q!H143</f>
        <v>112781</v>
      </c>
      <c r="I143">
        <f>Q!N143</f>
        <v>0</v>
      </c>
    </row>
    <row r="144" spans="1:9">
      <c r="A144">
        <f>Q!A144</f>
        <v>0</v>
      </c>
      <c r="B144" s="481" t="s">
        <v>284</v>
      </c>
      <c r="C144">
        <f>Q!C144</f>
        <v>63421.544428999987</v>
      </c>
      <c r="D144">
        <f>Q!D144</f>
        <v>66571.216800000009</v>
      </c>
      <c r="E144">
        <f>Q!E144</f>
        <v>66565.354800000001</v>
      </c>
      <c r="F144">
        <f>Q!F144</f>
        <v>66213.276898262688</v>
      </c>
      <c r="G144">
        <f>Q!G144</f>
        <v>63212.101999999744</v>
      </c>
      <c r="H144">
        <f>Q!H144</f>
        <v>66146</v>
      </c>
      <c r="I144">
        <f>Q!N144</f>
        <v>0</v>
      </c>
    </row>
    <row r="145" spans="1:9">
      <c r="A145">
        <f>Q!A145</f>
        <v>0</v>
      </c>
      <c r="B145" s="481" t="s">
        <v>285</v>
      </c>
      <c r="C145">
        <f>Q!C145</f>
        <v>63389.22280399999</v>
      </c>
      <c r="D145">
        <f>Q!D145</f>
        <v>66373.081200000001</v>
      </c>
      <c r="E145">
        <f>Q!E145</f>
        <v>66371.908800000005</v>
      </c>
      <c r="F145">
        <f>Q!F145</f>
        <v>65893.870640899928</v>
      </c>
      <c r="G145">
        <f>Q!G145</f>
        <v>63157.029999999759</v>
      </c>
      <c r="H145">
        <f>Q!H145</f>
        <v>65900</v>
      </c>
      <c r="I145">
        <f>Q!N145</f>
        <v>0</v>
      </c>
    </row>
    <row r="146" spans="1:9">
      <c r="A146">
        <f>Q!A146</f>
        <v>0</v>
      </c>
      <c r="B146" s="481" t="s">
        <v>286</v>
      </c>
      <c r="C146">
        <f>Q!C146</f>
        <v>63292.945401999998</v>
      </c>
      <c r="D146">
        <f>Q!D146</f>
        <v>65399.109900000003</v>
      </c>
      <c r="E146">
        <f>Q!E146</f>
        <v>65395.006500000003</v>
      </c>
      <c r="F146">
        <f>Q!F146</f>
        <v>65028.317172362673</v>
      </c>
      <c r="G146">
        <f>Q!G146</f>
        <v>63001.558000000026</v>
      </c>
      <c r="H146">
        <f>Q!H146</f>
        <v>65155</v>
      </c>
      <c r="I146">
        <f>Q!N146</f>
        <v>0</v>
      </c>
    </row>
    <row r="147" spans="1:9">
      <c r="A147">
        <f>Q!A147</f>
        <v>0</v>
      </c>
      <c r="B147" s="481" t="s">
        <v>287</v>
      </c>
      <c r="C147">
        <f>Q!C147</f>
        <v>45045.847950000098</v>
      </c>
      <c r="D147">
        <f>Q!D147</f>
        <v>46634.261700000003</v>
      </c>
      <c r="E147">
        <f>Q!E147</f>
        <v>46630.744500000001</v>
      </c>
      <c r="F147">
        <f>Q!F147</f>
        <v>46988.552083493028</v>
      </c>
      <c r="G147">
        <f>Q!G147</f>
        <v>44875.413999999641</v>
      </c>
      <c r="H147">
        <f>Q!H147</f>
        <v>47002</v>
      </c>
      <c r="I147">
        <f>Q!N147</f>
        <v>0</v>
      </c>
    </row>
    <row r="148" spans="1:9">
      <c r="A148">
        <f>Q!A148</f>
        <v>0</v>
      </c>
      <c r="B148" s="481" t="s">
        <v>293</v>
      </c>
      <c r="C148">
        <f>Q!C148</f>
        <v>45112.827029195018</v>
      </c>
      <c r="D148">
        <f>Q!D148</f>
        <v>47129.893800000005</v>
      </c>
      <c r="E148">
        <f>Q!E148</f>
        <v>47126.083500000008</v>
      </c>
      <c r="F148">
        <f>Q!F148</f>
        <v>47482.085498379194</v>
      </c>
      <c r="G148">
        <f>Q!G148</f>
        <v>44979.841999999706</v>
      </c>
      <c r="H148">
        <f>Q!H148</f>
        <v>47462</v>
      </c>
      <c r="I148">
        <f>Q!N148</f>
        <v>0</v>
      </c>
    </row>
    <row r="149" spans="1:9">
      <c r="A149">
        <f>Q!A149</f>
        <v>0</v>
      </c>
      <c r="B149" s="481" t="s">
        <v>294</v>
      </c>
      <c r="C149">
        <f>Q!C149</f>
        <v>44981.351736000026</v>
      </c>
      <c r="D149">
        <f>Q!D149</f>
        <v>46239.749100000001</v>
      </c>
      <c r="E149">
        <f>Q!E149</f>
        <v>46235.938800000004</v>
      </c>
      <c r="F149">
        <f>Q!F149</f>
        <v>46635.695062279076</v>
      </c>
      <c r="G149">
        <f>Q!G149</f>
        <v>44775.109999999899</v>
      </c>
      <c r="H149">
        <f>Q!H149</f>
        <v>46668</v>
      </c>
      <c r="I149">
        <f>Q!N149</f>
        <v>0</v>
      </c>
    </row>
    <row r="150" spans="1:9">
      <c r="A150">
        <f>Q!A150</f>
        <v>0</v>
      </c>
      <c r="B150" t="str">
        <f>Q!B150</f>
        <v>Sensible Coil Load (kWh,th)</v>
      </c>
      <c r="C150">
        <f>Q!C150</f>
        <v>0</v>
      </c>
      <c r="D150">
        <f>Q!D150</f>
        <v>0</v>
      </c>
      <c r="E150">
        <f>Q!E150</f>
        <v>0</v>
      </c>
      <c r="F150">
        <f>Q!F150</f>
        <v>0</v>
      </c>
      <c r="G150">
        <f>Q!G150</f>
        <v>0</v>
      </c>
      <c r="H150">
        <f>Q!H150</f>
        <v>0</v>
      </c>
      <c r="I150">
        <f>Q!N150</f>
        <v>0</v>
      </c>
    </row>
    <row r="151" spans="1:9">
      <c r="A151">
        <f>Q!A151</f>
        <v>0</v>
      </c>
      <c r="B151">
        <f>Q!B151</f>
        <v>0</v>
      </c>
      <c r="C151" t="str">
        <f>Q!C151</f>
        <v>TRNSYS</v>
      </c>
      <c r="D151" t="str">
        <f>Q!D151</f>
        <v>DOE-2.2</v>
      </c>
      <c r="E151" t="str">
        <f>Q!E151</f>
        <v>DOE21E-E</v>
      </c>
      <c r="F151" t="str">
        <f>Q!F151</f>
        <v>Energy+</v>
      </c>
      <c r="G151" t="str">
        <f>Q!G151</f>
        <v>CODYRUN</v>
      </c>
      <c r="H151" t="str">
        <f>Q!H151</f>
        <v>HOT3000</v>
      </c>
      <c r="I151" t="str">
        <f>Q!N151</f>
        <v>Your</v>
      </c>
    </row>
    <row r="152" spans="1:9">
      <c r="A152">
        <f>Q!A152</f>
        <v>0</v>
      </c>
      <c r="B152">
        <f>Q!B152</f>
        <v>0</v>
      </c>
      <c r="C152" t="s">
        <v>569</v>
      </c>
      <c r="D152" t="s">
        <v>570</v>
      </c>
      <c r="E152" t="s">
        <v>573</v>
      </c>
      <c r="F152" t="s">
        <v>617</v>
      </c>
      <c r="G152" t="s">
        <v>571</v>
      </c>
      <c r="H152" t="s">
        <v>572</v>
      </c>
      <c r="I152" t="s">
        <v>522</v>
      </c>
    </row>
    <row r="153" spans="1:9">
      <c r="A153">
        <f>Q!A153</f>
        <v>0</v>
      </c>
      <c r="B153" t="s">
        <v>276</v>
      </c>
      <c r="C153">
        <f>Q!C153</f>
        <v>56661.748439000134</v>
      </c>
      <c r="D153">
        <f>Q!D153</f>
        <v>55796.860800000009</v>
      </c>
      <c r="E153">
        <f>Q!E153</f>
        <v>55804.7745</v>
      </c>
      <c r="F153">
        <f>Q!F153</f>
        <v>55166.063457298224</v>
      </c>
      <c r="G153">
        <f>Q!G153</f>
        <v>55209.465000000047</v>
      </c>
      <c r="H153">
        <f>Q!H153</f>
        <v>55191</v>
      </c>
      <c r="I153">
        <f>Q!N153</f>
        <v>0</v>
      </c>
    </row>
    <row r="154" spans="1:9">
      <c r="A154">
        <f>Q!A154</f>
        <v>0</v>
      </c>
      <c r="B154" t="s">
        <v>277</v>
      </c>
      <c r="C154">
        <f>Q!C154</f>
        <v>56256.3774670001</v>
      </c>
      <c r="D154">
        <f>Q!D154</f>
        <v>56300.992800000007</v>
      </c>
      <c r="E154">
        <f>Q!E154</f>
        <v>56312.716800000009</v>
      </c>
      <c r="F154">
        <f>Q!F154</f>
        <v>55065.627854736507</v>
      </c>
      <c r="G154">
        <f>Q!G154</f>
        <v>55185.072000000029</v>
      </c>
      <c r="H154">
        <f>Q!H154</f>
        <v>55083</v>
      </c>
      <c r="I154">
        <f>Q!N154</f>
        <v>0</v>
      </c>
    </row>
    <row r="155" spans="1:9">
      <c r="A155">
        <f>Q!A155</f>
        <v>0</v>
      </c>
      <c r="B155" t="s">
        <v>278</v>
      </c>
      <c r="C155">
        <f>Q!C155</f>
        <v>62859.205321999878</v>
      </c>
      <c r="D155">
        <f>Q!D155</f>
        <v>62697.021000000001</v>
      </c>
      <c r="E155">
        <f>Q!E155</f>
        <v>62746.847999999998</v>
      </c>
      <c r="F155">
        <f>Q!F155</f>
        <v>61751.654819920572</v>
      </c>
      <c r="G155">
        <f>Q!G155</f>
        <v>62008.804000000193</v>
      </c>
      <c r="H155">
        <f>Q!H155</f>
        <v>62734</v>
      </c>
      <c r="I155">
        <f>Q!N155</f>
        <v>0</v>
      </c>
    </row>
    <row r="156" spans="1:9">
      <c r="A156">
        <f>Q!A156</f>
        <v>0</v>
      </c>
      <c r="B156" t="s">
        <v>279</v>
      </c>
      <c r="C156">
        <f>Q!C156</f>
        <v>63083.376498999918</v>
      </c>
      <c r="D156">
        <f>Q!D156</f>
        <v>63311.065500000004</v>
      </c>
      <c r="E156">
        <f>Q!E156</f>
        <v>63327.772199999999</v>
      </c>
      <c r="F156">
        <f>Q!F156</f>
        <v>63074.075770542782</v>
      </c>
      <c r="G156">
        <f>Q!G156</f>
        <v>62649.459000000192</v>
      </c>
      <c r="H156">
        <f>Q!H156</f>
        <v>61822</v>
      </c>
      <c r="I156">
        <f>Q!N156</f>
        <v>0</v>
      </c>
    </row>
    <row r="157" spans="1:9">
      <c r="A157">
        <f>Q!A157</f>
        <v>0</v>
      </c>
      <c r="B157" t="s">
        <v>449</v>
      </c>
      <c r="C157">
        <f>Q!C157</f>
        <v>63032.606061999933</v>
      </c>
      <c r="D157">
        <f>Q!D157</f>
        <v>63053.4306</v>
      </c>
      <c r="E157">
        <f>Q!E157</f>
        <v>63110.585100000011</v>
      </c>
      <c r="F157">
        <f>Q!F157</f>
        <v>62391.380396752473</v>
      </c>
      <c r="G157">
        <f>Q!G157</f>
        <v>62380.560000000289</v>
      </c>
      <c r="H157">
        <f>Q!H157</f>
        <v>61406</v>
      </c>
      <c r="I157">
        <f>Q!N157</f>
        <v>0</v>
      </c>
    </row>
    <row r="158" spans="1:9">
      <c r="A158">
        <f>Q!A158</f>
        <v>0</v>
      </c>
      <c r="B158" t="s">
        <v>280</v>
      </c>
      <c r="C158">
        <f>Q!C158</f>
        <v>50370.830375999802</v>
      </c>
      <c r="D158">
        <f>Q!D158</f>
        <v>47684.439000000006</v>
      </c>
      <c r="E158">
        <f>Q!E158</f>
        <v>47676.525300000001</v>
      </c>
      <c r="F158">
        <f>Q!F158</f>
        <v>48335.589054318843</v>
      </c>
      <c r="G158">
        <f>Q!G158</f>
        <v>48588.801999999836</v>
      </c>
      <c r="H158">
        <f>Q!H158</f>
        <v>48768</v>
      </c>
      <c r="I158">
        <f>Q!N158</f>
        <v>0</v>
      </c>
    </row>
    <row r="159" spans="1:9">
      <c r="A159">
        <f>Q!A159</f>
        <v>0</v>
      </c>
      <c r="B159" t="s">
        <v>281</v>
      </c>
      <c r="C159">
        <f>Q!C159</f>
        <v>134976.83514699971</v>
      </c>
      <c r="D159">
        <f>Q!D159</f>
        <v>134919.79200000002</v>
      </c>
      <c r="E159">
        <f>Q!E159</f>
        <v>134939.72280000002</v>
      </c>
      <c r="F159">
        <f>Q!F159</f>
        <v>134711.11686674133</v>
      </c>
      <c r="G159">
        <f>Q!G159</f>
        <v>134205.70700000084</v>
      </c>
      <c r="H159">
        <f>Q!H159</f>
        <v>134697</v>
      </c>
      <c r="I159">
        <f>Q!N159</f>
        <v>0</v>
      </c>
    </row>
    <row r="160" spans="1:9">
      <c r="A160">
        <f>Q!A160</f>
        <v>0</v>
      </c>
      <c r="B160" t="s">
        <v>291</v>
      </c>
      <c r="C160">
        <f>Q!C160</f>
        <v>41952.359514999953</v>
      </c>
      <c r="D160">
        <f>Q!D160</f>
        <v>41419.133400000006</v>
      </c>
      <c r="E160">
        <f>Q!E160</f>
        <v>41437.012500000004</v>
      </c>
      <c r="F160">
        <f>Q!F160</f>
        <v>40599.219218286213</v>
      </c>
      <c r="G160">
        <f>Q!G160</f>
        <v>0</v>
      </c>
      <c r="H160">
        <f>Q!H160</f>
        <v>41181</v>
      </c>
      <c r="I160">
        <f>Q!N160</f>
        <v>0</v>
      </c>
    </row>
    <row r="161" spans="1:9">
      <c r="A161">
        <f>Q!A161</f>
        <v>0</v>
      </c>
      <c r="B161" t="s">
        <v>288</v>
      </c>
      <c r="C161">
        <f>Q!C161</f>
        <v>45676.645576999981</v>
      </c>
      <c r="D161">
        <f>Q!D161</f>
        <v>47658.646200000003</v>
      </c>
      <c r="E161">
        <f>Q!E161</f>
        <v>47659.818600000013</v>
      </c>
      <c r="F161">
        <f>Q!F161</f>
        <v>47103.208562697931</v>
      </c>
      <c r="G161">
        <f>Q!G161</f>
        <v>0</v>
      </c>
      <c r="H161">
        <f>Q!H161</f>
        <v>45585</v>
      </c>
      <c r="I161">
        <f>Q!N161</f>
        <v>0</v>
      </c>
    </row>
    <row r="162" spans="1:9">
      <c r="A162">
        <f>Q!A162</f>
        <v>0</v>
      </c>
      <c r="B162" t="s">
        <v>289</v>
      </c>
      <c r="C162">
        <f>Q!C162</f>
        <v>50389.824659000034</v>
      </c>
      <c r="D162">
        <f>Q!D162</f>
        <v>49666.088100000008</v>
      </c>
      <c r="E162">
        <f>Q!E162</f>
        <v>50612.214900000006</v>
      </c>
      <c r="F162">
        <f>Q!F162</f>
        <v>49444.639083137168</v>
      </c>
      <c r="G162">
        <f>Q!G162</f>
        <v>0</v>
      </c>
      <c r="H162">
        <f>Q!H162</f>
        <v>49984</v>
      </c>
      <c r="I162">
        <f>Q!N162</f>
        <v>0</v>
      </c>
    </row>
    <row r="163" spans="1:9">
      <c r="A163">
        <f>Q!A163</f>
        <v>0</v>
      </c>
      <c r="B163" t="s">
        <v>292</v>
      </c>
      <c r="C163">
        <f>Q!C163</f>
        <v>47863.346245000044</v>
      </c>
      <c r="D163">
        <f>Q!D163</f>
        <v>47731.334999999999</v>
      </c>
      <c r="E163">
        <f>Q!E163</f>
        <v>47454.06240000001</v>
      </c>
      <c r="F163">
        <f>Q!F163</f>
        <v>46911.710036851502</v>
      </c>
      <c r="G163">
        <f>Q!G163</f>
        <v>0</v>
      </c>
      <c r="H163">
        <f>Q!H163</f>
        <v>46143</v>
      </c>
      <c r="I163">
        <f>Q!N163</f>
        <v>0</v>
      </c>
    </row>
    <row r="164" spans="1:9">
      <c r="A164">
        <f>Q!A164</f>
        <v>0</v>
      </c>
      <c r="B164" t="s">
        <v>290</v>
      </c>
      <c r="C164">
        <f>Q!C164</f>
        <v>50876.072483000105</v>
      </c>
      <c r="D164">
        <f>Q!D164</f>
        <v>50592.5772</v>
      </c>
      <c r="E164">
        <f>Q!E164</f>
        <v>50492.043900000004</v>
      </c>
      <c r="F164">
        <f>Q!F164</f>
        <v>50001.032811128229</v>
      </c>
      <c r="G164">
        <f>Q!G164</f>
        <v>0</v>
      </c>
      <c r="H164">
        <f>Q!H164</f>
        <v>49785</v>
      </c>
      <c r="I164">
        <f>Q!N164</f>
        <v>0</v>
      </c>
    </row>
    <row r="165" spans="1:9">
      <c r="A165">
        <f>Q!A165</f>
        <v>0</v>
      </c>
      <c r="B165" t="s">
        <v>282</v>
      </c>
      <c r="C165">
        <f>Q!C165</f>
        <v>45043.800000000097</v>
      </c>
      <c r="D165">
        <f>Q!D165</f>
        <v>47649.853199999998</v>
      </c>
      <c r="E165">
        <f>Q!E165</f>
        <v>47646.042900000015</v>
      </c>
      <c r="F165">
        <f>Q!F165</f>
        <v>47357.440343089511</v>
      </c>
      <c r="G165">
        <f>Q!G165</f>
        <v>44874.224999999649</v>
      </c>
      <c r="H165">
        <f>Q!H165</f>
        <v>47530</v>
      </c>
      <c r="I165">
        <f>Q!N165</f>
        <v>0</v>
      </c>
    </row>
    <row r="166" spans="1:9">
      <c r="A166">
        <f>Q!A166</f>
        <v>0</v>
      </c>
      <c r="B166" t="str">
        <f>Q!B166</f>
        <v>E500 May-Sep</v>
      </c>
      <c r="C166">
        <f>Q!C166</f>
        <v>34443.234380000074</v>
      </c>
      <c r="D166">
        <f>Q!D166</f>
        <v>36595.586700000007</v>
      </c>
      <c r="E166">
        <f>Q!E166</f>
        <v>36593.241900000008</v>
      </c>
      <c r="F166">
        <f>Q!F166</f>
        <v>36365.086563318095</v>
      </c>
      <c r="G166">
        <f>Q!G166</f>
        <v>34448.150999999525</v>
      </c>
      <c r="H166">
        <f>Q!H166</f>
        <v>36480</v>
      </c>
      <c r="I166">
        <f>Q!N166</f>
        <v>0</v>
      </c>
    </row>
    <row r="167" spans="1:9">
      <c r="A167">
        <f>Q!A167</f>
        <v>0</v>
      </c>
      <c r="B167" t="s">
        <v>283</v>
      </c>
      <c r="C167">
        <f>Q!C167</f>
        <v>77489.432099999991</v>
      </c>
      <c r="D167">
        <f>Q!D167</f>
        <v>82305.704100000003</v>
      </c>
      <c r="E167">
        <f>Q!E167</f>
        <v>82303.066200000001</v>
      </c>
      <c r="F167">
        <f>Q!F167</f>
        <v>81315.442213475908</v>
      </c>
      <c r="G167">
        <f>Q!G167</f>
        <v>77498.985000000306</v>
      </c>
      <c r="H167">
        <f>Q!H167</f>
        <v>81563</v>
      </c>
      <c r="I167">
        <f>Q!N167</f>
        <v>0</v>
      </c>
    </row>
    <row r="168" spans="1:9">
      <c r="A168">
        <f>Q!A168</f>
        <v>0</v>
      </c>
      <c r="B168" t="s">
        <v>284</v>
      </c>
      <c r="C168">
        <f>Q!C168</f>
        <v>45109.614089999988</v>
      </c>
      <c r="D168">
        <f>Q!D168</f>
        <v>48101.520300000004</v>
      </c>
      <c r="E168">
        <f>Q!E168</f>
        <v>48095.658299999996</v>
      </c>
      <c r="F168">
        <f>Q!F168</f>
        <v>47983.748355173033</v>
      </c>
      <c r="G168">
        <f>Q!G168</f>
        <v>44976.723999999696</v>
      </c>
      <c r="H168">
        <f>Q!H168</f>
        <v>48059</v>
      </c>
      <c r="I168">
        <f>Q!N168</f>
        <v>0</v>
      </c>
    </row>
    <row r="169" spans="1:9">
      <c r="A169">
        <f>Q!A169</f>
        <v>0</v>
      </c>
      <c r="B169" t="s">
        <v>285</v>
      </c>
      <c r="C169">
        <f>Q!C169</f>
        <v>45076.031247999977</v>
      </c>
      <c r="D169">
        <f>Q!D169</f>
        <v>47962.2978</v>
      </c>
      <c r="E169">
        <f>Q!E169</f>
        <v>47961.4185</v>
      </c>
      <c r="F169">
        <f>Q!F169</f>
        <v>47663.108975250296</v>
      </c>
      <c r="G169">
        <f>Q!G169</f>
        <v>44924.113000000318</v>
      </c>
      <c r="H169">
        <f>Q!H169</f>
        <v>47795</v>
      </c>
      <c r="I169">
        <f>Q!N169</f>
        <v>0</v>
      </c>
    </row>
    <row r="170" spans="1:9">
      <c r="A170">
        <f>Q!A170</f>
        <v>0</v>
      </c>
      <c r="B170" t="s">
        <v>286</v>
      </c>
      <c r="C170">
        <f>Q!C170</f>
        <v>44979.010342000052</v>
      </c>
      <c r="D170">
        <f>Q!D170</f>
        <v>47217.530700000003</v>
      </c>
      <c r="E170">
        <f>Q!E170</f>
        <v>47213.427300000003</v>
      </c>
      <c r="F170">
        <f>Q!F170</f>
        <v>46796.309837248911</v>
      </c>
      <c r="G170">
        <f>Q!G170</f>
        <v>44775.104999999901</v>
      </c>
      <c r="H170">
        <f>Q!H170</f>
        <v>47110</v>
      </c>
      <c r="I170">
        <f>Q!N170</f>
        <v>0</v>
      </c>
    </row>
    <row r="171" spans="1:9">
      <c r="A171">
        <f>Q!A171</f>
        <v>0</v>
      </c>
      <c r="B171" t="s">
        <v>287</v>
      </c>
      <c r="C171">
        <f>Q!C171</f>
        <v>45045.847950000098</v>
      </c>
      <c r="D171">
        <f>Q!D171</f>
        <v>46573.590000000004</v>
      </c>
      <c r="E171">
        <f>Q!E171</f>
        <v>46570.072800000002</v>
      </c>
      <c r="F171">
        <f>Q!F171</f>
        <v>46988.310253457523</v>
      </c>
      <c r="G171">
        <f>Q!G171</f>
        <v>44874.224999999649</v>
      </c>
      <c r="H171">
        <f>Q!H171</f>
        <v>47002</v>
      </c>
      <c r="I171">
        <f>Q!N171</f>
        <v>0</v>
      </c>
    </row>
    <row r="172" spans="1:9">
      <c r="A172">
        <f>Q!A172</f>
        <v>0</v>
      </c>
      <c r="B172" t="s">
        <v>293</v>
      </c>
      <c r="C172">
        <f>Q!C172</f>
        <v>45111.847271000021</v>
      </c>
      <c r="D172">
        <f>Q!D172</f>
        <v>47022.912300000004</v>
      </c>
      <c r="E172">
        <f>Q!E172</f>
        <v>47019.102000000006</v>
      </c>
      <c r="F172">
        <f>Q!F172</f>
        <v>47473.21834090534</v>
      </c>
      <c r="G172">
        <f>Q!G172</f>
        <v>44976.746999999705</v>
      </c>
      <c r="H172">
        <f>Q!H172</f>
        <v>47460</v>
      </c>
      <c r="I172">
        <f>Q!N172</f>
        <v>0</v>
      </c>
    </row>
    <row r="173" spans="1:9">
      <c r="A173">
        <f>Q!A173</f>
        <v>0</v>
      </c>
      <c r="B173" t="s">
        <v>294</v>
      </c>
      <c r="C173">
        <f>Q!C173</f>
        <v>44981.351736000026</v>
      </c>
      <c r="D173">
        <f>Q!D173</f>
        <v>46214.249400000001</v>
      </c>
      <c r="E173">
        <f>Q!E173</f>
        <v>46210.439100000003</v>
      </c>
      <c r="F173">
        <f>Q!F173</f>
        <v>46635.695062279068</v>
      </c>
      <c r="G173">
        <f>Q!G173</f>
        <v>44775.104999999901</v>
      </c>
      <c r="H173">
        <f>Q!H173</f>
        <v>46668</v>
      </c>
      <c r="I173">
        <f>Q!N173</f>
        <v>0</v>
      </c>
    </row>
    <row r="174" spans="1:9">
      <c r="A174">
        <f>Q!A174</f>
        <v>0</v>
      </c>
      <c r="B174" t="str">
        <f>Q!B174</f>
        <v>Latent Coil Load(kWh,th)</v>
      </c>
      <c r="C174">
        <f>Q!C174</f>
        <v>0</v>
      </c>
      <c r="D174">
        <f>Q!D174</f>
        <v>0</v>
      </c>
      <c r="E174">
        <f>Q!E174</f>
        <v>0</v>
      </c>
      <c r="F174">
        <f>Q!F174</f>
        <v>0</v>
      </c>
      <c r="G174">
        <f>Q!G174</f>
        <v>0</v>
      </c>
      <c r="H174">
        <f>Q!H174</f>
        <v>0</v>
      </c>
      <c r="I174">
        <f>Q!N174</f>
        <v>0</v>
      </c>
    </row>
    <row r="175" spans="1:9">
      <c r="A175">
        <f>Q!A175</f>
        <v>0</v>
      </c>
      <c r="B175">
        <f>Q!B175</f>
        <v>0</v>
      </c>
      <c r="C175" t="str">
        <f>Q!C175</f>
        <v>TRNSYS</v>
      </c>
      <c r="D175" t="str">
        <f>Q!D175</f>
        <v>DOE-2.2</v>
      </c>
      <c r="E175" t="str">
        <f>Q!E175</f>
        <v>DOE21E-E</v>
      </c>
      <c r="F175" t="str">
        <f>Q!F175</f>
        <v>Energy+</v>
      </c>
      <c r="G175" t="str">
        <f>Q!G175</f>
        <v>CODYRUN</v>
      </c>
      <c r="H175" t="str">
        <f>Q!H175</f>
        <v>HOT3000</v>
      </c>
      <c r="I175" t="str">
        <f>Q!N175</f>
        <v>Your</v>
      </c>
    </row>
    <row r="176" spans="1:9">
      <c r="A176">
        <f>Q!A176</f>
        <v>0</v>
      </c>
      <c r="B176">
        <f>Q!B176</f>
        <v>0</v>
      </c>
      <c r="C176" t="s">
        <v>569</v>
      </c>
      <c r="D176" t="s">
        <v>570</v>
      </c>
      <c r="E176" t="s">
        <v>573</v>
      </c>
      <c r="F176" t="s">
        <v>617</v>
      </c>
      <c r="G176" t="s">
        <v>571</v>
      </c>
      <c r="H176" t="s">
        <v>572</v>
      </c>
      <c r="I176" t="s">
        <v>522</v>
      </c>
    </row>
    <row r="177" spans="1:9">
      <c r="A177">
        <f>Q!A177</f>
        <v>0</v>
      </c>
      <c r="B177" t="s">
        <v>276</v>
      </c>
      <c r="C177">
        <f>Q!C177</f>
        <v>23765.119042741982</v>
      </c>
      <c r="D177">
        <f>Q!D177</f>
        <v>21486.574800000002</v>
      </c>
      <c r="E177">
        <f>Q!E177</f>
        <v>21487.161000000004</v>
      </c>
      <c r="F177">
        <f>Q!F177</f>
        <v>23163.934083256911</v>
      </c>
      <c r="G177">
        <f>Q!G177</f>
        <v>22535.143000000036</v>
      </c>
      <c r="H177">
        <f>Q!H177</f>
        <v>23067</v>
      </c>
      <c r="I177">
        <f>Q!N177</f>
        <v>0</v>
      </c>
    </row>
    <row r="178" spans="1:9">
      <c r="A178">
        <f>Q!A178</f>
        <v>0</v>
      </c>
      <c r="B178" t="s">
        <v>277</v>
      </c>
      <c r="C178">
        <f>Q!C178</f>
        <v>43085.754097849116</v>
      </c>
      <c r="D178">
        <f>Q!D178</f>
        <v>41093.792400000006</v>
      </c>
      <c r="E178">
        <f>Q!E178</f>
        <v>41099.361300000004</v>
      </c>
      <c r="F178">
        <f>Q!F178</f>
        <v>42282.033052490835</v>
      </c>
      <c r="G178">
        <f>Q!G178</f>
        <v>42110.836000000032</v>
      </c>
      <c r="H178">
        <f>Q!H178</f>
        <v>42178</v>
      </c>
      <c r="I178">
        <f>Q!N178</f>
        <v>0</v>
      </c>
    </row>
    <row r="179" spans="1:9">
      <c r="A179">
        <f>Q!A179</f>
        <v>0</v>
      </c>
      <c r="B179" t="s">
        <v>278</v>
      </c>
      <c r="C179">
        <f>Q!C179</f>
        <v>36932.472645265028</v>
      </c>
      <c r="D179">
        <f>Q!D179</f>
        <v>33659.310900000004</v>
      </c>
      <c r="E179">
        <f>Q!E179</f>
        <v>33746.361600000004</v>
      </c>
      <c r="F179">
        <f>Q!F179</f>
        <v>35683.183505530906</v>
      </c>
      <c r="G179">
        <f>Q!G179</f>
        <v>35132.592000000026</v>
      </c>
      <c r="H179">
        <f>Q!H179</f>
        <v>34224</v>
      </c>
      <c r="I179">
        <f>Q!N179</f>
        <v>0</v>
      </c>
    </row>
    <row r="180" spans="1:9">
      <c r="A180">
        <f>Q!A180</f>
        <v>0</v>
      </c>
      <c r="B180" t="s">
        <v>279</v>
      </c>
      <c r="C180">
        <f>Q!C180</f>
        <v>41929.494990569845</v>
      </c>
      <c r="D180">
        <f>Q!D180</f>
        <v>37418.904600000002</v>
      </c>
      <c r="E180">
        <f>Q!E180</f>
        <v>37665.694800000005</v>
      </c>
      <c r="F180">
        <f>Q!F180</f>
        <v>40736.853230665321</v>
      </c>
      <c r="G180">
        <f>Q!G180</f>
        <v>41063.372999999883</v>
      </c>
      <c r="H180">
        <f>Q!H180</f>
        <v>40186</v>
      </c>
      <c r="I180">
        <f>Q!N180</f>
        <v>0</v>
      </c>
    </row>
    <row r="181" spans="1:9">
      <c r="A181">
        <f>Q!A181</f>
        <v>0</v>
      </c>
      <c r="B181" t="s">
        <v>449</v>
      </c>
      <c r="C181">
        <f>Q!C181</f>
        <v>39695.372852321809</v>
      </c>
      <c r="D181">
        <f>Q!D181</f>
        <v>35974.214700000004</v>
      </c>
      <c r="E181">
        <f>Q!E181</f>
        <v>36112.5579</v>
      </c>
      <c r="F181">
        <f>Q!F181</f>
        <v>38742.147353425389</v>
      </c>
      <c r="G181">
        <f>Q!G181</f>
        <v>38295.623999999953</v>
      </c>
      <c r="H181">
        <f>Q!H181</f>
        <v>38346</v>
      </c>
      <c r="I181">
        <f>Q!N181</f>
        <v>0</v>
      </c>
    </row>
    <row r="182" spans="1:9">
      <c r="A182">
        <f>Q!A182</f>
        <v>0</v>
      </c>
      <c r="B182" t="s">
        <v>280</v>
      </c>
      <c r="C182">
        <f>Q!C182</f>
        <v>19017.167229120987</v>
      </c>
      <c r="D182">
        <f>Q!D182</f>
        <v>16051.914600000002</v>
      </c>
      <c r="E182">
        <f>Q!E182</f>
        <v>15958.122600000001</v>
      </c>
      <c r="F182">
        <f>Q!F182</f>
        <v>18258.95814618079</v>
      </c>
      <c r="G182">
        <f>Q!G182</f>
        <v>18271.393999999975</v>
      </c>
      <c r="H182">
        <f>Q!H182</f>
        <v>18621</v>
      </c>
      <c r="I182">
        <f>Q!N182</f>
        <v>0</v>
      </c>
    </row>
    <row r="183" spans="1:9">
      <c r="A183">
        <f>Q!A183</f>
        <v>0</v>
      </c>
      <c r="B183" t="s">
        <v>281</v>
      </c>
      <c r="C183">
        <f>Q!C183</f>
        <v>27997.227426352034</v>
      </c>
      <c r="D183">
        <f>Q!D183</f>
        <v>24887.414100000002</v>
      </c>
      <c r="E183">
        <f>Q!E183</f>
        <v>24914.086200000002</v>
      </c>
      <c r="F183">
        <f>Q!F183</f>
        <v>27496.569666439973</v>
      </c>
      <c r="G183">
        <f>Q!G183</f>
        <v>26994.481999999978</v>
      </c>
      <c r="H183">
        <f>Q!H183</f>
        <v>27470</v>
      </c>
      <c r="I183">
        <f>Q!N183</f>
        <v>0</v>
      </c>
    </row>
    <row r="184" spans="1:9">
      <c r="A184">
        <f>Q!A184</f>
        <v>0</v>
      </c>
      <c r="B184" t="s">
        <v>291</v>
      </c>
      <c r="C184">
        <f>Q!C184</f>
        <v>26840.462611469979</v>
      </c>
      <c r="D184">
        <f>Q!D184</f>
        <v>23498.413200000003</v>
      </c>
      <c r="E184">
        <f>Q!E184</f>
        <v>23588.101800000004</v>
      </c>
      <c r="F184">
        <f>Q!F184</f>
        <v>25891.279977246446</v>
      </c>
      <c r="G184">
        <f>Q!G184</f>
        <v>0</v>
      </c>
      <c r="H184">
        <f>Q!H184</f>
        <v>25717</v>
      </c>
      <c r="I184">
        <f>Q!N184</f>
        <v>0</v>
      </c>
    </row>
    <row r="185" spans="1:9">
      <c r="A185">
        <f>Q!A185</f>
        <v>0</v>
      </c>
      <c r="B185" t="s">
        <v>288</v>
      </c>
      <c r="C185">
        <f>Q!C185</f>
        <v>22996.208255539954</v>
      </c>
      <c r="D185">
        <f>Q!D185</f>
        <v>19120.9647</v>
      </c>
      <c r="E185">
        <f>Q!E185</f>
        <v>19183.688100000003</v>
      </c>
      <c r="F185">
        <f>Q!F185</f>
        <v>20968.213323934026</v>
      </c>
      <c r="G185">
        <f>Q!G185</f>
        <v>0</v>
      </c>
      <c r="H185">
        <f>Q!H185</f>
        <v>20590</v>
      </c>
      <c r="I185">
        <f>Q!N185</f>
        <v>0</v>
      </c>
    </row>
    <row r="186" spans="1:9">
      <c r="A186">
        <f>Q!A186</f>
        <v>0</v>
      </c>
      <c r="B186" t="s">
        <v>289</v>
      </c>
      <c r="C186">
        <f>Q!C186</f>
        <v>22219.482747750022</v>
      </c>
      <c r="D186">
        <f>Q!D186</f>
        <v>19944.8688</v>
      </c>
      <c r="E186">
        <f>Q!E186</f>
        <v>20269.916700000002</v>
      </c>
      <c r="F186">
        <f>Q!F186</f>
        <v>21803.451314323509</v>
      </c>
      <c r="G186">
        <f>Q!G186</f>
        <v>0</v>
      </c>
      <c r="H186">
        <f>Q!H186</f>
        <v>21855</v>
      </c>
      <c r="I186">
        <f>Q!N186</f>
        <v>0</v>
      </c>
    </row>
    <row r="187" spans="1:9">
      <c r="A187">
        <f>Q!A187</f>
        <v>0</v>
      </c>
      <c r="B187" t="s">
        <v>292</v>
      </c>
      <c r="C187">
        <f>Q!C187</f>
        <v>21892.965744893096</v>
      </c>
      <c r="D187">
        <f>Q!D187</f>
        <v>19909.403700000003</v>
      </c>
      <c r="E187">
        <f>Q!E187</f>
        <v>19765.198500000002</v>
      </c>
      <c r="F187">
        <f>Q!F187</f>
        <v>21376.044410862422</v>
      </c>
      <c r="G187">
        <f>Q!G187</f>
        <v>0</v>
      </c>
      <c r="H187">
        <f>Q!H187</f>
        <v>21057</v>
      </c>
      <c r="I187">
        <f>Q!N187</f>
        <v>0</v>
      </c>
    </row>
    <row r="188" spans="1:9">
      <c r="A188">
        <f>Q!A188</f>
        <v>0</v>
      </c>
      <c r="B188" t="s">
        <v>290</v>
      </c>
      <c r="C188">
        <f>Q!C188</f>
        <v>22835.290997827113</v>
      </c>
      <c r="D188">
        <f>Q!D188</f>
        <v>20787.531300000002</v>
      </c>
      <c r="E188">
        <f>Q!E188</f>
        <v>20689.049700000003</v>
      </c>
      <c r="F188">
        <f>Q!F188</f>
        <v>22361.068344499032</v>
      </c>
      <c r="G188">
        <f>Q!G188</f>
        <v>0</v>
      </c>
      <c r="H188">
        <f>Q!H188</f>
        <v>22244</v>
      </c>
      <c r="I188">
        <f>Q!N188</f>
        <v>0</v>
      </c>
    </row>
    <row r="189" spans="1:9">
      <c r="A189">
        <f>Q!A189</f>
        <v>0</v>
      </c>
      <c r="B189" t="s">
        <v>282</v>
      </c>
      <c r="C189">
        <f>Q!C189</f>
        <v>18313.306249999994</v>
      </c>
      <c r="D189">
        <f>Q!D189</f>
        <v>18346.008300000001</v>
      </c>
      <c r="E189">
        <f>Q!E189</f>
        <v>18346.3014</v>
      </c>
      <c r="F189">
        <f>Q!F189</f>
        <v>18231.91600472945</v>
      </c>
      <c r="G189">
        <f>Q!G189</f>
        <v>18231.140999999938</v>
      </c>
      <c r="H189">
        <f>Q!H189</f>
        <v>18084</v>
      </c>
      <c r="I189">
        <f>Q!N189</f>
        <v>0</v>
      </c>
    </row>
    <row r="190" spans="1:9">
      <c r="A190">
        <f>Q!A190</f>
        <v>0</v>
      </c>
      <c r="B190" t="str">
        <f>Q!B190</f>
        <v>E500 May-Sep</v>
      </c>
      <c r="C190">
        <f>Q!C190</f>
        <v>14000.196419999986</v>
      </c>
      <c r="D190">
        <f>Q!D190</f>
        <v>14097.230700000002</v>
      </c>
      <c r="E190">
        <f>Q!E190</f>
        <v>14097.230700000002</v>
      </c>
      <c r="F190">
        <f>Q!F190</f>
        <v>13990.587540818167</v>
      </c>
      <c r="G190">
        <f>Q!G190</f>
        <v>13991.417999999976</v>
      </c>
      <c r="H190">
        <f>Q!H190</f>
        <v>13877</v>
      </c>
      <c r="I190">
        <f>Q!N190</f>
        <v>0</v>
      </c>
    </row>
    <row r="191" spans="1:9">
      <c r="A191">
        <f>Q!A191</f>
        <v>0</v>
      </c>
      <c r="B191" t="s">
        <v>283</v>
      </c>
      <c r="C191">
        <f>Q!C191</f>
        <v>31484.877840000041</v>
      </c>
      <c r="D191">
        <f>Q!D191</f>
        <v>31712.247600000002</v>
      </c>
      <c r="E191">
        <f>Q!E191</f>
        <v>31712.247600000002</v>
      </c>
      <c r="F191">
        <f>Q!F191</f>
        <v>31479.435040542758</v>
      </c>
      <c r="G191">
        <f>Q!G191</f>
        <v>31479.855999999923</v>
      </c>
      <c r="H191">
        <f>Q!H191</f>
        <v>31217</v>
      </c>
      <c r="I191">
        <f>Q!N191</f>
        <v>0</v>
      </c>
    </row>
    <row r="192" spans="1:9">
      <c r="A192">
        <f>Q!A192</f>
        <v>0</v>
      </c>
      <c r="B192" t="s">
        <v>284</v>
      </c>
      <c r="C192">
        <f>Q!C192</f>
        <v>18311.930338999995</v>
      </c>
      <c r="D192">
        <f>Q!D192</f>
        <v>18469.696500000002</v>
      </c>
      <c r="E192">
        <f>Q!E192</f>
        <v>18469.696500000002</v>
      </c>
      <c r="F192">
        <f>Q!F192</f>
        <v>18229.528543089771</v>
      </c>
      <c r="G192">
        <f>Q!G192</f>
        <v>18235.133000000213</v>
      </c>
      <c r="H192">
        <f>Q!H192</f>
        <v>18087</v>
      </c>
      <c r="I192">
        <f>Q!N192</f>
        <v>0</v>
      </c>
    </row>
    <row r="193" spans="1:9">
      <c r="A193">
        <f>Q!A193</f>
        <v>0</v>
      </c>
      <c r="B193" t="s">
        <v>285</v>
      </c>
      <c r="C193">
        <f>Q!C193</f>
        <v>18313.191556000009</v>
      </c>
      <c r="D193">
        <f>Q!D193</f>
        <v>18410.7834</v>
      </c>
      <c r="E193">
        <f>Q!E193</f>
        <v>18410.490300000001</v>
      </c>
      <c r="F193">
        <f>Q!F193</f>
        <v>18230.761665649527</v>
      </c>
      <c r="G193">
        <f>Q!G193</f>
        <v>18233.150999999987</v>
      </c>
      <c r="H193">
        <f>Q!H193</f>
        <v>18104</v>
      </c>
      <c r="I193">
        <f>Q!N193</f>
        <v>0</v>
      </c>
    </row>
    <row r="194" spans="1:9">
      <c r="A194">
        <f>Q!A194</f>
        <v>0</v>
      </c>
      <c r="B194" t="s">
        <v>286</v>
      </c>
      <c r="C194">
        <f>Q!C194</f>
        <v>18313.935059999949</v>
      </c>
      <c r="D194">
        <f>Q!D194</f>
        <v>18181.5792</v>
      </c>
      <c r="E194">
        <f>Q!E194</f>
        <v>18181.5792</v>
      </c>
      <c r="F194">
        <f>Q!F194</f>
        <v>18232.007335113853</v>
      </c>
      <c r="G194">
        <f>Q!G194</f>
        <v>18226.508999999944</v>
      </c>
      <c r="H194">
        <f>Q!H194</f>
        <v>18045</v>
      </c>
      <c r="I194">
        <f>Q!N194</f>
        <v>0</v>
      </c>
    </row>
    <row r="195" spans="1:9">
      <c r="A195">
        <f>Q!A195</f>
        <v>0</v>
      </c>
      <c r="B195" t="s">
        <v>287</v>
      </c>
      <c r="C195">
        <f>Q!C195</f>
        <v>5.6052956319999936E-13</v>
      </c>
      <c r="D195">
        <f>Q!D195</f>
        <v>60.671700000000008</v>
      </c>
      <c r="E195">
        <f>Q!E195</f>
        <v>60.671700000000008</v>
      </c>
      <c r="F195">
        <f>Q!F195</f>
        <v>0.24183003551432733</v>
      </c>
      <c r="G195">
        <f>Q!G195</f>
        <v>1.1859999999999984</v>
      </c>
      <c r="H195">
        <f>Q!H195</f>
        <v>0</v>
      </c>
      <c r="I195">
        <f>Q!N195</f>
        <v>0</v>
      </c>
    </row>
    <row r="196" spans="1:9">
      <c r="A196">
        <f>Q!A196</f>
        <v>0</v>
      </c>
      <c r="B196" t="s">
        <v>293</v>
      </c>
      <c r="C196">
        <f>Q!C196</f>
        <v>0.97975819500045036</v>
      </c>
      <c r="D196">
        <f>Q!D196</f>
        <v>106.98150000000001</v>
      </c>
      <c r="E196">
        <f>Q!E196</f>
        <v>106.98150000000001</v>
      </c>
      <c r="F196">
        <f>Q!F196</f>
        <v>8.8671574738760111</v>
      </c>
      <c r="G196">
        <f>Q!G196</f>
        <v>3.09</v>
      </c>
      <c r="H196">
        <f>Q!H196</f>
        <v>2</v>
      </c>
      <c r="I196">
        <f>Q!N196</f>
        <v>0</v>
      </c>
    </row>
    <row r="197" spans="1:9">
      <c r="A197">
        <f>Q!A197</f>
        <v>0</v>
      </c>
      <c r="B197" t="s">
        <v>294</v>
      </c>
      <c r="C197">
        <f>Q!C197</f>
        <v>-3.3573323999999783E-14</v>
      </c>
      <c r="D197">
        <f>Q!D197</f>
        <v>25.499700000000001</v>
      </c>
      <c r="E197">
        <f>Q!E197</f>
        <v>25.499700000000001</v>
      </c>
      <c r="F197">
        <f>Q!F197</f>
        <v>3.5427769439087969E-12</v>
      </c>
      <c r="G197">
        <f>Q!G197</f>
        <v>4.0000000000000001E-3</v>
      </c>
      <c r="H197">
        <f>Q!H197</f>
        <v>0</v>
      </c>
      <c r="I197">
        <f>Q!N197</f>
        <v>0</v>
      </c>
    </row>
    <row r="198" spans="1:9">
      <c r="A198">
        <f>Q!A198</f>
        <v>0</v>
      </c>
      <c r="B198">
        <f>Q!B198</f>
        <v>0</v>
      </c>
      <c r="C198">
        <f>Q!C198</f>
        <v>0</v>
      </c>
      <c r="D198">
        <f>Q!D198</f>
        <v>0</v>
      </c>
      <c r="E198" t="str">
        <f>Q!E198</f>
        <v>e300results.xls q:a125..m198; 07/19/04</v>
      </c>
      <c r="F198">
        <f>Q!F198</f>
        <v>0</v>
      </c>
      <c r="G198">
        <f>Q!G198</f>
        <v>0</v>
      </c>
      <c r="H198">
        <f>Q!H198</f>
        <v>0</v>
      </c>
      <c r="I198">
        <f>Q!N198</f>
        <v>0</v>
      </c>
    </row>
    <row r="199" spans="1:9">
      <c r="A199">
        <f>Q!A199</f>
        <v>0</v>
      </c>
      <c r="B199">
        <f>Q!B199</f>
        <v>0</v>
      </c>
      <c r="C199">
        <f>Q!C199</f>
        <v>0</v>
      </c>
      <c r="D199">
        <f>Q!D199</f>
        <v>0</v>
      </c>
      <c r="E199">
        <f>Q!E199</f>
        <v>0</v>
      </c>
      <c r="F199">
        <f>Q!F199</f>
        <v>0</v>
      </c>
      <c r="G199">
        <f>Q!G199</f>
        <v>0</v>
      </c>
      <c r="H199">
        <f>Q!H199</f>
        <v>0</v>
      </c>
      <c r="I199">
        <f>Q!N199</f>
        <v>0</v>
      </c>
    </row>
    <row r="200" spans="1:9">
      <c r="A200">
        <f>Q!A200</f>
        <v>0</v>
      </c>
      <c r="B200">
        <f>Q!B200</f>
        <v>0</v>
      </c>
      <c r="C200">
        <f>Q!C200</f>
        <v>0</v>
      </c>
      <c r="D200">
        <f>Q!D200</f>
        <v>0</v>
      </c>
      <c r="E200">
        <f>Q!E200</f>
        <v>0</v>
      </c>
      <c r="F200">
        <f>Q!F200</f>
        <v>0</v>
      </c>
      <c r="G200">
        <f>Q!G200</f>
        <v>0</v>
      </c>
      <c r="H200">
        <f>Q!H200</f>
        <v>0</v>
      </c>
      <c r="I200">
        <f>Q!N200</f>
        <v>0</v>
      </c>
    </row>
    <row r="201" spans="1:9">
      <c r="A201">
        <f>Q!A201</f>
        <v>0</v>
      </c>
      <c r="B201">
        <f>Q!B201</f>
        <v>0</v>
      </c>
      <c r="C201">
        <f>Q!C201</f>
        <v>0</v>
      </c>
      <c r="D201">
        <f>Q!D201</f>
        <v>0</v>
      </c>
      <c r="E201">
        <f>Q!E201</f>
        <v>0</v>
      </c>
      <c r="F201">
        <f>Q!F201</f>
        <v>0</v>
      </c>
      <c r="G201">
        <f>Q!G201</f>
        <v>0</v>
      </c>
      <c r="H201">
        <f>Q!H201</f>
        <v>0</v>
      </c>
      <c r="I201">
        <f>Q!N201</f>
        <v>0</v>
      </c>
    </row>
    <row r="202" spans="1:9">
      <c r="A202">
        <f>Q!A202</f>
        <v>0</v>
      </c>
      <c r="B202">
        <f>Q!B202</f>
        <v>0</v>
      </c>
      <c r="C202">
        <f>Q!C202</f>
        <v>0</v>
      </c>
      <c r="D202">
        <f>Q!D202</f>
        <v>0</v>
      </c>
      <c r="E202">
        <f>Q!E202</f>
        <v>0</v>
      </c>
      <c r="F202">
        <f>Q!F202</f>
        <v>0</v>
      </c>
      <c r="G202">
        <f>Q!G202</f>
        <v>0</v>
      </c>
      <c r="H202">
        <f>Q!H202</f>
        <v>0</v>
      </c>
      <c r="I202">
        <f>Q!N202</f>
        <v>0</v>
      </c>
    </row>
    <row r="203" spans="1:9">
      <c r="A203">
        <f>Q!A203</f>
        <v>0</v>
      </c>
      <c r="B203">
        <f>Q!B203</f>
        <v>0</v>
      </c>
      <c r="C203">
        <f>Q!C203</f>
        <v>0</v>
      </c>
      <c r="D203">
        <f>Q!D203</f>
        <v>0</v>
      </c>
      <c r="E203">
        <f>Q!E203</f>
        <v>0</v>
      </c>
      <c r="F203">
        <f>Q!F203</f>
        <v>0</v>
      </c>
      <c r="G203">
        <f>Q!G203</f>
        <v>0</v>
      </c>
      <c r="H203">
        <f>Q!H203</f>
        <v>0</v>
      </c>
      <c r="I203">
        <f>Q!N203</f>
        <v>0</v>
      </c>
    </row>
    <row r="204" spans="1:9">
      <c r="A204">
        <f>Q!A204</f>
        <v>0</v>
      </c>
      <c r="B204">
        <f>Q!B204</f>
        <v>0</v>
      </c>
      <c r="C204">
        <f>Q!C204</f>
        <v>0</v>
      </c>
      <c r="D204">
        <f>Q!D204</f>
        <v>0</v>
      </c>
      <c r="E204">
        <f>Q!E204</f>
        <v>0</v>
      </c>
      <c r="F204">
        <f>Q!F204</f>
        <v>0</v>
      </c>
      <c r="G204">
        <f>Q!G204</f>
        <v>0</v>
      </c>
      <c r="H204">
        <f>Q!H204</f>
        <v>0</v>
      </c>
      <c r="I204">
        <f>Q!N204</f>
        <v>0</v>
      </c>
    </row>
    <row r="205" spans="1:9">
      <c r="A205">
        <f>Q!A205</f>
        <v>0</v>
      </c>
      <c r="B205" t="str">
        <f>Q!B255</f>
        <v>Various Annual Means (Humidity Ratio, Zone Relative Humidity)</v>
      </c>
      <c r="C205">
        <f>Q!C205</f>
        <v>0</v>
      </c>
      <c r="D205">
        <f>Q!D205</f>
        <v>0</v>
      </c>
      <c r="E205">
        <f>Q!E205</f>
        <v>0</v>
      </c>
      <c r="F205">
        <f>Q!F205</f>
        <v>0</v>
      </c>
      <c r="G205">
        <f>Q!G205</f>
        <v>0</v>
      </c>
      <c r="H205">
        <f>Q!H205</f>
        <v>0</v>
      </c>
      <c r="I205">
        <f>Q!N205</f>
        <v>0</v>
      </c>
    </row>
    <row r="206" spans="1:9">
      <c r="A206">
        <f>Q!A206</f>
        <v>0</v>
      </c>
      <c r="B206" t="str">
        <f>Q!B206</f>
        <v>COP2</v>
      </c>
      <c r="C206">
        <f>Q!C206</f>
        <v>0</v>
      </c>
      <c r="D206">
        <f>Q!D206</f>
        <v>0</v>
      </c>
      <c r="E206">
        <f>Q!E206</f>
        <v>0</v>
      </c>
      <c r="F206">
        <f>Q!F206</f>
        <v>0</v>
      </c>
      <c r="G206">
        <f>Q!G206</f>
        <v>0</v>
      </c>
      <c r="H206">
        <f>Q!H206</f>
        <v>0</v>
      </c>
      <c r="I206">
        <f>Q!N206</f>
        <v>0</v>
      </c>
    </row>
    <row r="207" spans="1:9">
      <c r="A207">
        <f>Q!A207</f>
        <v>0</v>
      </c>
      <c r="B207">
        <f>Q!B207</f>
        <v>0</v>
      </c>
      <c r="C207" t="str">
        <f>Q!C207</f>
        <v>TRNSYS</v>
      </c>
      <c r="D207" t="str">
        <f>Q!D207</f>
        <v>DOE-2.2</v>
      </c>
      <c r="E207" t="str">
        <f>Q!E207</f>
        <v>DOE21E-E</v>
      </c>
      <c r="F207" t="str">
        <f>Q!F207</f>
        <v>Energy+</v>
      </c>
      <c r="G207" t="str">
        <f>Q!G207</f>
        <v>CODYRUN</v>
      </c>
      <c r="H207" t="str">
        <f>Q!H207</f>
        <v>HOT3000</v>
      </c>
      <c r="I207" t="str">
        <f>Q!N207</f>
        <v>Your</v>
      </c>
    </row>
    <row r="208" spans="1:9">
      <c r="A208">
        <f>Q!A208</f>
        <v>0</v>
      </c>
      <c r="B208">
        <f>Q!B208</f>
        <v>0</v>
      </c>
      <c r="C208" t="s">
        <v>569</v>
      </c>
      <c r="D208" t="s">
        <v>570</v>
      </c>
      <c r="E208" t="s">
        <v>573</v>
      </c>
      <c r="F208" t="s">
        <v>617</v>
      </c>
      <c r="G208" t="s">
        <v>571</v>
      </c>
      <c r="H208" t="s">
        <v>572</v>
      </c>
      <c r="I208" t="s">
        <v>522</v>
      </c>
    </row>
    <row r="209" spans="1:9">
      <c r="A209">
        <f>Q!A209</f>
        <v>0</v>
      </c>
      <c r="B209" t="s">
        <v>276</v>
      </c>
      <c r="C209">
        <f>Q!C209</f>
        <v>3.2490640412357039</v>
      </c>
      <c r="D209">
        <f>Q!D209</f>
        <v>3.2376805865102645</v>
      </c>
      <c r="E209">
        <f>Q!E209</f>
        <v>3.2373585549738224</v>
      </c>
      <c r="F209">
        <f>Q!F209</f>
        <v>3.2419158791607874</v>
      </c>
      <c r="G209">
        <f>Q!G209</f>
        <v>3.2263863232202681</v>
      </c>
      <c r="H209">
        <f>Q!H209</f>
        <v>3.23</v>
      </c>
      <c r="I209">
        <f>Q!N209</f>
        <v>0</v>
      </c>
    </row>
    <row r="210" spans="1:9">
      <c r="A210">
        <f>Q!A210</f>
        <v>0</v>
      </c>
      <c r="B210" t="s">
        <v>277</v>
      </c>
      <c r="C210">
        <f>Q!C210</f>
        <v>3.4145863740610052</v>
      </c>
      <c r="D210">
        <f>Q!D210</f>
        <v>3.4174807958173976</v>
      </c>
      <c r="E210">
        <f>Q!E210</f>
        <v>3.4174880051922543</v>
      </c>
      <c r="F210">
        <f>Q!F210</f>
        <v>3.4070913231146287</v>
      </c>
      <c r="G210">
        <f>Q!G210</f>
        <v>3.3972436603535132</v>
      </c>
      <c r="H210">
        <f>Q!H210</f>
        <v>3.38</v>
      </c>
      <c r="I210">
        <f>Q!N210</f>
        <v>0</v>
      </c>
    </row>
    <row r="211" spans="1:9">
      <c r="A211">
        <f>Q!A211</f>
        <v>0</v>
      </c>
      <c r="B211" t="s">
        <v>278</v>
      </c>
      <c r="C211">
        <f>Q!C211</f>
        <v>3.419896411537986</v>
      </c>
      <c r="D211">
        <f>Q!D211</f>
        <v>3.4579699228422753</v>
      </c>
      <c r="E211">
        <f>Q!E211</f>
        <v>3.4570510748065351</v>
      </c>
      <c r="F211">
        <f>Q!F211</f>
        <v>3.4172143760694511</v>
      </c>
      <c r="G211">
        <f>Q!G211</f>
        <v>3.4059697986335884</v>
      </c>
      <c r="H211">
        <f>Q!H211</f>
        <v>3.39</v>
      </c>
      <c r="I211">
        <f>Q!N211</f>
        <v>0</v>
      </c>
    </row>
    <row r="212" spans="1:9">
      <c r="A212">
        <f>Q!A212</f>
        <v>0</v>
      </c>
      <c r="B212" t="s">
        <v>279</v>
      </c>
      <c r="C212">
        <f>Q!C212</f>
        <v>3.4907271114537237</v>
      </c>
      <c r="D212">
        <f>Q!D212</f>
        <v>3.4941712952684894</v>
      </c>
      <c r="E212">
        <f>Q!E212</f>
        <v>3.5364334687303032</v>
      </c>
      <c r="F212">
        <f>Q!F212</f>
        <v>3.50633197407124</v>
      </c>
      <c r="G212">
        <f>Q!G212</f>
        <v>3.4972907127943231</v>
      </c>
      <c r="H212">
        <f>Q!H212</f>
        <v>3.46</v>
      </c>
      <c r="I212">
        <f>Q!N212</f>
        <v>0</v>
      </c>
    </row>
    <row r="213" spans="1:9">
      <c r="A213">
        <f>Q!A213</f>
        <v>0</v>
      </c>
      <c r="B213" t="s">
        <v>449</v>
      </c>
      <c r="C213">
        <f>Q!C213</f>
        <v>3.4542749634926753</v>
      </c>
      <c r="D213">
        <f>Q!D213</f>
        <v>3.4773384823372431</v>
      </c>
      <c r="E213">
        <f>Q!E213</f>
        <v>3.4956189184428399</v>
      </c>
      <c r="F213">
        <f>Q!F213</f>
        <v>3.46237083759975</v>
      </c>
      <c r="G213">
        <f>Q!G213</f>
        <v>3.4495471545115888</v>
      </c>
      <c r="H213">
        <f>Q!H213</f>
        <v>3.42</v>
      </c>
      <c r="I213">
        <f>Q!N213</f>
        <v>0</v>
      </c>
    </row>
    <row r="214" spans="1:9">
      <c r="A214">
        <f>Q!A214</f>
        <v>0</v>
      </c>
      <c r="B214" t="s">
        <v>280</v>
      </c>
      <c r="C214">
        <f>Q!C214</f>
        <v>3.2489490281954185</v>
      </c>
      <c r="D214">
        <f>Q!D214</f>
        <v>3.240776610565923</v>
      </c>
      <c r="E214">
        <f>Q!E214</f>
        <v>3.235440710799268</v>
      </c>
      <c r="F214">
        <f>Q!F214</f>
        <v>3.2462793787828992</v>
      </c>
      <c r="G214">
        <f>Q!G214</f>
        <v>3.2289188238457793</v>
      </c>
      <c r="H214">
        <f>Q!H214</f>
        <v>3.23</v>
      </c>
      <c r="I214">
        <f>Q!N214</f>
        <v>0</v>
      </c>
    </row>
    <row r="215" spans="1:9">
      <c r="A215">
        <f>Q!A215</f>
        <v>0</v>
      </c>
      <c r="B215" t="s">
        <v>281</v>
      </c>
      <c r="C215">
        <f>Q!C215</f>
        <v>3.6690275159907122</v>
      </c>
      <c r="D215">
        <f>Q!D215</f>
        <v>3.7006114787884403</v>
      </c>
      <c r="E215">
        <f>Q!E215</f>
        <v>3.705809741283383</v>
      </c>
      <c r="F215">
        <f>Q!F215</f>
        <v>3.6796675326478208</v>
      </c>
      <c r="G215">
        <f>Q!G215</f>
        <v>3.6666956226117398</v>
      </c>
      <c r="H215">
        <f>Q!H215</f>
        <v>3.66</v>
      </c>
      <c r="I215">
        <f>Q!N215</f>
        <v>0</v>
      </c>
    </row>
    <row r="216" spans="1:9">
      <c r="A216">
        <f>Q!A216</f>
        <v>0</v>
      </c>
      <c r="B216" t="s">
        <v>291</v>
      </c>
      <c r="C216">
        <f>Q!C216</f>
        <v>3.2502746499298332</v>
      </c>
      <c r="D216">
        <f>Q!D216</f>
        <v>3.2514047180206354</v>
      </c>
      <c r="E216">
        <f>Q!E216</f>
        <v>3.2519060962192441</v>
      </c>
      <c r="F216">
        <f>Q!F216</f>
        <v>3.2587708895217808</v>
      </c>
      <c r="G216">
        <f>Q!G216</f>
        <v>0</v>
      </c>
      <c r="H216">
        <f>Q!H216</f>
        <v>3.26</v>
      </c>
      <c r="I216">
        <f>Q!N216</f>
        <v>0</v>
      </c>
    </row>
    <row r="217" spans="1:9">
      <c r="A217">
        <f>Q!A217</f>
        <v>0</v>
      </c>
      <c r="B217" t="s">
        <v>288</v>
      </c>
      <c r="C217">
        <f>Q!C217</f>
        <v>3.2395129561133276</v>
      </c>
      <c r="D217">
        <f>Q!D217</f>
        <v>3.2124115306907832</v>
      </c>
      <c r="E217">
        <f>Q!E217</f>
        <v>3.2106972813295553</v>
      </c>
      <c r="F217">
        <f>Q!F217</f>
        <v>3.2187482875465139</v>
      </c>
      <c r="G217">
        <f>Q!G217</f>
        <v>0</v>
      </c>
      <c r="H217">
        <f>Q!H217</f>
        <v>3.21</v>
      </c>
      <c r="I217">
        <f>Q!N217</f>
        <v>0</v>
      </c>
    </row>
    <row r="218" spans="1:9">
      <c r="A218">
        <f>Q!A218</f>
        <v>0</v>
      </c>
      <c r="B218" t="s">
        <v>289</v>
      </c>
      <c r="C218">
        <f>Q!C218</f>
        <v>3.2260641035937025</v>
      </c>
      <c r="D218">
        <f>Q!D218</f>
        <v>3.2152866928406469</v>
      </c>
      <c r="E218">
        <f>Q!E218</f>
        <v>3.2175275351793013</v>
      </c>
      <c r="F218">
        <f>Q!F218</f>
        <v>3.2214971063565341</v>
      </c>
      <c r="G218">
        <f>Q!G218</f>
        <v>0</v>
      </c>
      <c r="H218">
        <f>Q!H218</f>
        <v>3.21</v>
      </c>
      <c r="I218">
        <f>Q!N218</f>
        <v>0</v>
      </c>
    </row>
    <row r="219" spans="1:9">
      <c r="A219">
        <f>Q!A219</f>
        <v>0</v>
      </c>
      <c r="B219" t="s">
        <v>292</v>
      </c>
      <c r="C219">
        <f>Q!C219</f>
        <v>3.2207938616310492</v>
      </c>
      <c r="D219">
        <f>Q!D219</f>
        <v>3.2130314791943757</v>
      </c>
      <c r="E219">
        <f>Q!E219</f>
        <v>3.2114691557976212</v>
      </c>
      <c r="F219">
        <f>Q!F219</f>
        <v>3.2175650685425263</v>
      </c>
      <c r="G219">
        <f>Q!G219</f>
        <v>0</v>
      </c>
      <c r="H219">
        <f>Q!H219</f>
        <v>3.21</v>
      </c>
      <c r="I219">
        <f>Q!N219</f>
        <v>0</v>
      </c>
    </row>
    <row r="220" spans="1:9">
      <c r="A220">
        <f>Q!A220</f>
        <v>0</v>
      </c>
      <c r="B220" t="s">
        <v>290</v>
      </c>
      <c r="C220">
        <f>Q!C220</f>
        <v>3.2313387251007555</v>
      </c>
      <c r="D220">
        <f>Q!D220</f>
        <v>3.2222873104008669</v>
      </c>
      <c r="E220">
        <f>Q!E220</f>
        <v>3.2218844701941793</v>
      </c>
      <c r="F220">
        <f>Q!F220</f>
        <v>3.2271755662385644</v>
      </c>
      <c r="G220">
        <f>Q!G220</f>
        <v>0</v>
      </c>
      <c r="H220">
        <f>Q!H220</f>
        <v>3.22</v>
      </c>
      <c r="I220">
        <f>Q!N220</f>
        <v>0</v>
      </c>
    </row>
    <row r="221" spans="1:9">
      <c r="A221">
        <f>Q!A221</f>
        <v>0</v>
      </c>
      <c r="B221" t="s">
        <v>282</v>
      </c>
      <c r="C221">
        <f>Q!C221</f>
        <v>3.2040506101569686</v>
      </c>
      <c r="D221">
        <f>Q!D221</f>
        <v>3.2274971390845071</v>
      </c>
      <c r="E221">
        <f>Q!E221</f>
        <v>3.2265361707329006</v>
      </c>
      <c r="F221">
        <f>Q!F221</f>
        <v>3.208044447110225</v>
      </c>
      <c r="G221">
        <f>Q!G221</f>
        <v>3.1920210710105641</v>
      </c>
      <c r="H221">
        <f>Q!H221</f>
        <v>3.2</v>
      </c>
      <c r="I221">
        <f>Q!N221</f>
        <v>0</v>
      </c>
    </row>
    <row r="222" spans="1:9">
      <c r="A222">
        <f>Q!A222</f>
        <v>0</v>
      </c>
      <c r="B222" t="str">
        <f>Q!B222</f>
        <v>E500 May-Sep</v>
      </c>
      <c r="C222">
        <f>Q!C222</f>
        <v>3.1418413089454327</v>
      </c>
      <c r="D222">
        <f>Q!D222</f>
        <v>3.1613855565949489</v>
      </c>
      <c r="E222">
        <f>Q!E222</f>
        <v>3.1616336680596278</v>
      </c>
      <c r="F222">
        <f>Q!F222</f>
        <v>3.1472396390899418</v>
      </c>
      <c r="G222">
        <f>Q!G222</f>
        <v>3.132400718052974</v>
      </c>
      <c r="H222">
        <f>Q!H222</f>
        <v>3.14</v>
      </c>
      <c r="I222">
        <f>Q!N222</f>
        <v>0</v>
      </c>
    </row>
    <row r="223" spans="1:9">
      <c r="A223">
        <f>Q!A223</f>
        <v>0</v>
      </c>
      <c r="B223" t="s">
        <v>283</v>
      </c>
      <c r="C223">
        <f>Q!C223</f>
        <v>3.5513226917289793</v>
      </c>
      <c r="D223">
        <f>Q!D223</f>
        <v>3.5773704725150606</v>
      </c>
      <c r="E223">
        <f>Q!E223</f>
        <v>3.5773999497976217</v>
      </c>
      <c r="F223">
        <f>Q!F223</f>
        <v>3.5553754078702928</v>
      </c>
      <c r="G223">
        <f>Q!G223</f>
        <v>3.529529503755886</v>
      </c>
      <c r="H223">
        <f>Q!H223</f>
        <v>3.55</v>
      </c>
      <c r="I223">
        <f>Q!N223</f>
        <v>0</v>
      </c>
    </row>
    <row r="224" spans="1:9">
      <c r="A224">
        <f>Q!A224</f>
        <v>0</v>
      </c>
      <c r="B224" t="s">
        <v>284</v>
      </c>
      <c r="C224">
        <f>Q!C224</f>
        <v>2.9010750931291152</v>
      </c>
      <c r="D224">
        <f>Q!D224</f>
        <v>2.9567495802798138</v>
      </c>
      <c r="E224">
        <f>Q!E224</f>
        <v>2.9559640658999067</v>
      </c>
      <c r="F224">
        <f>Q!F224</f>
        <v>2.9204616418745704</v>
      </c>
      <c r="G224">
        <f>Q!G224</f>
        <v>2.8733036151829876</v>
      </c>
      <c r="H224">
        <f>Q!H224</f>
        <v>2.92</v>
      </c>
      <c r="I224">
        <f>Q!N224</f>
        <v>0</v>
      </c>
    </row>
    <row r="225" spans="1:9">
      <c r="A225">
        <f>Q!A225</f>
        <v>0</v>
      </c>
      <c r="B225" t="s">
        <v>285</v>
      </c>
      <c r="C225">
        <f>Q!C225</f>
        <v>3.0580577666203514</v>
      </c>
      <c r="D225">
        <f>Q!D225</f>
        <v>3.0743934966881281</v>
      </c>
      <c r="E225">
        <f>Q!E225</f>
        <v>3.072773555555556</v>
      </c>
      <c r="F225">
        <f>Q!F225</f>
        <v>3.0638799308877736</v>
      </c>
      <c r="G225">
        <f>Q!G225</f>
        <v>3.0363034161654276</v>
      </c>
      <c r="H225">
        <f>Q!H225</f>
        <v>3.07</v>
      </c>
      <c r="I225">
        <f>Q!N225</f>
        <v>0</v>
      </c>
    </row>
    <row r="226" spans="1:9">
      <c r="A226">
        <f>Q!A226</f>
        <v>0</v>
      </c>
      <c r="B226" t="s">
        <v>286</v>
      </c>
      <c r="C226">
        <f>Q!C226</f>
        <v>3.4835480223015232</v>
      </c>
      <c r="D226">
        <f>Q!D226</f>
        <v>3.5308881276320054</v>
      </c>
      <c r="E226">
        <f>Q!E226</f>
        <v>3.5279999190763922</v>
      </c>
      <c r="F226">
        <f>Q!F226</f>
        <v>3.4981954262230528</v>
      </c>
      <c r="G226">
        <f>Q!G226</f>
        <v>3.4795946427718336</v>
      </c>
      <c r="H226">
        <f>Q!H226</f>
        <v>3.41</v>
      </c>
      <c r="I226">
        <f>Q!N226</f>
        <v>0</v>
      </c>
    </row>
    <row r="227" spans="1:9">
      <c r="A227">
        <f>Q!A227</f>
        <v>0</v>
      </c>
      <c r="B227" t="s">
        <v>287</v>
      </c>
      <c r="C227">
        <f>Q!C227</f>
        <v>2.961822827530562</v>
      </c>
      <c r="D227">
        <f>Q!D227</f>
        <v>2.969011377093016</v>
      </c>
      <c r="E227">
        <f>Q!E227</f>
        <v>2.969354591186959</v>
      </c>
      <c r="F227">
        <f>Q!F227</f>
        <v>2.9604219306766106</v>
      </c>
      <c r="G227">
        <f>Q!G227</f>
        <v>2.91557596436289</v>
      </c>
      <c r="H227">
        <f>Q!H227</f>
        <v>2.98</v>
      </c>
      <c r="I227">
        <f>Q!N227</f>
        <v>0</v>
      </c>
    </row>
    <row r="228" spans="1:9">
      <c r="A228">
        <f>Q!A228</f>
        <v>0</v>
      </c>
      <c r="B228" t="s">
        <v>293</v>
      </c>
      <c r="C228">
        <f>Q!C228</f>
        <v>2.6680014143975166</v>
      </c>
      <c r="D228">
        <f>Q!D228</f>
        <v>2.6747953348467655</v>
      </c>
      <c r="E228">
        <f>Q!E228</f>
        <v>2.6751863930517716</v>
      </c>
      <c r="F228">
        <f>Q!F228</f>
        <v>2.6934164262744402</v>
      </c>
      <c r="G228">
        <f>Q!G228</f>
        <v>2.6402576966306008</v>
      </c>
      <c r="H228">
        <f>Q!H228</f>
        <v>2.69</v>
      </c>
      <c r="I228">
        <f>Q!N228</f>
        <v>0</v>
      </c>
    </row>
    <row r="229" spans="1:9">
      <c r="A229">
        <f>Q!A229</f>
        <v>0</v>
      </c>
      <c r="B229" t="s">
        <v>294</v>
      </c>
      <c r="C229">
        <f>Q!C229</f>
        <v>3.2280979090130502</v>
      </c>
      <c r="D229">
        <f>Q!D229</f>
        <v>3.2333227816236629</v>
      </c>
      <c r="E229">
        <f>Q!E229</f>
        <v>3.2355450524842548</v>
      </c>
      <c r="F229">
        <f>Q!F229</f>
        <v>3.1631536330233647</v>
      </c>
      <c r="G229">
        <f>Q!G229</f>
        <v>3.186293116613272</v>
      </c>
      <c r="H229">
        <f>Q!H229</f>
        <v>3.2</v>
      </c>
      <c r="I229">
        <f>Q!N229</f>
        <v>0</v>
      </c>
    </row>
    <row r="230" spans="1:9">
      <c r="B230" t="str">
        <f>Q!B230</f>
        <v>IDB (°C)</v>
      </c>
      <c r="C230">
        <f>Q!C230</f>
        <v>0</v>
      </c>
      <c r="D230">
        <f>Q!D230</f>
        <v>0</v>
      </c>
      <c r="E230">
        <f>Q!E230</f>
        <v>0</v>
      </c>
      <c r="F230">
        <f>Q!F230</f>
        <v>0</v>
      </c>
      <c r="G230">
        <f>Q!G230</f>
        <v>0</v>
      </c>
      <c r="H230">
        <f>Q!H230</f>
        <v>0</v>
      </c>
      <c r="I230">
        <f>Q!N230</f>
        <v>0</v>
      </c>
    </row>
    <row r="231" spans="1:9">
      <c r="B231">
        <f>Q!B231</f>
        <v>0</v>
      </c>
      <c r="C231" t="str">
        <f>Q!C231</f>
        <v>TRNSYS</v>
      </c>
      <c r="D231" t="str">
        <f>Q!D231</f>
        <v>DOE-2.2</v>
      </c>
      <c r="E231" t="str">
        <f>Q!E231</f>
        <v>DOE21E-E</v>
      </c>
      <c r="F231" t="str">
        <f>Q!F231</f>
        <v>Energy+</v>
      </c>
      <c r="G231" t="str">
        <f>Q!G231</f>
        <v>CODYRUN</v>
      </c>
      <c r="H231" t="str">
        <f>Q!H231</f>
        <v>HOT3000</v>
      </c>
      <c r="I231" t="str">
        <f>Q!N231</f>
        <v>Your</v>
      </c>
    </row>
    <row r="232" spans="1:9">
      <c r="B232">
        <f>Q!B232</f>
        <v>0</v>
      </c>
      <c r="C232" t="s">
        <v>569</v>
      </c>
      <c r="D232" t="s">
        <v>570</v>
      </c>
      <c r="E232" t="s">
        <v>573</v>
      </c>
      <c r="F232" t="s">
        <v>617</v>
      </c>
      <c r="G232" t="s">
        <v>571</v>
      </c>
      <c r="H232" t="s">
        <v>572</v>
      </c>
      <c r="I232" t="s">
        <v>522</v>
      </c>
    </row>
    <row r="233" spans="1:9">
      <c r="B233" t="s">
        <v>276</v>
      </c>
      <c r="C233">
        <f>Q!C233</f>
        <v>23.624274631278602</v>
      </c>
      <c r="D233">
        <f>Q!D233</f>
        <v>24.055555555555554</v>
      </c>
      <c r="E233">
        <f>Q!E233</f>
        <v>24.055555555555554</v>
      </c>
      <c r="F233">
        <f>Q!F233</f>
        <v>24.089100588595329</v>
      </c>
      <c r="G233">
        <f>Q!G233</f>
        <v>24.081647260274028</v>
      </c>
      <c r="H233">
        <f>Q!H233</f>
        <v>23.99</v>
      </c>
      <c r="I233">
        <f>Q!N233</f>
        <v>0</v>
      </c>
    </row>
    <row r="234" spans="1:9">
      <c r="B234" t="s">
        <v>277</v>
      </c>
      <c r="C234">
        <f>Q!C234</f>
        <v>23.755573192922416</v>
      </c>
      <c r="D234">
        <f>Q!D234</f>
        <v>24.111111111111114</v>
      </c>
      <c r="E234">
        <f>Q!E234</f>
        <v>24.055555555555554</v>
      </c>
      <c r="F234">
        <f>Q!F234</f>
        <v>24.091465255790009</v>
      </c>
      <c r="G234">
        <f>Q!G234</f>
        <v>24.089708904109656</v>
      </c>
      <c r="H234">
        <f>Q!H234</f>
        <v>24.01</v>
      </c>
      <c r="I234">
        <f>Q!N234</f>
        <v>0</v>
      </c>
    </row>
    <row r="235" spans="1:9">
      <c r="B235" t="s">
        <v>278</v>
      </c>
      <c r="C235">
        <f>Q!C235</f>
        <v>23.90049940753422</v>
      </c>
      <c r="D235">
        <f>Q!D235</f>
        <v>24.388888888888893</v>
      </c>
      <c r="E235">
        <f>Q!E235</f>
        <v>24.388888888888893</v>
      </c>
      <c r="F235">
        <f>Q!F235</f>
        <v>24.232151722430519</v>
      </c>
      <c r="G235">
        <f>Q!G235</f>
        <v>24.327353881278576</v>
      </c>
      <c r="H235">
        <f>Q!H235</f>
        <v>24.53</v>
      </c>
      <c r="I235">
        <f>Q!N235</f>
        <v>0</v>
      </c>
    </row>
    <row r="236" spans="1:9">
      <c r="B236" t="s">
        <v>279</v>
      </c>
      <c r="C236">
        <f>Q!C236</f>
        <v>23.879729368721453</v>
      </c>
      <c r="D236">
        <f>Q!D236</f>
        <v>24.277777777777779</v>
      </c>
      <c r="E236">
        <f>Q!E236</f>
        <v>24.277777777777779</v>
      </c>
      <c r="F236">
        <f>Q!F236</f>
        <v>24.295252404737674</v>
      </c>
      <c r="G236">
        <f>Q!G236</f>
        <v>24.2954691780822</v>
      </c>
      <c r="H236">
        <f>Q!H236</f>
        <v>24.18</v>
      </c>
      <c r="I236">
        <f>Q!N236</f>
        <v>0</v>
      </c>
    </row>
    <row r="237" spans="1:9">
      <c r="B237" t="s">
        <v>449</v>
      </c>
      <c r="C237">
        <f>Q!C237</f>
        <v>23.875627816210084</v>
      </c>
      <c r="D237">
        <f>Q!D237</f>
        <v>24.277777777777779</v>
      </c>
      <c r="E237">
        <f>Q!E237</f>
        <v>24.277777777777779</v>
      </c>
      <c r="F237">
        <f>Q!F237</f>
        <v>24.31049385776663</v>
      </c>
      <c r="G237">
        <f>Q!G237</f>
        <v>24.308863013698669</v>
      </c>
      <c r="H237">
        <f>Q!H237</f>
        <v>24.21</v>
      </c>
      <c r="I237">
        <f>Q!N237</f>
        <v>0</v>
      </c>
    </row>
    <row r="238" spans="1:9">
      <c r="B238" t="s">
        <v>280</v>
      </c>
      <c r="C238">
        <f>Q!C238</f>
        <v>25.659465613013619</v>
      </c>
      <c r="D238">
        <f>Q!D238</f>
        <v>26.166666666666664</v>
      </c>
      <c r="E238">
        <f>Q!E238</f>
        <v>26.166666666666664</v>
      </c>
      <c r="F238">
        <f>Q!F238</f>
        <v>26.236826283362589</v>
      </c>
      <c r="G238">
        <f>Q!G238</f>
        <v>26.268599315068546</v>
      </c>
      <c r="H238">
        <f>Q!H238</f>
        <v>26.15</v>
      </c>
      <c r="I238">
        <f>Q!N238</f>
        <v>0</v>
      </c>
    </row>
    <row r="239" spans="1:9">
      <c r="B239" t="s">
        <v>281</v>
      </c>
      <c r="C239">
        <f>Q!C239</f>
        <v>25.364948660958916</v>
      </c>
      <c r="D239">
        <f>Q!D239</f>
        <v>25.611111111111107</v>
      </c>
      <c r="E239">
        <f>Q!E239</f>
        <v>25.555555555555554</v>
      </c>
      <c r="F239">
        <f>Q!F239</f>
        <v>25.431118171998271</v>
      </c>
      <c r="G239">
        <f>Q!G239</f>
        <v>25.480876712328794</v>
      </c>
      <c r="H239">
        <f>Q!H239</f>
        <v>25.37</v>
      </c>
      <c r="I239">
        <f>Q!N239</f>
        <v>0</v>
      </c>
    </row>
    <row r="240" spans="1:9">
      <c r="B240" t="s">
        <v>291</v>
      </c>
      <c r="C240">
        <f>Q!C240</f>
        <v>24.126294471461257</v>
      </c>
      <c r="D240">
        <f>Q!D240</f>
        <v>24.055555555555554</v>
      </c>
      <c r="E240">
        <f>Q!E240</f>
        <v>24.055555555555554</v>
      </c>
      <c r="F240">
        <f>Q!F240</f>
        <v>24.090459328599369</v>
      </c>
      <c r="G240">
        <f>Q!G240</f>
        <v>0</v>
      </c>
      <c r="H240">
        <f>Q!H240</f>
        <v>23.99</v>
      </c>
      <c r="I240">
        <f>Q!N240</f>
        <v>0</v>
      </c>
    </row>
    <row r="241" spans="2:9">
      <c r="B241" t="s">
        <v>288</v>
      </c>
      <c r="C241">
        <f>Q!C241</f>
        <v>24.122146412100513</v>
      </c>
      <c r="D241">
        <f>Q!D241</f>
        <v>24.055555555555554</v>
      </c>
      <c r="E241">
        <f>Q!E241</f>
        <v>24.055555555555554</v>
      </c>
      <c r="F241">
        <f>Q!F241</f>
        <v>24.088989264750246</v>
      </c>
      <c r="G241">
        <f>Q!G241</f>
        <v>0</v>
      </c>
      <c r="H241">
        <f>Q!H241</f>
        <v>23.99</v>
      </c>
      <c r="I241">
        <f>Q!N241</f>
        <v>0</v>
      </c>
    </row>
    <row r="242" spans="2:9">
      <c r="B242" t="s">
        <v>289</v>
      </c>
      <c r="C242">
        <f>Q!C242</f>
        <v>23.926173912100584</v>
      </c>
      <c r="D242">
        <f>Q!D242</f>
        <v>24.055555555555554</v>
      </c>
      <c r="E242">
        <f>Q!E242</f>
        <v>24.055555555555554</v>
      </c>
      <c r="F242">
        <f>Q!F242</f>
        <v>24.089038062089866</v>
      </c>
      <c r="G242">
        <f>Q!G242</f>
        <v>0</v>
      </c>
      <c r="H242">
        <f>Q!H242</f>
        <v>23.99</v>
      </c>
      <c r="I242">
        <f>Q!N242</f>
        <v>0</v>
      </c>
    </row>
    <row r="243" spans="2:9">
      <c r="B243" t="s">
        <v>292</v>
      </c>
      <c r="C243">
        <f>Q!C243</f>
        <v>23.991582428082271</v>
      </c>
      <c r="D243">
        <f>Q!D243</f>
        <v>24.055555555555554</v>
      </c>
      <c r="E243">
        <f>Q!E243</f>
        <v>24.055555555555554</v>
      </c>
      <c r="F243">
        <f>Q!F243</f>
        <v>24.089030863511095</v>
      </c>
      <c r="G243">
        <f>Q!G243</f>
        <v>0</v>
      </c>
      <c r="H243">
        <f>Q!H243</f>
        <v>23.99</v>
      </c>
      <c r="I243">
        <f>Q!N243</f>
        <v>0</v>
      </c>
    </row>
    <row r="244" spans="2:9">
      <c r="B244" t="s">
        <v>290</v>
      </c>
      <c r="C244">
        <f>Q!C244</f>
        <v>23.91177118379002</v>
      </c>
      <c r="D244">
        <f>Q!D244</f>
        <v>24.055555555555554</v>
      </c>
      <c r="E244">
        <f>Q!E244</f>
        <v>24.055555555555554</v>
      </c>
      <c r="F244">
        <f>Q!F244</f>
        <v>24.089066762619694</v>
      </c>
      <c r="G244">
        <f>Q!G244</f>
        <v>0</v>
      </c>
      <c r="H244">
        <f>Q!H244</f>
        <v>23.99</v>
      </c>
      <c r="I244">
        <f>Q!N244</f>
        <v>0</v>
      </c>
    </row>
    <row r="245" spans="2:9">
      <c r="B245" t="s">
        <v>282</v>
      </c>
      <c r="C245">
        <f>Q!C245</f>
        <v>20.234182794520542</v>
      </c>
      <c r="D245">
        <f>Q!D245</f>
        <v>20.666666666666668</v>
      </c>
      <c r="E245">
        <f>Q!E245</f>
        <v>20.555555555555554</v>
      </c>
      <c r="F245">
        <f>Q!F245</f>
        <v>20.40369330062828</v>
      </c>
      <c r="G245">
        <f>Q!G245</f>
        <v>21.097828767123321</v>
      </c>
      <c r="H245">
        <f>Q!H245</f>
        <v>22.86</v>
      </c>
      <c r="I245">
        <f>Q!N245</f>
        <v>0</v>
      </c>
    </row>
    <row r="246" spans="2:9">
      <c r="B246" t="s">
        <v>120</v>
      </c>
      <c r="C246">
        <f>Q!C246</f>
        <v>24.572292429193926</v>
      </c>
      <c r="D246">
        <f>Q!D246</f>
        <v>25</v>
      </c>
      <c r="E246">
        <f>Q!E246</f>
        <v>25</v>
      </c>
      <c r="F246">
        <f>Q!F246</f>
        <v>24.982691668938305</v>
      </c>
      <c r="G246">
        <f>Q!G246</f>
        <v>25</v>
      </c>
      <c r="H246">
        <f>Q!H246</f>
        <v>25</v>
      </c>
      <c r="I246">
        <f>Q!N246</f>
        <v>0</v>
      </c>
    </row>
    <row r="247" spans="2:9">
      <c r="B247" t="s">
        <v>283</v>
      </c>
      <c r="C247">
        <f>Q!C247</f>
        <v>25.816808224400845</v>
      </c>
      <c r="D247">
        <f>Q!D247</f>
        <v>25.111111111111111</v>
      </c>
      <c r="E247">
        <f>Q!E247</f>
        <v>25.111111111111111</v>
      </c>
      <c r="F247">
        <f>Q!F247</f>
        <v>24.959722174661206</v>
      </c>
      <c r="G247">
        <f>Q!G247</f>
        <v>25</v>
      </c>
      <c r="H247">
        <f>Q!H247</f>
        <v>25</v>
      </c>
      <c r="I247">
        <f>Q!N247</f>
        <v>0</v>
      </c>
    </row>
    <row r="248" spans="2:9">
      <c r="B248" t="s">
        <v>284</v>
      </c>
      <c r="C248">
        <f>Q!C248</f>
        <v>13.51710186187217</v>
      </c>
      <c r="D248">
        <f>Q!D248</f>
        <v>13.777777777777775</v>
      </c>
      <c r="E248">
        <f>Q!E248</f>
        <v>13.722222222222225</v>
      </c>
      <c r="F248">
        <f>Q!F248</f>
        <v>13.625903662770655</v>
      </c>
      <c r="G248">
        <f>Q!G248</f>
        <v>14.142081050228299</v>
      </c>
      <c r="H248">
        <f>Q!H248</f>
        <v>14.89</v>
      </c>
      <c r="I248">
        <f>Q!N248</f>
        <v>0</v>
      </c>
    </row>
    <row r="249" spans="2:9">
      <c r="B249" t="s">
        <v>285</v>
      </c>
      <c r="C249">
        <f>Q!C249</f>
        <v>16.945636687214613</v>
      </c>
      <c r="D249">
        <f>Q!D249</f>
        <v>17.277777777777779</v>
      </c>
      <c r="E249">
        <f>Q!E249</f>
        <v>17.222222222222221</v>
      </c>
      <c r="F249">
        <f>Q!F249</f>
        <v>17.032731585935139</v>
      </c>
      <c r="G249">
        <f>Q!G249</f>
        <v>17.729027397260282</v>
      </c>
      <c r="H249">
        <f>Q!H249</f>
        <v>18.7</v>
      </c>
      <c r="I249">
        <f>Q!N249</f>
        <v>0</v>
      </c>
    </row>
    <row r="250" spans="2:9">
      <c r="B250" t="s">
        <v>286</v>
      </c>
      <c r="C250">
        <f>Q!C250</f>
        <v>26.844263271689471</v>
      </c>
      <c r="D250">
        <f>Q!D250</f>
        <v>27.388888888888886</v>
      </c>
      <c r="E250">
        <f>Q!E250</f>
        <v>27.277777777777771</v>
      </c>
      <c r="F250">
        <f>Q!F250</f>
        <v>27.128669306311327</v>
      </c>
      <c r="G250">
        <f>Q!G250</f>
        <v>27.770939497716959</v>
      </c>
      <c r="H250">
        <f>Q!H250</f>
        <v>30.69</v>
      </c>
      <c r="I250">
        <f>Q!N250</f>
        <v>0</v>
      </c>
    </row>
    <row r="251" spans="2:9">
      <c r="B251" t="s">
        <v>287</v>
      </c>
      <c r="C251">
        <f>Q!C251</f>
        <v>20.025301170091296</v>
      </c>
      <c r="D251">
        <f>Q!D251</f>
        <v>20.611111111111107</v>
      </c>
      <c r="E251">
        <f>Q!E251</f>
        <v>20.555555555555554</v>
      </c>
      <c r="F251">
        <f>Q!F251</f>
        <v>20.595094826643443</v>
      </c>
      <c r="G251">
        <f>Q!G251</f>
        <v>21.097828767123321</v>
      </c>
      <c r="H251">
        <f>Q!H251</f>
        <v>22.86</v>
      </c>
      <c r="I251">
        <f>Q!N251</f>
        <v>0</v>
      </c>
    </row>
    <row r="252" spans="2:9">
      <c r="B252" t="s">
        <v>293</v>
      </c>
      <c r="C252">
        <f>Q!C252</f>
        <v>13.289258955479395</v>
      </c>
      <c r="D252">
        <f>Q!D252</f>
        <v>13.777777777777775</v>
      </c>
      <c r="E252">
        <f>Q!E252</f>
        <v>13.722222222222225</v>
      </c>
      <c r="F252">
        <f>Q!F252</f>
        <v>13.801722213423506</v>
      </c>
      <c r="G252">
        <f>Q!G252</f>
        <v>14.140647260273958</v>
      </c>
      <c r="H252">
        <f>Q!H252</f>
        <v>14.98</v>
      </c>
      <c r="I252">
        <f>Q!N252</f>
        <v>0</v>
      </c>
    </row>
    <row r="253" spans="2:9">
      <c r="B253" t="s">
        <v>294</v>
      </c>
      <c r="C253">
        <f>Q!C253</f>
        <v>26.605193127853905</v>
      </c>
      <c r="D253">
        <f>Q!D253</f>
        <v>27.333333333333336</v>
      </c>
      <c r="E253">
        <f>Q!E253</f>
        <v>27.277777777777771</v>
      </c>
      <c r="F253">
        <f>Q!F253</f>
        <v>27.321947471860025</v>
      </c>
      <c r="G253">
        <f>Q!G253</f>
        <v>27.716633561643903</v>
      </c>
      <c r="H253">
        <f>Q!H253</f>
        <v>30.69</v>
      </c>
      <c r="I253">
        <f>Q!N253</f>
        <v>0</v>
      </c>
    </row>
    <row r="256" spans="2:9">
      <c r="B256" t="str">
        <f>Q!B256</f>
        <v>Humidity Ratio (kg/kg)</v>
      </c>
      <c r="C256">
        <f>Q!C256</f>
        <v>0</v>
      </c>
      <c r="D256">
        <f>Q!D256</f>
        <v>0</v>
      </c>
      <c r="E256">
        <f>Q!E256</f>
        <v>0</v>
      </c>
      <c r="F256">
        <f>Q!F256</f>
        <v>0</v>
      </c>
      <c r="G256">
        <f>Q!G256</f>
        <v>0</v>
      </c>
      <c r="H256">
        <f>Q!H256</f>
        <v>0</v>
      </c>
      <c r="I256">
        <f>Q!N256</f>
        <v>0</v>
      </c>
    </row>
    <row r="257" spans="2:9">
      <c r="B257">
        <f>Q!B257</f>
        <v>0</v>
      </c>
      <c r="C257" t="str">
        <f>Q!C257</f>
        <v>TRNSYS</v>
      </c>
      <c r="D257" t="str">
        <f>Q!D257</f>
        <v>DOE-2.2</v>
      </c>
      <c r="E257" t="str">
        <f>Q!E257</f>
        <v>DOE21E-E</v>
      </c>
      <c r="F257" t="str">
        <f>Q!F257</f>
        <v>Energy+</v>
      </c>
      <c r="G257" t="str">
        <f>Q!G257</f>
        <v>CODYRUN</v>
      </c>
      <c r="H257" t="str">
        <f>Q!H257</f>
        <v>HOT3000</v>
      </c>
      <c r="I257" t="str">
        <f>Q!N257</f>
        <v>Your</v>
      </c>
    </row>
    <row r="258" spans="2:9">
      <c r="B258">
        <f>Q!B258</f>
        <v>0</v>
      </c>
      <c r="C258" t="s">
        <v>569</v>
      </c>
      <c r="D258" t="s">
        <v>570</v>
      </c>
      <c r="E258" t="s">
        <v>573</v>
      </c>
      <c r="F258" t="s">
        <v>617</v>
      </c>
      <c r="G258" t="s">
        <v>571</v>
      </c>
      <c r="H258" t="s">
        <v>572</v>
      </c>
      <c r="I258" t="s">
        <v>522</v>
      </c>
    </row>
    <row r="259" spans="2:9">
      <c r="B259" t="s">
        <v>276</v>
      </c>
      <c r="C259">
        <f>Q!C259</f>
        <v>9.0690822031963426E-3</v>
      </c>
      <c r="D259">
        <f>Q!D259</f>
        <v>9.1999999999999998E-3</v>
      </c>
      <c r="E259">
        <f>Q!E259</f>
        <v>9.1999999999999998E-3</v>
      </c>
      <c r="F259">
        <f>Q!F259</f>
        <v>9.1653821331974944E-3</v>
      </c>
      <c r="G259">
        <f>Q!G259</f>
        <v>9.1748202054794236E-3</v>
      </c>
      <c r="H259">
        <f>Q!H259</f>
        <v>9.1999999999999998E-3</v>
      </c>
      <c r="I259">
        <f>Q!N259</f>
        <v>0</v>
      </c>
    </row>
    <row r="260" spans="2:9">
      <c r="B260" t="s">
        <v>277</v>
      </c>
      <c r="C260">
        <f>Q!C260</f>
        <v>1.1070886085616464E-2</v>
      </c>
      <c r="D260">
        <f>Q!D260</f>
        <v>1.1299999999999999E-2</v>
      </c>
      <c r="E260">
        <f>Q!E260</f>
        <v>1.1299999999999999E-2</v>
      </c>
      <c r="F260">
        <f>Q!F260</f>
        <v>1.1153501222074636E-2</v>
      </c>
      <c r="G260">
        <f>Q!G260</f>
        <v>1.1174638812785374E-2</v>
      </c>
      <c r="H260">
        <f>Q!H260</f>
        <v>1.11E-2</v>
      </c>
      <c r="I260">
        <f>Q!N260</f>
        <v>0</v>
      </c>
    </row>
    <row r="261" spans="2:9">
      <c r="B261" t="s">
        <v>278</v>
      </c>
      <c r="C261">
        <f>Q!C261</f>
        <v>9.9880373253424821E-3</v>
      </c>
      <c r="D261">
        <f>Q!D261</f>
        <v>1.01E-2</v>
      </c>
      <c r="E261">
        <f>Q!E261</f>
        <v>1.01E-2</v>
      </c>
      <c r="F261">
        <f>Q!F261</f>
        <v>1.0036880698076376E-2</v>
      </c>
      <c r="G261">
        <f>Q!G261</f>
        <v>1.0049198972602738E-2</v>
      </c>
      <c r="H261">
        <f>Q!H261</f>
        <v>9.9000000000000008E-3</v>
      </c>
      <c r="I261">
        <f>Q!N261</f>
        <v>0</v>
      </c>
    </row>
    <row r="262" spans="2:9">
      <c r="B262" t="s">
        <v>279</v>
      </c>
      <c r="C262">
        <f>Q!C262</f>
        <v>9.7409446187214678E-3</v>
      </c>
      <c r="D262">
        <f>Q!D262</f>
        <v>9.9000000000000008E-3</v>
      </c>
      <c r="E262">
        <f>Q!E262</f>
        <v>9.9000000000000008E-3</v>
      </c>
      <c r="F262">
        <f>Q!F262</f>
        <v>9.8805750640062039E-3</v>
      </c>
      <c r="G262">
        <f>Q!G262</f>
        <v>9.8116047945205134E-3</v>
      </c>
      <c r="H262">
        <f>Q!H262</f>
        <v>9.9000000000000008E-3</v>
      </c>
      <c r="I262">
        <f>Q!N262</f>
        <v>0</v>
      </c>
    </row>
    <row r="263" spans="2:9">
      <c r="B263" t="s">
        <v>449</v>
      </c>
      <c r="C263">
        <f>Q!C263</f>
        <v>9.7914059041095854E-3</v>
      </c>
      <c r="D263">
        <f>Q!D263</f>
        <v>9.9000000000000008E-3</v>
      </c>
      <c r="E263">
        <f>Q!E263</f>
        <v>9.9000000000000008E-3</v>
      </c>
      <c r="F263">
        <f>Q!F263</f>
        <v>9.9021303434107723E-3</v>
      </c>
      <c r="G263">
        <f>Q!G263</f>
        <v>9.8683336757990694E-3</v>
      </c>
      <c r="H263">
        <f>Q!H263</f>
        <v>9.9000000000000008E-3</v>
      </c>
      <c r="I263">
        <f>Q!N263</f>
        <v>0</v>
      </c>
    </row>
    <row r="264" spans="2:9">
      <c r="B264" t="s">
        <v>280</v>
      </c>
      <c r="C264">
        <f>Q!C264</f>
        <v>9.705930864155235E-3</v>
      </c>
      <c r="D264">
        <f>Q!D264</f>
        <v>0.01</v>
      </c>
      <c r="E264">
        <f>Q!E264</f>
        <v>0.01</v>
      </c>
      <c r="F264">
        <f>Q!F264</f>
        <v>9.7963736705359641E-3</v>
      </c>
      <c r="G264">
        <f>Q!G264</f>
        <v>9.7585481735159314E-3</v>
      </c>
      <c r="H264">
        <f>Q!H264</f>
        <v>9.7699999999999992E-3</v>
      </c>
      <c r="I264">
        <f>Q!N264</f>
        <v>0</v>
      </c>
    </row>
    <row r="265" spans="2:9">
      <c r="B265" t="s">
        <v>281</v>
      </c>
      <c r="C265">
        <f>Q!C265</f>
        <v>8.4994811107306049E-3</v>
      </c>
      <c r="D265">
        <f>Q!D265</f>
        <v>8.6999999999999994E-3</v>
      </c>
      <c r="E265">
        <f>Q!E265</f>
        <v>8.6999999999999994E-3</v>
      </c>
      <c r="F265">
        <f>Q!F265</f>
        <v>8.6062916094321474E-3</v>
      </c>
      <c r="G265">
        <f>Q!G265</f>
        <v>8.552449543378967E-3</v>
      </c>
      <c r="H265">
        <f>Q!H265</f>
        <v>8.5800000000000008E-3</v>
      </c>
      <c r="I265">
        <f>Q!N265</f>
        <v>0</v>
      </c>
    </row>
    <row r="266" spans="2:9">
      <c r="B266" t="s">
        <v>291</v>
      </c>
      <c r="C266">
        <f>Q!C266</f>
        <v>9.8011450958904334E-3</v>
      </c>
      <c r="D266">
        <f>Q!D266</f>
        <v>0.01</v>
      </c>
      <c r="E266">
        <f>Q!E266</f>
        <v>0.01</v>
      </c>
      <c r="F266">
        <f>Q!F266</f>
        <v>1.0041896100711798E-2</v>
      </c>
      <c r="G266">
        <f>Q!G266</f>
        <v>0</v>
      </c>
      <c r="H266">
        <f>Q!H266</f>
        <v>0.01</v>
      </c>
      <c r="I266">
        <f>Q!N266</f>
        <v>0</v>
      </c>
    </row>
    <row r="267" spans="2:9">
      <c r="B267" t="s">
        <v>288</v>
      </c>
      <c r="C267">
        <f>Q!C267</f>
        <v>9.7404771940639307E-3</v>
      </c>
      <c r="D267">
        <f>Q!D267</f>
        <v>9.4999999999999998E-3</v>
      </c>
      <c r="E267">
        <f>Q!E267</f>
        <v>9.4999999999999998E-3</v>
      </c>
      <c r="F267">
        <f>Q!F267</f>
        <v>9.4822829454586158E-3</v>
      </c>
      <c r="G267">
        <f>Q!G267</f>
        <v>0</v>
      </c>
      <c r="H267">
        <f>Q!H267</f>
        <v>9.4999999999999998E-3</v>
      </c>
      <c r="I267">
        <f>Q!N267</f>
        <v>0</v>
      </c>
    </row>
    <row r="268" spans="2:9">
      <c r="B268" t="s">
        <v>289</v>
      </c>
      <c r="C268">
        <f>Q!C268</f>
        <v>9.2638875388127741E-3</v>
      </c>
      <c r="D268">
        <f>Q!D268</f>
        <v>9.4000000000000004E-3</v>
      </c>
      <c r="E268">
        <f>Q!E268</f>
        <v>9.4000000000000004E-3</v>
      </c>
      <c r="F268">
        <f>Q!F268</f>
        <v>9.3475580551083751E-3</v>
      </c>
      <c r="G268">
        <f>Q!G268</f>
        <v>0</v>
      </c>
      <c r="H268">
        <f>Q!H268</f>
        <v>9.2999999999999992E-3</v>
      </c>
      <c r="I268">
        <f>Q!N268</f>
        <v>0</v>
      </c>
    </row>
    <row r="269" spans="2:9">
      <c r="B269" t="s">
        <v>292</v>
      </c>
      <c r="C269">
        <f>Q!C269</f>
        <v>9.310276779680382E-3</v>
      </c>
      <c r="D269">
        <f>Q!D269</f>
        <v>9.4000000000000004E-3</v>
      </c>
      <c r="E269">
        <f>Q!E269</f>
        <v>9.4000000000000004E-3</v>
      </c>
      <c r="F269">
        <f>Q!F269</f>
        <v>9.3870109180310014E-3</v>
      </c>
      <c r="G269">
        <f>Q!G269</f>
        <v>0</v>
      </c>
      <c r="H269">
        <f>Q!H269</f>
        <v>9.4000000000000004E-3</v>
      </c>
      <c r="I269">
        <f>Q!N269</f>
        <v>0</v>
      </c>
    </row>
    <row r="270" spans="2:9">
      <c r="B270" t="s">
        <v>290</v>
      </c>
      <c r="C270">
        <f>Q!C270</f>
        <v>9.1578199486301911E-3</v>
      </c>
      <c r="D270">
        <f>Q!D270</f>
        <v>9.2999999999999992E-3</v>
      </c>
      <c r="E270">
        <f>Q!E270</f>
        <v>9.2999999999999992E-3</v>
      </c>
      <c r="F270">
        <f>Q!F270</f>
        <v>9.2306979115424643E-3</v>
      </c>
      <c r="G270">
        <f>Q!G270</f>
        <v>0</v>
      </c>
      <c r="H270">
        <f>Q!H270</f>
        <v>9.1999999999999998E-3</v>
      </c>
      <c r="I270">
        <f>Q!N270</f>
        <v>0</v>
      </c>
    </row>
    <row r="271" spans="2:9">
      <c r="B271" t="s">
        <v>282</v>
      </c>
      <c r="C271">
        <f>Q!C271</f>
        <v>9.7752996655252524E-3</v>
      </c>
      <c r="D271">
        <f>Q!D271</f>
        <v>0</v>
      </c>
      <c r="E271">
        <f>Q!E271</f>
        <v>0</v>
      </c>
      <c r="F271">
        <f>Q!F271</f>
        <v>9.1456287851062121E-3</v>
      </c>
      <c r="G271">
        <f>Q!G271</f>
        <v>1.0218289383561367E-2</v>
      </c>
      <c r="H271">
        <f>Q!H271</f>
        <v>1.0699999999999999E-2</v>
      </c>
      <c r="I271">
        <f>Q!N271</f>
        <v>0</v>
      </c>
    </row>
    <row r="272" spans="2:9">
      <c r="B272" t="str">
        <f>Q!B272</f>
        <v>E500 May-Sep</v>
      </c>
      <c r="C272">
        <f>Q!C272</f>
        <v>1.1020851416122001E-2</v>
      </c>
      <c r="D272">
        <f>Q!D272</f>
        <v>1.14E-2</v>
      </c>
      <c r="E272">
        <f>Q!E272</f>
        <v>1.14E-2</v>
      </c>
      <c r="F272">
        <f>Q!F272</f>
        <v>1.0999349072433219E-2</v>
      </c>
      <c r="G272">
        <f>Q!G272</f>
        <v>1.1329294934640546E-2</v>
      </c>
      <c r="H272">
        <f>Q!H272</f>
        <v>1.09E-2</v>
      </c>
      <c r="I272">
        <f>Q!N272</f>
        <v>0</v>
      </c>
    </row>
    <row r="273" spans="1:9">
      <c r="B273" t="s">
        <v>283</v>
      </c>
      <c r="C273">
        <f>Q!C273</f>
        <v>1.1395419907407389E-2</v>
      </c>
      <c r="D273">
        <f>Q!D273</f>
        <v>1.14E-2</v>
      </c>
      <c r="E273">
        <f>Q!E273</f>
        <v>1.14E-2</v>
      </c>
      <c r="F273">
        <f>Q!F273</f>
        <v>1.1007725927302797E-2</v>
      </c>
      <c r="G273">
        <f>Q!G273</f>
        <v>1.1328404956427012E-2</v>
      </c>
      <c r="H273">
        <f>Q!H273</f>
        <v>1.09E-2</v>
      </c>
      <c r="I273">
        <f>Q!N273</f>
        <v>0</v>
      </c>
    </row>
    <row r="274" spans="1:9">
      <c r="B274" t="s">
        <v>284</v>
      </c>
      <c r="C274">
        <f>Q!C274</f>
        <v>6.6924052328766054E-3</v>
      </c>
      <c r="D274">
        <f>Q!D274</f>
        <v>0</v>
      </c>
      <c r="E274">
        <f>Q!E274</f>
        <v>0</v>
      </c>
      <c r="F274">
        <f>Q!F274</f>
        <v>6.0156927748213629E-3</v>
      </c>
      <c r="G274">
        <f>Q!G274</f>
        <v>7.0233744292240554E-3</v>
      </c>
      <c r="H274">
        <f>Q!H274</f>
        <v>7.6299999999999996E-3</v>
      </c>
      <c r="I274">
        <f>Q!N274</f>
        <v>0</v>
      </c>
    </row>
    <row r="275" spans="1:9">
      <c r="B275" t="s">
        <v>285</v>
      </c>
      <c r="C275">
        <f>Q!C275</f>
        <v>8.1904468938349267E-3</v>
      </c>
      <c r="D275">
        <f>Q!D275</f>
        <v>0</v>
      </c>
      <c r="E275">
        <f>Q!E275</f>
        <v>0</v>
      </c>
      <c r="F275">
        <f>Q!F275</f>
        <v>7.480528641157785E-3</v>
      </c>
      <c r="G275">
        <f>Q!G275</f>
        <v>8.5797287671236355E-3</v>
      </c>
      <c r="H275">
        <f>Q!H275</f>
        <v>9.0100000000000006E-3</v>
      </c>
      <c r="I275">
        <f>Q!N275</f>
        <v>0</v>
      </c>
    </row>
    <row r="276" spans="1:9">
      <c r="B276" t="s">
        <v>286</v>
      </c>
      <c r="C276">
        <f>Q!C276</f>
        <v>1.3712712512557254E-2</v>
      </c>
      <c r="D276">
        <f>Q!D276</f>
        <v>0</v>
      </c>
      <c r="E276">
        <f>Q!E276</f>
        <v>0</v>
      </c>
      <c r="F276">
        <f>Q!F276</f>
        <v>1.3380293530455892E-2</v>
      </c>
      <c r="G276">
        <f>Q!G276</f>
        <v>1.3980307305935722E-2</v>
      </c>
      <c r="H276">
        <f>Q!H276</f>
        <v>1.5100000000000001E-2</v>
      </c>
      <c r="I276">
        <f>Q!N276</f>
        <v>0</v>
      </c>
    </row>
    <row r="277" spans="1:9">
      <c r="B277" t="s">
        <v>287</v>
      </c>
      <c r="C277">
        <f>Q!C277</f>
        <v>6.2265487134692283E-3</v>
      </c>
      <c r="D277">
        <f>Q!D277</f>
        <v>0</v>
      </c>
      <c r="E277">
        <f>Q!E277</f>
        <v>0</v>
      </c>
      <c r="F277">
        <f>Q!F277</f>
        <v>6.4847631667446564E-3</v>
      </c>
      <c r="G277">
        <f>Q!G277</f>
        <v>5.7975094748851539E-3</v>
      </c>
      <c r="H277">
        <f>Q!H277</f>
        <v>6.6699999999999997E-3</v>
      </c>
      <c r="I277">
        <f>Q!N277</f>
        <v>0</v>
      </c>
    </row>
    <row r="278" spans="1:9">
      <c r="B278" t="s">
        <v>293</v>
      </c>
      <c r="C278">
        <f>Q!C278</f>
        <v>4.4601085502286733E-3</v>
      </c>
      <c r="D278">
        <f>Q!D278</f>
        <v>0</v>
      </c>
      <c r="E278">
        <f>Q!E278</f>
        <v>0</v>
      </c>
      <c r="F278">
        <f>Q!F278</f>
        <v>4.3402179002156359E-3</v>
      </c>
      <c r="G278">
        <f>Q!G278</f>
        <v>3.8545738584480375E-3</v>
      </c>
      <c r="H278">
        <f>Q!H278</f>
        <v>4.6299999999999996E-3</v>
      </c>
      <c r="I278">
        <f>Q!N278</f>
        <v>0</v>
      </c>
    </row>
    <row r="279" spans="1:9">
      <c r="B279" t="s">
        <v>294</v>
      </c>
      <c r="C279">
        <f>Q!C279</f>
        <v>6.2265487134692283E-3</v>
      </c>
      <c r="D279">
        <f>Q!D279</f>
        <v>0</v>
      </c>
      <c r="E279">
        <f>Q!E279</f>
        <v>0</v>
      </c>
      <c r="F279">
        <f>Q!F279</f>
        <v>6.7479414957845674E-3</v>
      </c>
      <c r="G279">
        <f>Q!G279</f>
        <v>6.7490358447480567E-3</v>
      </c>
      <c r="H279">
        <f>Q!H279</f>
        <v>7.2199999999999999E-3</v>
      </c>
      <c r="I279">
        <f>Q!N279</f>
        <v>0</v>
      </c>
    </row>
    <row r="280" spans="1:9">
      <c r="B280" t="str">
        <f>Q!B280</f>
        <v>Relative Humidity (%)</v>
      </c>
      <c r="C280">
        <f>Q!C280</f>
        <v>0</v>
      </c>
      <c r="D280">
        <f>Q!D280</f>
        <v>0</v>
      </c>
      <c r="E280">
        <f>Q!E280</f>
        <v>0</v>
      </c>
      <c r="F280">
        <f>Q!F280</f>
        <v>0</v>
      </c>
      <c r="G280">
        <f>Q!G280</f>
        <v>0</v>
      </c>
      <c r="H280">
        <f>Q!H280</f>
        <v>0</v>
      </c>
      <c r="I280">
        <f>Q!N280</f>
        <v>0</v>
      </c>
    </row>
    <row r="281" spans="1:9">
      <c r="A281">
        <f>Q!A280</f>
        <v>0</v>
      </c>
      <c r="B281">
        <f>Q!B281</f>
        <v>0</v>
      </c>
      <c r="C281" t="str">
        <f>Q!C281</f>
        <v>TRNSYS</v>
      </c>
      <c r="D281" t="str">
        <f>Q!D281</f>
        <v>DOE-2.2</v>
      </c>
      <c r="E281" t="str">
        <f>Q!E281</f>
        <v>DOE21E-E</v>
      </c>
      <c r="F281" t="str">
        <f>Q!F281</f>
        <v>Energy+</v>
      </c>
      <c r="G281" t="str">
        <f>Q!G281</f>
        <v>CODYRUN</v>
      </c>
      <c r="H281" t="str">
        <f>Q!H281</f>
        <v>HOT3000</v>
      </c>
      <c r="I281" t="str">
        <f>Q!N281</f>
        <v>Your</v>
      </c>
    </row>
    <row r="282" spans="1:9">
      <c r="A282">
        <f>Q!A281</f>
        <v>0</v>
      </c>
      <c r="B282">
        <f>Q!B282</f>
        <v>0</v>
      </c>
      <c r="C282" t="s">
        <v>569</v>
      </c>
      <c r="D282" t="s">
        <v>570</v>
      </c>
      <c r="E282" t="s">
        <v>573</v>
      </c>
      <c r="F282" t="s">
        <v>617</v>
      </c>
      <c r="G282" t="s">
        <v>571</v>
      </c>
      <c r="H282" t="s">
        <v>572</v>
      </c>
      <c r="I282" t="s">
        <v>522</v>
      </c>
    </row>
    <row r="283" spans="1:9">
      <c r="A283">
        <f>Q!A282</f>
        <v>0</v>
      </c>
      <c r="B283" t="s">
        <v>276</v>
      </c>
      <c r="C283">
        <f>Q!C283</f>
        <v>48.614860102739854</v>
      </c>
      <c r="D283">
        <f>Q!D283</f>
        <v>48.26</v>
      </c>
      <c r="E283">
        <f>Q!E283</f>
        <v>48.28</v>
      </c>
      <c r="F283">
        <f>Q!F283</f>
        <v>47.944742213612329</v>
      </c>
      <c r="G283">
        <f>Q!G283</f>
        <v>47.82614155251165</v>
      </c>
      <c r="H283">
        <f>Q!H283</f>
        <v>47.93</v>
      </c>
      <c r="I283">
        <f>Q!N283</f>
        <v>0</v>
      </c>
    </row>
    <row r="284" spans="1:9">
      <c r="A284">
        <f>Q!A283</f>
        <v>0</v>
      </c>
      <c r="B284" t="s">
        <v>277</v>
      </c>
      <c r="C284">
        <f>Q!C284</f>
        <v>58.330700913241614</v>
      </c>
      <c r="D284">
        <f>Q!D284</f>
        <v>58.51</v>
      </c>
      <c r="E284">
        <f>Q!E284</f>
        <v>58.53</v>
      </c>
      <c r="F284">
        <f>Q!F284</f>
        <v>57.961046186027652</v>
      </c>
      <c r="G284">
        <f>Q!G284</f>
        <v>57.840981735158394</v>
      </c>
      <c r="H284">
        <f>Q!H284</f>
        <v>57.8</v>
      </c>
      <c r="I284">
        <f>Q!N284</f>
        <v>0</v>
      </c>
    </row>
    <row r="285" spans="1:9">
      <c r="A285">
        <f>Q!A284</f>
        <v>0</v>
      </c>
      <c r="B285" t="s">
        <v>278</v>
      </c>
      <c r="C285">
        <f>Q!C285</f>
        <v>52.00530301369875</v>
      </c>
      <c r="D285">
        <f>Q!D285</f>
        <v>51.21</v>
      </c>
      <c r="E285">
        <f>Q!E285</f>
        <v>51.25</v>
      </c>
      <c r="F285">
        <f>Q!F285</f>
        <v>51.453078413480725</v>
      </c>
      <c r="G285">
        <f>Q!G285</f>
        <v>51.103424657534461</v>
      </c>
      <c r="H285">
        <f>Q!H285</f>
        <v>49.94</v>
      </c>
      <c r="I285">
        <f>Q!N285</f>
        <v>0</v>
      </c>
    </row>
    <row r="286" spans="1:9">
      <c r="A286">
        <f>Q!A285</f>
        <v>0</v>
      </c>
      <c r="B286" t="s">
        <v>279</v>
      </c>
      <c r="C286">
        <f>Q!C286</f>
        <v>50.844470547945278</v>
      </c>
      <c r="D286">
        <f>Q!D286</f>
        <v>50.58</v>
      </c>
      <c r="E286">
        <f>Q!E286</f>
        <v>50.65</v>
      </c>
      <c r="F286">
        <f>Q!F286</f>
        <v>50.606484961362192</v>
      </c>
      <c r="G286">
        <f>Q!G286</f>
        <v>50.084817351598268</v>
      </c>
      <c r="H286">
        <f>Q!H286</f>
        <v>50.7</v>
      </c>
      <c r="I286">
        <f>Q!N286</f>
        <v>0</v>
      </c>
    </row>
    <row r="287" spans="1:9">
      <c r="A287">
        <f>Q!A286</f>
        <v>0</v>
      </c>
      <c r="B287" t="s">
        <v>449</v>
      </c>
      <c r="C287">
        <f>Q!C287</f>
        <v>51.085032043379037</v>
      </c>
      <c r="D287">
        <f>Q!D287</f>
        <v>50.69</v>
      </c>
      <c r="E287">
        <f>Q!E287</f>
        <v>50.73</v>
      </c>
      <c r="F287">
        <f>Q!F287</f>
        <v>50.64738437733039</v>
      </c>
      <c r="G287">
        <f>Q!G287</f>
        <v>50.296689497717153</v>
      </c>
      <c r="H287">
        <f>Q!H287</f>
        <v>50.78</v>
      </c>
      <c r="I287">
        <f>Q!N287</f>
        <v>0</v>
      </c>
    </row>
    <row r="288" spans="1:9">
      <c r="A288">
        <f>Q!A287</f>
        <v>0</v>
      </c>
      <c r="B288" t="s">
        <v>280</v>
      </c>
      <c r="C288">
        <f>Q!C288</f>
        <v>45.48395562785403</v>
      </c>
      <c r="D288">
        <f>Q!D288</f>
        <v>45.45</v>
      </c>
      <c r="E288">
        <f>Q!E288</f>
        <v>45.55</v>
      </c>
      <c r="F288">
        <f>Q!F288</f>
        <v>44.59421052922886</v>
      </c>
      <c r="G288">
        <f>Q!G288</f>
        <v>44.316210045662174</v>
      </c>
      <c r="H288">
        <f>Q!H288</f>
        <v>44.56</v>
      </c>
      <c r="I288">
        <f>Q!N288</f>
        <v>0</v>
      </c>
    </row>
    <row r="289" spans="1:9">
      <c r="A289">
        <f>Q!A288</f>
        <v>0</v>
      </c>
      <c r="B289" t="s">
        <v>281</v>
      </c>
      <c r="C289">
        <f>Q!C289</f>
        <v>41.033473984018258</v>
      </c>
      <c r="D289">
        <f>Q!D289</f>
        <v>41.49</v>
      </c>
      <c r="E289">
        <f>Q!E289</f>
        <v>41.49</v>
      </c>
      <c r="F289">
        <f>Q!F289</f>
        <v>41.363700199361176</v>
      </c>
      <c r="G289">
        <f>Q!G289</f>
        <v>40.87100456621188</v>
      </c>
      <c r="H289">
        <f>Q!H289</f>
        <v>41.21</v>
      </c>
      <c r="I289">
        <f>Q!N289</f>
        <v>0</v>
      </c>
    </row>
    <row r="290" spans="1:9">
      <c r="A290">
        <f>Q!A289</f>
        <v>0</v>
      </c>
      <c r="B290" t="s">
        <v>291</v>
      </c>
      <c r="C290">
        <f>Q!C290</f>
        <v>50.770897728310473</v>
      </c>
      <c r="D290">
        <f>Q!D290</f>
        <v>52.21</v>
      </c>
      <c r="E290">
        <f>Q!E290</f>
        <v>52.25</v>
      </c>
      <c r="F290">
        <f>Q!F290</f>
        <v>52.274581697959078</v>
      </c>
      <c r="G290">
        <f>Q!G290</f>
        <v>0</v>
      </c>
      <c r="H290">
        <f>Q!H290</f>
        <v>52.01</v>
      </c>
      <c r="I290">
        <f>Q!N290</f>
        <v>0</v>
      </c>
    </row>
    <row r="291" spans="1:9">
      <c r="A291">
        <f>Q!A290</f>
        <v>0</v>
      </c>
      <c r="B291" t="s">
        <v>288</v>
      </c>
      <c r="C291">
        <f>Q!C291</f>
        <v>50.497098949771569</v>
      </c>
      <c r="D291">
        <f>Q!D291</f>
        <v>49.65</v>
      </c>
      <c r="E291">
        <f>Q!E291</f>
        <v>49.63</v>
      </c>
      <c r="F291">
        <f>Q!F291</f>
        <v>49.516127890351157</v>
      </c>
      <c r="G291">
        <f>Q!G291</f>
        <v>0</v>
      </c>
      <c r="H291">
        <f>Q!H291</f>
        <v>49.75</v>
      </c>
      <c r="I291">
        <f>Q!N291</f>
        <v>0</v>
      </c>
    </row>
    <row r="292" spans="1:9">
      <c r="A292">
        <f>Q!A291</f>
        <v>0</v>
      </c>
      <c r="B292" t="s">
        <v>289</v>
      </c>
      <c r="C292">
        <f>Q!C292</f>
        <v>48.779368002283327</v>
      </c>
      <c r="D292">
        <f>Q!D292</f>
        <v>49.14</v>
      </c>
      <c r="E292">
        <f>Q!E292</f>
        <v>48.97</v>
      </c>
      <c r="F292">
        <f>Q!F292</f>
        <v>48.849465456848122</v>
      </c>
      <c r="G292">
        <f>Q!G292</f>
        <v>0</v>
      </c>
      <c r="H292">
        <f>Q!H292</f>
        <v>48.76</v>
      </c>
      <c r="I292">
        <f>Q!N292</f>
        <v>0</v>
      </c>
    </row>
    <row r="293" spans="1:9">
      <c r="A293">
        <f>Q!A292</f>
        <v>0</v>
      </c>
      <c r="B293" t="s">
        <v>292</v>
      </c>
      <c r="C293">
        <f>Q!C293</f>
        <v>48.821944840182738</v>
      </c>
      <c r="D293">
        <f>Q!D293</f>
        <v>49.17</v>
      </c>
      <c r="E293">
        <f>Q!E293</f>
        <v>49.3</v>
      </c>
      <c r="F293">
        <f>Q!F293</f>
        <v>49.044422928027274</v>
      </c>
      <c r="G293">
        <f>Q!G293</f>
        <v>0</v>
      </c>
      <c r="H293">
        <f>Q!H293</f>
        <v>49.17</v>
      </c>
      <c r="I293">
        <f>Q!N293</f>
        <v>0</v>
      </c>
    </row>
    <row r="294" spans="1:9">
      <c r="A294">
        <f>Q!A293</f>
        <v>0</v>
      </c>
      <c r="B294" t="s">
        <v>290</v>
      </c>
      <c r="C294">
        <f>Q!C294</f>
        <v>48.329768664383728</v>
      </c>
      <c r="D294">
        <f>Q!D294</f>
        <v>48.46</v>
      </c>
      <c r="E294">
        <f>Q!E294</f>
        <v>48.57</v>
      </c>
      <c r="F294">
        <f>Q!F294</f>
        <v>48.26890572015904</v>
      </c>
      <c r="G294">
        <f>Q!G294</f>
        <v>0</v>
      </c>
      <c r="H294">
        <f>Q!H294</f>
        <v>48.23</v>
      </c>
      <c r="I294">
        <f>Q!N294</f>
        <v>0</v>
      </c>
    </row>
    <row r="295" spans="1:9">
      <c r="A295">
        <f>Q!A294</f>
        <v>0</v>
      </c>
      <c r="B295" t="s">
        <v>282</v>
      </c>
      <c r="C295">
        <f>Q!C295</f>
        <v>66.526122203196252</v>
      </c>
      <c r="D295">
        <f>Q!D295</f>
        <v>0</v>
      </c>
      <c r="E295">
        <f>Q!E295</f>
        <v>0</v>
      </c>
      <c r="F295">
        <f>Q!F295</f>
        <v>57.93619804975993</v>
      </c>
      <c r="G295">
        <f>Q!G295</f>
        <v>65.941894977171202</v>
      </c>
      <c r="H295">
        <f>Q!H295</f>
        <v>63.73</v>
      </c>
      <c r="I295">
        <f>Q!N295</f>
        <v>0</v>
      </c>
    </row>
    <row r="296" spans="1:9">
      <c r="A296">
        <f>Q!A295</f>
        <v>0</v>
      </c>
      <c r="B296" t="str">
        <f>Q!B296</f>
        <v>E500 May-Sep</v>
      </c>
      <c r="C296">
        <f>Q!C296</f>
        <v>57.047631889978156</v>
      </c>
      <c r="D296">
        <f>Q!D296</f>
        <v>57.47</v>
      </c>
      <c r="E296">
        <f>Q!E296</f>
        <v>57.47</v>
      </c>
      <c r="F296">
        <f>Q!F296</f>
        <v>55.660206396027817</v>
      </c>
      <c r="G296">
        <f>Q!G296</f>
        <v>57.072167755988787</v>
      </c>
      <c r="H296">
        <f>Q!H296</f>
        <v>55.13</v>
      </c>
      <c r="I296">
        <f>Q!N296</f>
        <v>0</v>
      </c>
    </row>
    <row r="297" spans="1:9">
      <c r="A297">
        <f>Q!A296</f>
        <v>0</v>
      </c>
      <c r="B297" t="s">
        <v>283</v>
      </c>
      <c r="C297">
        <f>Q!C297</f>
        <v>54.700072821350801</v>
      </c>
      <c r="D297">
        <f>Q!D297</f>
        <v>57.36</v>
      </c>
      <c r="E297">
        <f>Q!E297</f>
        <v>57.36</v>
      </c>
      <c r="F297">
        <f>Q!F297</f>
        <v>55.77802165729225</v>
      </c>
      <c r="G297">
        <f>Q!G297</f>
        <v>57.061546840956055</v>
      </c>
      <c r="H297">
        <f>Q!H297</f>
        <v>55.24</v>
      </c>
      <c r="I297">
        <f>Q!N297</f>
        <v>0</v>
      </c>
    </row>
    <row r="298" spans="1:9">
      <c r="A298">
        <f>Q!A297</f>
        <v>0</v>
      </c>
      <c r="B298" t="s">
        <v>284</v>
      </c>
      <c r="C298">
        <f>Q!C298</f>
        <v>69.874455981734982</v>
      </c>
      <c r="D298">
        <f>Q!D298</f>
        <v>0</v>
      </c>
      <c r="E298">
        <f>Q!E298</f>
        <v>0</v>
      </c>
      <c r="F298">
        <f>Q!F298</f>
        <v>60.928214382625612</v>
      </c>
      <c r="G298">
        <f>Q!G298</f>
        <v>70.226826484016939</v>
      </c>
      <c r="H298">
        <f>Q!H298</f>
        <v>72.17</v>
      </c>
      <c r="I298">
        <f>Q!N298</f>
        <v>0</v>
      </c>
    </row>
    <row r="299" spans="1:9">
      <c r="A299">
        <f>Q!A298</f>
        <v>0</v>
      </c>
      <c r="B299" t="s">
        <v>285</v>
      </c>
      <c r="C299">
        <f>Q!C299</f>
        <v>68.677375262557277</v>
      </c>
      <c r="D299">
        <f>Q!D299</f>
        <v>0</v>
      </c>
      <c r="E299">
        <f>Q!E299</f>
        <v>0</v>
      </c>
      <c r="F299">
        <f>Q!F299</f>
        <v>59.707353189780918</v>
      </c>
      <c r="G299">
        <f>Q!G299</f>
        <v>68.231392694061995</v>
      </c>
      <c r="H299">
        <f>Q!H299</f>
        <v>68.11</v>
      </c>
      <c r="I299">
        <f>Q!N299</f>
        <v>0</v>
      </c>
    </row>
    <row r="300" spans="1:9">
      <c r="A300">
        <f>Q!A299</f>
        <v>0</v>
      </c>
      <c r="B300" t="s">
        <v>286</v>
      </c>
      <c r="C300">
        <f>Q!C300</f>
        <v>61.467399063927004</v>
      </c>
      <c r="D300">
        <f>Q!D300</f>
        <v>0</v>
      </c>
      <c r="E300">
        <f>Q!E300</f>
        <v>0</v>
      </c>
      <c r="F300">
        <f>Q!F300</f>
        <v>53.71669213147522</v>
      </c>
      <c r="G300">
        <f>Q!G300</f>
        <v>60.138698630132005</v>
      </c>
      <c r="H300">
        <f>Q!H300</f>
        <v>57.37</v>
      </c>
      <c r="I300">
        <f>Q!N300</f>
        <v>0</v>
      </c>
    </row>
    <row r="301" spans="1:9">
      <c r="A301">
        <f>Q!A300</f>
        <v>0</v>
      </c>
      <c r="B301" t="s">
        <v>287</v>
      </c>
      <c r="C301">
        <f>Q!C301</f>
        <v>46.729939874429292</v>
      </c>
      <c r="D301">
        <f>Q!D301</f>
        <v>0</v>
      </c>
      <c r="E301">
        <f>Q!E301</f>
        <v>0</v>
      </c>
      <c r="F301">
        <f>Q!F301</f>
        <v>47.53150585721562</v>
      </c>
      <c r="G301">
        <f>Q!G301</f>
        <v>41.451598173521695</v>
      </c>
      <c r="H301">
        <f>Q!H301</f>
        <v>39.6</v>
      </c>
      <c r="I301">
        <f>Q!N301</f>
        <v>0</v>
      </c>
    </row>
    <row r="302" spans="1:9">
      <c r="A302">
        <f>Q!A301</f>
        <v>0</v>
      </c>
      <c r="B302" t="s">
        <v>293</v>
      </c>
      <c r="C302">
        <f>Q!C302</f>
        <v>48.520982031963811</v>
      </c>
      <c r="D302">
        <f>Q!D302</f>
        <v>0</v>
      </c>
      <c r="E302">
        <f>Q!E302</f>
        <v>0</v>
      </c>
      <c r="F302">
        <f>Q!F302</f>
        <v>46.176930892597952</v>
      </c>
      <c r="G302">
        <f>Q!G302</f>
        <v>40.050913242005713</v>
      </c>
      <c r="H302">
        <f>Q!H302</f>
        <v>43.82</v>
      </c>
      <c r="I302">
        <f>Q!N302</f>
        <v>0</v>
      </c>
    </row>
    <row r="303" spans="1:9">
      <c r="A303">
        <f>Q!A302</f>
        <v>0</v>
      </c>
      <c r="B303" t="s">
        <v>294</v>
      </c>
      <c r="C303">
        <f>Q!C303</f>
        <v>36.624875993150724</v>
      </c>
      <c r="D303">
        <f>Q!D303</f>
        <v>0</v>
      </c>
      <c r="E303">
        <f>Q!E303</f>
        <v>0</v>
      </c>
      <c r="F303">
        <f>Q!F303</f>
        <v>38.630048217717501</v>
      </c>
      <c r="G303">
        <f>Q!G303</f>
        <v>36.874657534249643</v>
      </c>
      <c r="H303">
        <f>Q!H303</f>
        <v>29.2</v>
      </c>
      <c r="I303">
        <f>Q!N303</f>
        <v>0</v>
      </c>
    </row>
    <row r="304" spans="1:9">
      <c r="A304">
        <f>Q!A303</f>
        <v>0</v>
      </c>
    </row>
    <row r="305" spans="1:9">
      <c r="A305">
        <f>Q!A304</f>
        <v>0</v>
      </c>
    </row>
    <row r="306" spans="1:9">
      <c r="A306">
        <f>Q!A305</f>
        <v>0</v>
      </c>
    </row>
    <row r="307" spans="1:9">
      <c r="A307">
        <f>Q!A306</f>
        <v>0</v>
      </c>
    </row>
    <row r="308" spans="1:9">
      <c r="A308">
        <f>Q!A307</f>
        <v>0</v>
      </c>
    </row>
    <row r="309" spans="1:9">
      <c r="A309">
        <f>Q!A308</f>
        <v>0</v>
      </c>
    </row>
    <row r="310" spans="1:9">
      <c r="A310">
        <f>Q!A309</f>
        <v>0</v>
      </c>
    </row>
    <row r="311" spans="1:9">
      <c r="A311">
        <f>Q!A310</f>
        <v>0</v>
      </c>
    </row>
    <row r="312" spans="1:9">
      <c r="A312">
        <f>Q!A311</f>
        <v>0</v>
      </c>
    </row>
    <row r="313" spans="1:9">
      <c r="A313">
        <f>Q!A312</f>
        <v>0</v>
      </c>
    </row>
    <row r="314" spans="1:9">
      <c r="A314">
        <f>Q!A313</f>
        <v>0</v>
      </c>
    </row>
    <row r="315" spans="1:9">
      <c r="A315">
        <f>Q!A314</f>
        <v>0</v>
      </c>
    </row>
    <row r="316" spans="1:9">
      <c r="A316">
        <f>Q!A315</f>
        <v>0</v>
      </c>
      <c r="B316" t="str">
        <f>Q!B316</f>
        <v>f(ODB) Sensitivity E500 and E530, April 30 and June 25</v>
      </c>
      <c r="G316">
        <f>Q!G316</f>
        <v>0</v>
      </c>
      <c r="H316">
        <f>Q!H316</f>
        <v>0</v>
      </c>
      <c r="I316">
        <f>Q!N315</f>
        <v>0</v>
      </c>
    </row>
    <row r="317" spans="1:9">
      <c r="A317">
        <f>Q!A316</f>
        <v>0</v>
      </c>
      <c r="B317">
        <f>Q!B317</f>
        <v>0</v>
      </c>
      <c r="C317">
        <f>Q!C317</f>
        <v>0</v>
      </c>
      <c r="D317">
        <f>Q!D317</f>
        <v>0</v>
      </c>
      <c r="E317">
        <f>Q!E317</f>
        <v>0</v>
      </c>
      <c r="F317">
        <f>Q!F317</f>
        <v>0</v>
      </c>
      <c r="G317">
        <f>Q!G317</f>
        <v>0</v>
      </c>
      <c r="H317">
        <f>Q!H317</f>
        <v>0</v>
      </c>
      <c r="I317">
        <f>Q!N316</f>
        <v>0</v>
      </c>
    </row>
    <row r="318" spans="1:9">
      <c r="A318">
        <f>Q!A317</f>
        <v>0</v>
      </c>
      <c r="B318">
        <f>Q!B318</f>
        <v>0</v>
      </c>
      <c r="C318" t="str">
        <f>Q!C318</f>
        <v>TRNSYS</v>
      </c>
      <c r="D318" t="str">
        <f>Q!D318</f>
        <v>DOE-2.2</v>
      </c>
      <c r="E318" t="str">
        <f>Q!E318</f>
        <v>DOE21E-E</v>
      </c>
      <c r="F318" t="str">
        <f>Q!F318</f>
        <v>Energy+</v>
      </c>
      <c r="G318" t="str">
        <f>Q!G318</f>
        <v>CODYRUN</v>
      </c>
      <c r="H318" t="str">
        <f>Q!H318</f>
        <v>HOT3000</v>
      </c>
      <c r="I318">
        <f>Q!N317</f>
        <v>0</v>
      </c>
    </row>
    <row r="319" spans="1:9">
      <c r="A319">
        <f>Q!A318</f>
        <v>0</v>
      </c>
      <c r="B319">
        <f>Q!B319</f>
        <v>0</v>
      </c>
      <c r="C319" t="str">
        <f>Q!C319</f>
        <v>TUD</v>
      </c>
      <c r="D319" t="str">
        <f>Q!D319</f>
        <v>NREL</v>
      </c>
      <c r="E319" t="str">
        <f>Q!E319</f>
        <v>NREL</v>
      </c>
      <c r="F319" t="str">
        <f>Q!F319</f>
        <v>GARD</v>
      </c>
      <c r="G319" t="str">
        <f>Q!G319</f>
        <v>UR</v>
      </c>
      <c r="H319" t="str">
        <f>Q!H319</f>
        <v>NRCan</v>
      </c>
      <c r="I319" t="str">
        <f>Q!N318</f>
        <v>Your</v>
      </c>
    </row>
    <row r="320" spans="1:9" ht="15.75">
      <c r="A320">
        <f>Q!A319</f>
        <v>0</v>
      </c>
      <c r="B320" s="58" t="s">
        <v>473</v>
      </c>
      <c r="C320" t="s">
        <v>569</v>
      </c>
      <c r="D320" t="s">
        <v>570</v>
      </c>
      <c r="E320" t="s">
        <v>573</v>
      </c>
      <c r="F320" t="s">
        <v>617</v>
      </c>
      <c r="G320" t="s">
        <v>571</v>
      </c>
      <c r="H320" t="s">
        <v>572</v>
      </c>
      <c r="I320" t="s">
        <v>522</v>
      </c>
    </row>
    <row r="321" spans="1:18">
      <c r="A321">
        <f>Q!A320</f>
        <v>0</v>
      </c>
      <c r="B321" t="s">
        <v>460</v>
      </c>
      <c r="C321">
        <f>Q!C321</f>
        <v>3892.9388508669631</v>
      </c>
      <c r="D321">
        <f>Q!D321</f>
        <v>3975.4583333333335</v>
      </c>
      <c r="E321">
        <f>Q!E321</f>
        <v>3975.1666666666665</v>
      </c>
      <c r="F321">
        <f>Q!F321</f>
        <v>4019.3858425714552</v>
      </c>
      <c r="G321">
        <f>Q!G321</f>
        <v>3901.0416666666665</v>
      </c>
      <c r="H321">
        <f>Q!H321</f>
        <v>4073</v>
      </c>
      <c r="I321">
        <f>Q!N321</f>
        <v>0</v>
      </c>
    </row>
    <row r="322" spans="1:18">
      <c r="A322">
        <f>Q!A321</f>
        <v>0</v>
      </c>
      <c r="B322" t="s">
        <v>461</v>
      </c>
      <c r="C322">
        <f>Q!C322</f>
        <v>5044.9219465765182</v>
      </c>
      <c r="D322">
        <f>Q!D322</f>
        <v>5204.333333333333</v>
      </c>
      <c r="E322">
        <f>Q!E322</f>
        <v>5204.083333333333</v>
      </c>
      <c r="F322">
        <f>Q!F322</f>
        <v>5244.3835996197358</v>
      </c>
      <c r="G322">
        <f>Q!G322</f>
        <v>5066.5</v>
      </c>
      <c r="H322">
        <f>Q!H322</f>
        <v>5230</v>
      </c>
      <c r="I322">
        <f>Q!N322</f>
        <v>0</v>
      </c>
    </row>
    <row r="323" spans="1:18">
      <c r="A323">
        <f>Q!A322</f>
        <v>0</v>
      </c>
      <c r="B323" t="s">
        <v>350</v>
      </c>
      <c r="C323">
        <f>Q!C323</f>
        <v>1151.9830957095551</v>
      </c>
      <c r="D323">
        <f>Q!D323</f>
        <v>1228.8749999999995</v>
      </c>
      <c r="E323">
        <f>Q!E323</f>
        <v>1228.9166666666665</v>
      </c>
      <c r="F323">
        <f>Q!F323</f>
        <v>1224.9977570482806</v>
      </c>
      <c r="G323">
        <f>Q!G323</f>
        <v>1165.4583333333335</v>
      </c>
      <c r="H323">
        <f>Q!H323</f>
        <v>1157</v>
      </c>
      <c r="I323">
        <f>Q!N323</f>
        <v>0</v>
      </c>
    </row>
    <row r="324" spans="1:18">
      <c r="A324">
        <f>Q!A323</f>
        <v>0</v>
      </c>
      <c r="B324" t="s">
        <v>462</v>
      </c>
      <c r="C324">
        <f>Q!C324</f>
        <v>3022.7731715845357</v>
      </c>
      <c r="D324">
        <f>Q!D324</f>
        <v>3062</v>
      </c>
      <c r="E324">
        <f>Q!E324</f>
        <v>3061.7916666666665</v>
      </c>
      <c r="F324">
        <f>Q!F324</f>
        <v>3131.8976563763549</v>
      </c>
      <c r="G324">
        <f>Q!G324</f>
        <v>3091.5416666666665</v>
      </c>
      <c r="H324">
        <f>Q!H324</f>
        <v>3144</v>
      </c>
      <c r="I324">
        <f>Q!N324</f>
        <v>0</v>
      </c>
    </row>
    <row r="325" spans="1:18">
      <c r="A325">
        <f>Q!A324</f>
        <v>0</v>
      </c>
      <c r="B325" t="s">
        <v>463</v>
      </c>
      <c r="C325">
        <f>Q!C325</f>
        <v>3894.1232823866676</v>
      </c>
      <c r="D325">
        <f>Q!D325</f>
        <v>3978.2083333333335</v>
      </c>
      <c r="E325">
        <f>Q!E325</f>
        <v>3978.0833333333335</v>
      </c>
      <c r="F325">
        <f>Q!F325</f>
        <v>4090.89168453414</v>
      </c>
      <c r="G325">
        <f>Q!G325</f>
        <v>3934.625</v>
      </c>
      <c r="H325">
        <f>Q!H325</f>
        <v>4043</v>
      </c>
      <c r="I325">
        <f>Q!N325</f>
        <v>0</v>
      </c>
    </row>
    <row r="326" spans="1:18" ht="15.75">
      <c r="A326">
        <f>Q!A325</f>
        <v>0</v>
      </c>
      <c r="B326" t="s">
        <v>464</v>
      </c>
      <c r="C326">
        <f>Q!C326</f>
        <v>871.35011080213189</v>
      </c>
      <c r="D326">
        <f>Q!D326</f>
        <v>916.20833333333348</v>
      </c>
      <c r="E326">
        <f>Q!E326</f>
        <v>916.29166666666697</v>
      </c>
      <c r="F326">
        <f>Q!F326</f>
        <v>958.99402815778512</v>
      </c>
      <c r="G326">
        <f>Q!G326</f>
        <v>843.08333333333348</v>
      </c>
      <c r="H326">
        <f>Q!H326</f>
        <v>899</v>
      </c>
      <c r="I326">
        <f>Q!N326</f>
        <v>0</v>
      </c>
      <c r="K326" s="58" t="s">
        <v>526</v>
      </c>
    </row>
    <row r="327" spans="1:18">
      <c r="A327">
        <f>Q!A326</f>
        <v>0</v>
      </c>
      <c r="B327" t="s">
        <v>460</v>
      </c>
      <c r="C327">
        <f>Q!C335</f>
        <v>376.076193513845</v>
      </c>
      <c r="D327">
        <f>Q!D335</f>
        <v>389.125</v>
      </c>
      <c r="E327">
        <f>Q!E335</f>
        <v>389.08333333333331</v>
      </c>
      <c r="F327">
        <f>Q!F335</f>
        <v>0</v>
      </c>
      <c r="G327">
        <f>Q!G335</f>
        <v>377.25</v>
      </c>
      <c r="H327">
        <f>Q!H335</f>
        <v>391</v>
      </c>
      <c r="I327">
        <f>Q!N335</f>
        <v>0</v>
      </c>
      <c r="K327" t="str">
        <f>Q!B327</f>
        <v>Energy Consumption, Compressor (Wh,e)</v>
      </c>
      <c r="R327" t="s">
        <v>522</v>
      </c>
    </row>
    <row r="328" spans="1:18">
      <c r="A328">
        <f>Q!A328</f>
        <v>0</v>
      </c>
      <c r="B328" t="s">
        <v>461</v>
      </c>
      <c r="C328">
        <f>Q!C336</f>
        <v>411.49462555151172</v>
      </c>
      <c r="D328">
        <f>Q!D336</f>
        <v>426.33333333333331</v>
      </c>
      <c r="E328">
        <f>Q!E336</f>
        <v>426.33333333333331</v>
      </c>
      <c r="F328">
        <f>Q!F336</f>
        <v>0</v>
      </c>
      <c r="G328">
        <f>Q!G336</f>
        <v>411.33333333333331</v>
      </c>
      <c r="H328">
        <f>Q!H336</f>
        <v>424</v>
      </c>
      <c r="I328">
        <f>Q!N336</f>
        <v>0</v>
      </c>
      <c r="K328" t="str">
        <f>Q!B328</f>
        <v>E500Apr30</v>
      </c>
      <c r="L328">
        <f>Q!C328</f>
        <v>3014.618966660435</v>
      </c>
      <c r="M328">
        <f>Q!D328</f>
        <v>3119.8333333333335</v>
      </c>
      <c r="N328">
        <f>Q!E328</f>
        <v>3119.6666666666665</v>
      </c>
      <c r="O328">
        <f>Q!F328</f>
        <v>0</v>
      </c>
      <c r="P328">
        <f>Q!G328</f>
        <v>3020.0416666666665</v>
      </c>
      <c r="Q328">
        <f>Q!H328</f>
        <v>3159</v>
      </c>
      <c r="R328">
        <f>Q!N328</f>
        <v>0</v>
      </c>
    </row>
    <row r="329" spans="1:18">
      <c r="A329">
        <f>Q!A329</f>
        <v>0</v>
      </c>
      <c r="B329" t="s">
        <v>350</v>
      </c>
      <c r="C329">
        <f>Q!C337</f>
        <v>35.418432037666719</v>
      </c>
      <c r="D329">
        <f>Q!D337</f>
        <v>37.208333333333314</v>
      </c>
      <c r="E329">
        <f>Q!E337</f>
        <v>37.25</v>
      </c>
      <c r="F329">
        <f>Q!F337</f>
        <v>0</v>
      </c>
      <c r="G329">
        <f>Q!G337</f>
        <v>34.083333333333314</v>
      </c>
      <c r="H329">
        <f>Q!H337</f>
        <v>33</v>
      </c>
      <c r="I329">
        <f>Q!N337</f>
        <v>0</v>
      </c>
      <c r="K329" t="str">
        <f>Q!B329</f>
        <v>E500Jun25</v>
      </c>
      <c r="L329">
        <f>Q!C329</f>
        <v>4083.8828856110517</v>
      </c>
      <c r="M329">
        <f>Q!D329</f>
        <v>4263.541666666667</v>
      </c>
      <c r="N329">
        <f>Q!E329</f>
        <v>4263.416666666667</v>
      </c>
      <c r="O329">
        <f>Q!F329</f>
        <v>0</v>
      </c>
      <c r="P329">
        <f>Q!G329</f>
        <v>4105.958333333333</v>
      </c>
      <c r="Q329">
        <f>Q!H329</f>
        <v>4239</v>
      </c>
      <c r="R329">
        <f>Q!N329</f>
        <v>0</v>
      </c>
    </row>
    <row r="330" spans="1:18">
      <c r="A330">
        <f>Q!A330</f>
        <v>0</v>
      </c>
      <c r="B330" t="s">
        <v>462</v>
      </c>
      <c r="C330">
        <f>Q!C338</f>
        <v>304.56246547436837</v>
      </c>
      <c r="D330">
        <f>Q!D338</f>
        <v>311.16666666666669</v>
      </c>
      <c r="E330">
        <f>Q!E338</f>
        <v>311.125</v>
      </c>
      <c r="F330">
        <f>Q!F338</f>
        <v>0</v>
      </c>
      <c r="G330">
        <f>Q!G338</f>
        <v>305.33333333333331</v>
      </c>
      <c r="H330">
        <f>Q!H338</f>
        <v>314</v>
      </c>
      <c r="I330">
        <f>Q!N338</f>
        <v>0</v>
      </c>
      <c r="K330" t="str">
        <f>Q!B330</f>
        <v>Del E500</v>
      </c>
      <c r="L330">
        <f>Q!C330</f>
        <v>1069.2639189506167</v>
      </c>
      <c r="M330">
        <f>Q!D330</f>
        <v>1143.7083333333335</v>
      </c>
      <c r="N330">
        <f>Q!E330</f>
        <v>1143.7500000000005</v>
      </c>
      <c r="O330">
        <f>Q!F330</f>
        <v>0</v>
      </c>
      <c r="P330">
        <f>Q!G330</f>
        <v>1085.9166666666665</v>
      </c>
      <c r="Q330">
        <f>Q!H330</f>
        <v>1080</v>
      </c>
      <c r="R330">
        <f>Q!N330</f>
        <v>0</v>
      </c>
    </row>
    <row r="331" spans="1:18">
      <c r="A331">
        <f>Q!A331</f>
        <v>0</v>
      </c>
      <c r="B331" t="s">
        <v>463</v>
      </c>
      <c r="C331">
        <f>Q!C339</f>
        <v>332.27711231819677</v>
      </c>
      <c r="D331">
        <f>Q!D339</f>
        <v>339.625</v>
      </c>
      <c r="E331">
        <f>Q!E339</f>
        <v>339.625</v>
      </c>
      <c r="F331">
        <f>Q!F339</f>
        <v>0</v>
      </c>
      <c r="G331">
        <f>Q!G339</f>
        <v>329.25</v>
      </c>
      <c r="H331">
        <f>Q!H339</f>
        <v>340</v>
      </c>
      <c r="I331">
        <f>Q!N339</f>
        <v>0</v>
      </c>
      <c r="K331" t="str">
        <f>Q!B331</f>
        <v>E530Apr30</v>
      </c>
      <c r="L331">
        <f>Q!C331</f>
        <v>2311.4724457669786</v>
      </c>
      <c r="M331">
        <f>Q!D331</f>
        <v>2390.041666666667</v>
      </c>
      <c r="N331">
        <f>Q!E331</f>
        <v>2389.9166666666665</v>
      </c>
      <c r="O331">
        <f>Q!F331</f>
        <v>0</v>
      </c>
      <c r="P331">
        <f>Q!G331</f>
        <v>2378.4583333333335</v>
      </c>
      <c r="Q331">
        <f>Q!H331</f>
        <v>2411</v>
      </c>
      <c r="R331">
        <f>Q!N331</f>
        <v>0</v>
      </c>
    </row>
    <row r="332" spans="1:18">
      <c r="A332">
        <f>Q!A332</f>
        <v>0</v>
      </c>
      <c r="B332" t="s">
        <v>464</v>
      </c>
      <c r="C332">
        <f>Q!C340</f>
        <v>27.714646843828405</v>
      </c>
      <c r="D332">
        <f>Q!D340</f>
        <v>28.458333333333314</v>
      </c>
      <c r="E332">
        <f>Q!E340</f>
        <v>28.5</v>
      </c>
      <c r="F332">
        <f>Q!F340</f>
        <v>0</v>
      </c>
      <c r="G332">
        <f>Q!G340</f>
        <v>23.916666666666686</v>
      </c>
      <c r="H332">
        <f>Q!H340</f>
        <v>26</v>
      </c>
      <c r="I332">
        <f>Q!N340</f>
        <v>0</v>
      </c>
      <c r="K332" t="str">
        <f>Q!B332</f>
        <v>E530Jun25</v>
      </c>
      <c r="L332">
        <f>Q!C332</f>
        <v>3118.0954458757819</v>
      </c>
      <c r="M332">
        <f>Q!D332</f>
        <v>3243</v>
      </c>
      <c r="N332">
        <f>Q!E332</f>
        <v>3242.9583333333335</v>
      </c>
      <c r="O332">
        <f>Q!F332</f>
        <v>0</v>
      </c>
      <c r="P332">
        <f>Q!G332</f>
        <v>3165.5833333333335</v>
      </c>
      <c r="Q332">
        <f>Q!H332</f>
        <v>3248</v>
      </c>
      <c r="R332">
        <f>Q!N332</f>
        <v>0</v>
      </c>
    </row>
    <row r="333" spans="1:18">
      <c r="A333">
        <f>Q!A333</f>
        <v>0</v>
      </c>
      <c r="B333" t="s">
        <v>460</v>
      </c>
      <c r="C333">
        <f>Q!C342</f>
        <v>502.2436906926834</v>
      </c>
      <c r="D333">
        <f>Q!D342</f>
        <v>466.5</v>
      </c>
      <c r="E333">
        <f>Q!E342</f>
        <v>466.41666666666669</v>
      </c>
      <c r="F333">
        <f>Q!F342</f>
        <v>517.88842166801089</v>
      </c>
      <c r="G333">
        <f>Q!G342</f>
        <v>503.75</v>
      </c>
      <c r="H333">
        <f>Q!H342</f>
        <v>522</v>
      </c>
      <c r="I333">
        <f>Q!N342</f>
        <v>0</v>
      </c>
      <c r="K333" t="str">
        <f>Q!B333</f>
        <v>Del E530</v>
      </c>
      <c r="L333">
        <f>Q!C333</f>
        <v>806.62300010880335</v>
      </c>
      <c r="M333">
        <f>Q!D333</f>
        <v>852.95833333333303</v>
      </c>
      <c r="N333">
        <f>Q!E333</f>
        <v>853.04166666666697</v>
      </c>
      <c r="O333">
        <f>Q!F333</f>
        <v>0</v>
      </c>
      <c r="P333">
        <f>Q!G333</f>
        <v>787.125</v>
      </c>
      <c r="Q333">
        <f>Q!H333</f>
        <v>837</v>
      </c>
      <c r="R333">
        <f>Q!N333</f>
        <v>0</v>
      </c>
    </row>
    <row r="334" spans="1:18">
      <c r="A334">
        <f>Q!A335</f>
        <v>0</v>
      </c>
      <c r="B334" t="s">
        <v>461</v>
      </c>
      <c r="C334">
        <f>Q!C343</f>
        <v>549.54443541395437</v>
      </c>
      <c r="D334">
        <f>Q!D343</f>
        <v>514.45833333333337</v>
      </c>
      <c r="E334">
        <f>Q!E343</f>
        <v>514.33333333333337</v>
      </c>
      <c r="F334">
        <f>Q!F343</f>
        <v>566.59605070586565</v>
      </c>
      <c r="G334">
        <f>Q!G343</f>
        <v>549.20833333333337</v>
      </c>
      <c r="H334">
        <f>Q!H343</f>
        <v>566</v>
      </c>
      <c r="I334">
        <f>Q!N343</f>
        <v>0</v>
      </c>
    </row>
    <row r="335" spans="1:18">
      <c r="A335">
        <f>Q!A336</f>
        <v>0</v>
      </c>
      <c r="B335" t="s">
        <v>350</v>
      </c>
      <c r="C335">
        <f>Q!C344</f>
        <v>47.300744721270974</v>
      </c>
      <c r="D335">
        <f>Q!D344</f>
        <v>47.958333333333371</v>
      </c>
      <c r="E335">
        <f>Q!E344</f>
        <v>47.916666666666686</v>
      </c>
      <c r="F335">
        <f>Q!F344</f>
        <v>48.707629037854758</v>
      </c>
      <c r="G335">
        <f>Q!G344</f>
        <v>45.458333333333371</v>
      </c>
      <c r="H335">
        <f>Q!H344</f>
        <v>44</v>
      </c>
      <c r="I335">
        <f>Q!N344</f>
        <v>0</v>
      </c>
    </row>
    <row r="336" spans="1:18">
      <c r="A336">
        <f>Q!A337</f>
        <v>0</v>
      </c>
      <c r="B336" t="s">
        <v>462</v>
      </c>
      <c r="C336">
        <f>Q!C345</f>
        <v>406.73826034318864</v>
      </c>
      <c r="D336">
        <f>Q!D345</f>
        <v>360.79166666666669</v>
      </c>
      <c r="E336">
        <f>Q!E345</f>
        <v>360.75</v>
      </c>
      <c r="F336">
        <f>Q!F345</f>
        <v>415.87705906501475</v>
      </c>
      <c r="G336">
        <f>Q!G345</f>
        <v>407.75</v>
      </c>
      <c r="H336">
        <f>Q!H345</f>
        <v>419</v>
      </c>
      <c r="I336">
        <f>Q!N345</f>
        <v>0</v>
      </c>
    </row>
    <row r="337" spans="1:9">
      <c r="A337">
        <f>Q!A338</f>
        <v>0</v>
      </c>
      <c r="B337" t="s">
        <v>463</v>
      </c>
      <c r="C337">
        <f>Q!C346</f>
        <v>443.75072419268855</v>
      </c>
      <c r="D337">
        <f>Q!D346</f>
        <v>395.58333333333331</v>
      </c>
      <c r="E337">
        <f>Q!E346</f>
        <v>395.5</v>
      </c>
      <c r="F337">
        <f>Q!F346</f>
        <v>458.19253539673741</v>
      </c>
      <c r="G337">
        <f>Q!G346</f>
        <v>439.79166666666669</v>
      </c>
      <c r="H337">
        <f>Q!H346</f>
        <v>454</v>
      </c>
      <c r="I337">
        <f>Q!N346</f>
        <v>0</v>
      </c>
    </row>
    <row r="338" spans="1:9">
      <c r="A338">
        <f>Q!A339</f>
        <v>0</v>
      </c>
      <c r="B338" t="s">
        <v>464</v>
      </c>
      <c r="C338">
        <f>Q!C347</f>
        <v>37.012463849499909</v>
      </c>
      <c r="D338">
        <f>Q!D347</f>
        <v>34.791666666666629</v>
      </c>
      <c r="E338">
        <f>Q!E347</f>
        <v>34.75</v>
      </c>
      <c r="F338">
        <f>Q!F347</f>
        <v>42.315476331722664</v>
      </c>
      <c r="G338">
        <f>Q!G347</f>
        <v>32.041666666666686</v>
      </c>
      <c r="H338">
        <f>Q!H347</f>
        <v>35</v>
      </c>
      <c r="I338">
        <f>Q!N347</f>
        <v>0</v>
      </c>
    </row>
    <row r="339" spans="1:9" ht="15.75">
      <c r="A339">
        <f>Q!A340</f>
        <v>0</v>
      </c>
      <c r="B339" s="58" t="str">
        <f>Q!B348</f>
        <v>Sensible + Latent Coil Load (Wh,th)</v>
      </c>
      <c r="C339" t="s">
        <v>569</v>
      </c>
      <c r="D339" t="s">
        <v>570</v>
      </c>
      <c r="E339" t="s">
        <v>573</v>
      </c>
      <c r="F339" t="s">
        <v>617</v>
      </c>
      <c r="G339" t="s">
        <v>571</v>
      </c>
      <c r="H339" t="s">
        <v>572</v>
      </c>
      <c r="I339" t="s">
        <v>522</v>
      </c>
    </row>
    <row r="340" spans="1:9">
      <c r="A340">
        <f>Q!A342</f>
        <v>0</v>
      </c>
      <c r="B340" t="s">
        <v>460</v>
      </c>
      <c r="C340">
        <f>Q!C349</f>
        <v>13185.687083333332</v>
      </c>
      <c r="D340">
        <f>Q!D349</f>
        <v>13732.699787500002</v>
      </c>
      <c r="E340">
        <f>Q!E349</f>
        <v>13732.907400000002</v>
      </c>
      <c r="F340">
        <f>Q!F349</f>
        <v>13653.763338976147</v>
      </c>
      <c r="G340">
        <f>Q!G349</f>
        <v>13169.541666666666</v>
      </c>
      <c r="H340">
        <f>Q!H349</f>
        <v>13673</v>
      </c>
      <c r="I340">
        <f>Q!N349</f>
        <v>0</v>
      </c>
    </row>
    <row r="341" spans="1:9">
      <c r="A341">
        <f>Q!A343</f>
        <v>0</v>
      </c>
      <c r="B341" t="s">
        <v>461</v>
      </c>
      <c r="C341">
        <f>Q!C350</f>
        <v>13188.050416666667</v>
      </c>
      <c r="D341">
        <f>Q!D350</f>
        <v>13837.531887500001</v>
      </c>
      <c r="E341">
        <f>Q!E350</f>
        <v>13837.385337500002</v>
      </c>
      <c r="F341">
        <f>Q!F350</f>
        <v>13734.007060097918</v>
      </c>
      <c r="G341">
        <f>Q!G350</f>
        <v>13198.083333333334</v>
      </c>
      <c r="H341">
        <f>Q!H350</f>
        <v>13727</v>
      </c>
      <c r="I341">
        <f>Q!N350</f>
        <v>0</v>
      </c>
    </row>
    <row r="342" spans="1:9">
      <c r="A342">
        <f>Q!A344</f>
        <v>0</v>
      </c>
      <c r="B342" t="s">
        <v>350</v>
      </c>
      <c r="C342">
        <f>Q!C351</f>
        <v>2.3633333333345945</v>
      </c>
      <c r="D342">
        <f>Q!D351</f>
        <v>104.83209999999963</v>
      </c>
      <c r="E342">
        <f>Q!E351</f>
        <v>104.47793749999983</v>
      </c>
      <c r="F342">
        <f>Q!F351</f>
        <v>80.243721121771159</v>
      </c>
      <c r="G342">
        <f>Q!G351</f>
        <v>28.541666666667879</v>
      </c>
      <c r="H342">
        <f>Q!H351</f>
        <v>54</v>
      </c>
      <c r="I342">
        <f>Q!N351</f>
        <v>0</v>
      </c>
    </row>
    <row r="343" spans="1:9">
      <c r="A343">
        <f>Q!A345</f>
        <v>0</v>
      </c>
      <c r="B343" t="s">
        <v>462</v>
      </c>
      <c r="C343">
        <f>Q!C352</f>
        <v>9353.163333333332</v>
      </c>
      <c r="D343">
        <f>Q!D352</f>
        <v>9721.1500000000015</v>
      </c>
      <c r="E343">
        <f>Q!E352</f>
        <v>9721.3942500000012</v>
      </c>
      <c r="F343">
        <f>Q!F352</f>
        <v>9778.7416308953834</v>
      </c>
      <c r="G343">
        <f>Q!G352</f>
        <v>9365.4583333333339</v>
      </c>
      <c r="H343">
        <f>Q!H352</f>
        <v>9798</v>
      </c>
      <c r="I343">
        <f>Q!N352</f>
        <v>0</v>
      </c>
    </row>
    <row r="344" spans="1:9">
      <c r="A344">
        <f>Q!A346</f>
        <v>0</v>
      </c>
      <c r="B344" t="s">
        <v>463</v>
      </c>
      <c r="C344">
        <f>Q!C353</f>
        <v>9376.2962500000012</v>
      </c>
      <c r="D344">
        <f>Q!D353</f>
        <v>9760.7917750000015</v>
      </c>
      <c r="E344">
        <f>Q!E353</f>
        <v>9760.6940750000012</v>
      </c>
      <c r="F344">
        <f>Q!F353</f>
        <v>9843.2403264951936</v>
      </c>
      <c r="G344">
        <f>Q!G353</f>
        <v>9387.625</v>
      </c>
      <c r="H344">
        <f>Q!H353</f>
        <v>9834</v>
      </c>
      <c r="I344">
        <f>Q!N353</f>
        <v>0</v>
      </c>
    </row>
    <row r="345" spans="1:9">
      <c r="A345">
        <f>Q!A347</f>
        <v>0</v>
      </c>
      <c r="B345" t="s">
        <v>464</v>
      </c>
      <c r="C345">
        <f>Q!C354</f>
        <v>23.132916666669189</v>
      </c>
      <c r="D345">
        <f>Q!D354</f>
        <v>39.641775000000052</v>
      </c>
      <c r="E345">
        <f>Q!E354</f>
        <v>39.299825000000055</v>
      </c>
      <c r="F345">
        <f>Q!F354</f>
        <v>64.498695599810162</v>
      </c>
      <c r="G345">
        <f>Q!G354</f>
        <v>22.16666666666606</v>
      </c>
      <c r="H345">
        <f>Q!H354</f>
        <v>36</v>
      </c>
      <c r="I345">
        <f>Q!N354</f>
        <v>0</v>
      </c>
    </row>
    <row r="346" spans="1:9">
      <c r="A346">
        <f>Q!A348</f>
        <v>0</v>
      </c>
      <c r="B346" t="s">
        <v>460</v>
      </c>
      <c r="C346">
        <f>Q!C356</f>
        <v>9374.7970833333329</v>
      </c>
      <c r="D346">
        <f>Q!D356</f>
        <v>9924.8178625000019</v>
      </c>
      <c r="E346">
        <f>Q!E356</f>
        <v>9925.0254750000022</v>
      </c>
      <c r="F346">
        <f>Q!F356</f>
        <v>9849.8338558795549</v>
      </c>
      <c r="G346">
        <f>Q!G356</f>
        <v>9365.4583333333339</v>
      </c>
      <c r="H346">
        <f>Q!H356</f>
        <v>9902</v>
      </c>
      <c r="I346">
        <f>Q!N356</f>
        <v>0</v>
      </c>
    </row>
    <row r="347" spans="1:9">
      <c r="A347">
        <f>Q!A349</f>
        <v>0</v>
      </c>
      <c r="B347" t="s">
        <v>461</v>
      </c>
      <c r="C347">
        <f>Q!C357</f>
        <v>9377.6866666666665</v>
      </c>
      <c r="D347">
        <f>Q!D357</f>
        <v>9981.2396125000014</v>
      </c>
      <c r="E347">
        <f>Q!E357</f>
        <v>9981.0930625000019</v>
      </c>
      <c r="F347">
        <f>Q!F357</f>
        <v>9923.7580169425255</v>
      </c>
      <c r="G347">
        <f>Q!G357</f>
        <v>9387.625</v>
      </c>
      <c r="H347">
        <f>Q!H357</f>
        <v>9946</v>
      </c>
      <c r="I347">
        <f>Q!N357</f>
        <v>0</v>
      </c>
    </row>
    <row r="348" spans="1:9">
      <c r="A348">
        <f>Q!A350</f>
        <v>0</v>
      </c>
      <c r="B348" t="s">
        <v>350</v>
      </c>
      <c r="C348">
        <f>Q!C358</f>
        <v>2.8895833333335759</v>
      </c>
      <c r="D348">
        <f>Q!D358</f>
        <v>56.42174999999952</v>
      </c>
      <c r="E348">
        <f>Q!E358</f>
        <v>56.067587499999718</v>
      </c>
      <c r="F348">
        <f>Q!F358</f>
        <v>73.924161062970597</v>
      </c>
      <c r="G348">
        <f>Q!G358</f>
        <v>22.16666666666606</v>
      </c>
      <c r="H348">
        <f>Q!H358</f>
        <v>44</v>
      </c>
      <c r="I348">
        <f>Q!N358</f>
        <v>0</v>
      </c>
    </row>
    <row r="349" spans="1:9">
      <c r="A349">
        <f>Q!A351</f>
        <v>0</v>
      </c>
      <c r="B349" t="s">
        <v>462</v>
      </c>
      <c r="C349">
        <f>Q!C359</f>
        <v>9353.163333333332</v>
      </c>
      <c r="D349">
        <f>Q!D359</f>
        <v>9721.1500000000015</v>
      </c>
      <c r="E349">
        <f>Q!E359</f>
        <v>9721.3942500000012</v>
      </c>
      <c r="F349">
        <f>Q!F359</f>
        <v>9778.7416308953834</v>
      </c>
      <c r="G349">
        <f>Q!G359</f>
        <v>9365.4583333333339</v>
      </c>
      <c r="H349">
        <f>Q!H359</f>
        <v>9798</v>
      </c>
      <c r="I349">
        <f>Q!N359</f>
        <v>0</v>
      </c>
    </row>
    <row r="350" spans="1:9">
      <c r="A350">
        <f>Q!A352</f>
        <v>0</v>
      </c>
      <c r="B350" t="s">
        <v>463</v>
      </c>
      <c r="C350">
        <f>Q!C360</f>
        <v>9376.2962500000012</v>
      </c>
      <c r="D350">
        <f>Q!D360</f>
        <v>9760.7673500000019</v>
      </c>
      <c r="E350">
        <f>Q!E360</f>
        <v>9760.6696500000016</v>
      </c>
      <c r="F350">
        <f>Q!F360</f>
        <v>9843.2403264951936</v>
      </c>
      <c r="G350">
        <f>Q!G360</f>
        <v>9387.625</v>
      </c>
      <c r="H350">
        <f>Q!H360</f>
        <v>9834</v>
      </c>
      <c r="I350">
        <f>Q!N360</f>
        <v>0</v>
      </c>
    </row>
    <row r="351" spans="1:9">
      <c r="A351">
        <f>Q!A353</f>
        <v>0</v>
      </c>
      <c r="B351" t="s">
        <v>464</v>
      </c>
      <c r="C351">
        <f>Q!C361</f>
        <v>23.132916666669189</v>
      </c>
      <c r="D351">
        <f>Q!D361</f>
        <v>39.617350000000442</v>
      </c>
      <c r="E351">
        <f>Q!E361</f>
        <v>39.275400000000445</v>
      </c>
      <c r="F351">
        <f>Q!F361</f>
        <v>64.498695599810162</v>
      </c>
      <c r="G351">
        <f>Q!G361</f>
        <v>22.16666666666606</v>
      </c>
      <c r="H351">
        <f>Q!H361</f>
        <v>36</v>
      </c>
      <c r="I351">
        <f>Q!N361</f>
        <v>0</v>
      </c>
    </row>
    <row r="352" spans="1:9">
      <c r="A352">
        <f>Q!A354</f>
        <v>0</v>
      </c>
      <c r="B352" t="s">
        <v>460</v>
      </c>
      <c r="C352">
        <f>Q!C363</f>
        <v>3810.89</v>
      </c>
      <c r="D352">
        <f>Q!D363</f>
        <v>3807.8819250000001</v>
      </c>
      <c r="E352">
        <f>Q!E363</f>
        <v>3807.8819250000001</v>
      </c>
      <c r="F352">
        <f>Q!F363</f>
        <v>3803.929483096591</v>
      </c>
      <c r="G352">
        <f>Q!G363</f>
        <v>3804.375</v>
      </c>
      <c r="H352">
        <f>Q!H363</f>
        <v>3770</v>
      </c>
      <c r="I352">
        <f>Q!N363</f>
        <v>0</v>
      </c>
    </row>
    <row r="353" spans="1:9">
      <c r="A353">
        <f>Q!A356</f>
        <v>0</v>
      </c>
      <c r="B353" t="s">
        <v>461</v>
      </c>
      <c r="C353">
        <f>Q!C364</f>
        <v>3810.36375</v>
      </c>
      <c r="D353">
        <f>Q!D364</f>
        <v>3856.2922750000002</v>
      </c>
      <c r="E353">
        <f>Q!E364</f>
        <v>3856.2922750000002</v>
      </c>
      <c r="F353">
        <f>Q!F364</f>
        <v>3810.2490431553888</v>
      </c>
      <c r="G353">
        <f>Q!G364</f>
        <v>3810.4166666666665</v>
      </c>
      <c r="H353">
        <f>Q!H364</f>
        <v>3780</v>
      </c>
      <c r="I353">
        <f>Q!N364</f>
        <v>0</v>
      </c>
    </row>
    <row r="354" spans="1:9">
      <c r="A354">
        <f>Q!A357</f>
        <v>0</v>
      </c>
      <c r="B354" t="s">
        <v>350</v>
      </c>
      <c r="C354">
        <f>Q!C365</f>
        <v>-0.52624999999989086</v>
      </c>
      <c r="D354">
        <f>Q!D365</f>
        <v>48.410350000000108</v>
      </c>
      <c r="E354">
        <f>Q!E365</f>
        <v>48.410350000000108</v>
      </c>
      <c r="F354">
        <f>Q!F365</f>
        <v>6.3195600587978333</v>
      </c>
      <c r="G354">
        <f>Q!G365</f>
        <v>6.0416666666665151</v>
      </c>
      <c r="H354">
        <f>Q!H365</f>
        <v>10</v>
      </c>
      <c r="I354">
        <f>Q!N365</f>
        <v>0</v>
      </c>
    </row>
    <row r="355" spans="1:9">
      <c r="A355">
        <f>Q!A358</f>
        <v>0</v>
      </c>
      <c r="B355" t="s">
        <v>462</v>
      </c>
      <c r="C355">
        <f>Q!C366</f>
        <v>-5.4771024999999994E-13</v>
      </c>
      <c r="D355">
        <f>Q!D366</f>
        <v>0</v>
      </c>
      <c r="E355">
        <f>Q!E366</f>
        <v>0</v>
      </c>
      <c r="F355">
        <f>Q!F366</f>
        <v>3.018175010327933E-13</v>
      </c>
      <c r="G355">
        <f>Q!G366</f>
        <v>0</v>
      </c>
      <c r="H355">
        <f>Q!H366</f>
        <v>0</v>
      </c>
      <c r="I355">
        <f>Q!N366</f>
        <v>0</v>
      </c>
    </row>
    <row r="356" spans="1:9">
      <c r="A356">
        <f>Q!A359</f>
        <v>0</v>
      </c>
      <c r="B356" t="s">
        <v>463</v>
      </c>
      <c r="C356">
        <f>Q!C367</f>
        <v>7.2904616666666638E-13</v>
      </c>
      <c r="D356">
        <f>Q!D367</f>
        <v>2.4425000000000002E-2</v>
      </c>
      <c r="E356">
        <f>Q!E367</f>
        <v>2.4425000000000002E-2</v>
      </c>
      <c r="F356">
        <f>Q!F367</f>
        <v>3.5571348336007786E-13</v>
      </c>
      <c r="G356">
        <f>Q!G367</f>
        <v>0</v>
      </c>
      <c r="H356">
        <f>Q!H367</f>
        <v>0</v>
      </c>
      <c r="I356">
        <f>Q!N367</f>
        <v>0</v>
      </c>
    </row>
    <row r="357" spans="1:9">
      <c r="A357">
        <f>Q!A360</f>
        <v>0</v>
      </c>
      <c r="B357" t="s">
        <v>464</v>
      </c>
      <c r="C357">
        <f>Q!C368</f>
        <v>1.2767564166666663E-12</v>
      </c>
      <c r="D357">
        <f>Q!D368</f>
        <v>2.4425000000000002E-2</v>
      </c>
      <c r="E357">
        <f>Q!E368</f>
        <v>2.4425000000000002E-2</v>
      </c>
      <c r="F357">
        <f>Q!F368</f>
        <v>5.3895982327284563E-14</v>
      </c>
      <c r="G357">
        <f>Q!G368</f>
        <v>0</v>
      </c>
      <c r="H357">
        <f>Q!H368</f>
        <v>0</v>
      </c>
      <c r="I357">
        <f>Q!N368</f>
        <v>0</v>
      </c>
    </row>
    <row r="358" spans="1:9">
      <c r="A358">
        <f>Q!A361</f>
        <v>0</v>
      </c>
    </row>
    <row r="359" spans="1:9">
      <c r="A359">
        <f>Q!A363</f>
        <v>0</v>
      </c>
    </row>
    <row r="360" spans="1:9">
      <c r="A360">
        <f>Q!A364</f>
        <v>0</v>
      </c>
    </row>
    <row r="361" spans="1:9">
      <c r="A361">
        <f>Q!A365</f>
        <v>0</v>
      </c>
    </row>
    <row r="362" spans="1:9">
      <c r="A362">
        <f>Q!A366</f>
        <v>0</v>
      </c>
    </row>
    <row r="363" spans="1:9">
      <c r="A363">
        <f>Q!A367</f>
        <v>0</v>
      </c>
    </row>
    <row r="364" spans="1:9">
      <c r="A364">
        <f>Q!A368</f>
        <v>0</v>
      </c>
    </row>
    <row r="365" spans="1:9">
      <c r="A365">
        <f>Q!A371</f>
        <v>0</v>
      </c>
    </row>
    <row r="366" spans="1:9">
      <c r="A366">
        <f>Q!A375</f>
        <v>0</v>
      </c>
    </row>
    <row r="367" spans="1:9">
      <c r="A367">
        <f>Q!A376</f>
        <v>0</v>
      </c>
    </row>
    <row r="368" spans="1:9">
      <c r="A368">
        <f>Q!A377</f>
        <v>0</v>
      </c>
    </row>
    <row r="369" spans="1:9">
      <c r="A369">
        <f>Q!A378</f>
        <v>0</v>
      </c>
    </row>
    <row r="370" spans="1:9">
      <c r="A370">
        <f>Q!A379</f>
        <v>0</v>
      </c>
      <c r="B370" t="str">
        <f>Q!B370</f>
        <v>f(ODB) Sensitivity E500 and E530, April 30 and June 25</v>
      </c>
      <c r="G370">
        <f>Q!G370</f>
        <v>0</v>
      </c>
      <c r="H370">
        <f>Q!H370</f>
        <v>0</v>
      </c>
      <c r="I370">
        <f>Q!N370</f>
        <v>0</v>
      </c>
    </row>
    <row r="371" spans="1:9">
      <c r="A371">
        <f>Q!A380</f>
        <v>0</v>
      </c>
      <c r="B371">
        <f>Q!B371</f>
        <v>0</v>
      </c>
      <c r="C371">
        <f>Q!C371</f>
        <v>0</v>
      </c>
      <c r="D371">
        <f>Q!D371</f>
        <v>0</v>
      </c>
      <c r="E371">
        <f>Q!E371</f>
        <v>0</v>
      </c>
      <c r="F371">
        <f>Q!F371</f>
        <v>0</v>
      </c>
      <c r="G371">
        <f>Q!G371</f>
        <v>0</v>
      </c>
      <c r="H371">
        <f>Q!H371</f>
        <v>0</v>
      </c>
      <c r="I371">
        <f>Q!N371</f>
        <v>0</v>
      </c>
    </row>
    <row r="372" spans="1:9">
      <c r="A372">
        <f>Q!A381</f>
        <v>0</v>
      </c>
      <c r="B372">
        <f>Q!B372</f>
        <v>0</v>
      </c>
      <c r="C372" t="str">
        <f>Q!C372</f>
        <v>TRNSYS</v>
      </c>
      <c r="D372" t="str">
        <f>Q!D372</f>
        <v>DOE-2.2</v>
      </c>
      <c r="E372" t="str">
        <f>Q!E372</f>
        <v>DOE21E-E</v>
      </c>
      <c r="F372" t="str">
        <f>Q!F372</f>
        <v>Energy+</v>
      </c>
      <c r="G372" t="str">
        <f>Q!G372</f>
        <v>CODYRUN</v>
      </c>
      <c r="H372" t="str">
        <f>Q!H372</f>
        <v>HOT3000</v>
      </c>
      <c r="I372" t="str">
        <f>Q!N372</f>
        <v>Your</v>
      </c>
    </row>
    <row r="373" spans="1:9">
      <c r="A373">
        <f>Q!A382</f>
        <v>0</v>
      </c>
      <c r="B373">
        <f>Q!B373</f>
        <v>0</v>
      </c>
      <c r="C373" t="str">
        <f>Q!C373</f>
        <v>TUD</v>
      </c>
      <c r="D373" t="str">
        <f>Q!D373</f>
        <v>NREL</v>
      </c>
      <c r="E373" t="str">
        <f>Q!E373</f>
        <v>NREL</v>
      </c>
      <c r="F373" t="str">
        <f>Q!F373</f>
        <v>GARD</v>
      </c>
      <c r="G373" t="str">
        <f>Q!G373</f>
        <v>UR</v>
      </c>
      <c r="H373" t="str">
        <f>Q!H373</f>
        <v>NRCan</v>
      </c>
      <c r="I373" t="str">
        <f>Q!N373</f>
        <v>Software</v>
      </c>
    </row>
    <row r="374" spans="1:9">
      <c r="A374">
        <f>Q!A383</f>
        <v>0</v>
      </c>
      <c r="B374" t="str">
        <f>Q!B374</f>
        <v>Humidity Ratio (kg/kg)</v>
      </c>
      <c r="C374" t="s">
        <v>569</v>
      </c>
      <c r="D374" t="s">
        <v>570</v>
      </c>
      <c r="E374" t="s">
        <v>573</v>
      </c>
      <c r="F374" t="s">
        <v>617</v>
      </c>
      <c r="G374" t="s">
        <v>571</v>
      </c>
      <c r="H374" t="s">
        <v>572</v>
      </c>
      <c r="I374" t="s">
        <v>522</v>
      </c>
    </row>
    <row r="375" spans="1:9">
      <c r="A375">
        <f>Q!A384</f>
        <v>0</v>
      </c>
      <c r="B375" t="s">
        <v>460</v>
      </c>
      <c r="C375">
        <f>Q!C375</f>
        <v>1.0675479166666666E-2</v>
      </c>
      <c r="D375">
        <f>Q!D375</f>
        <v>1.0999999999999999E-2</v>
      </c>
      <c r="E375">
        <f>Q!E375</f>
        <v>1.0999999999999999E-2</v>
      </c>
      <c r="F375">
        <f>Q!F375</f>
        <v>1.0645793746137146E-2</v>
      </c>
      <c r="G375">
        <f>Q!G375</f>
        <v>1.0937624999999999E-2</v>
      </c>
      <c r="H375">
        <f>Q!H375</f>
        <v>1.6E-2</v>
      </c>
      <c r="I375">
        <f>Q!N375</f>
        <v>0</v>
      </c>
    </row>
    <row r="376" spans="1:9">
      <c r="A376">
        <f>Q!A385</f>
        <v>0</v>
      </c>
      <c r="B376" t="s">
        <v>461</v>
      </c>
      <c r="C376">
        <f>Q!C376</f>
        <v>1.1168362500000001E-2</v>
      </c>
      <c r="D376">
        <f>Q!D376</f>
        <v>1.15E-2</v>
      </c>
      <c r="E376">
        <f>Q!E376</f>
        <v>1.15E-2</v>
      </c>
      <c r="F376">
        <f>Q!F376</f>
        <v>1.114369293329249E-2</v>
      </c>
      <c r="G376">
        <f>Q!G376</f>
        <v>1.1478791666666668E-2</v>
      </c>
      <c r="H376">
        <f>Q!H376</f>
        <v>1.0999999999999999E-2</v>
      </c>
      <c r="I376">
        <f>Q!N376</f>
        <v>0</v>
      </c>
    </row>
    <row r="377" spans="1:9">
      <c r="A377">
        <f>Q!A386</f>
        <v>0</v>
      </c>
      <c r="B377" t="s">
        <v>350</v>
      </c>
      <c r="C377">
        <f>Q!C377</f>
        <v>4.9288333333333441E-4</v>
      </c>
      <c r="D377">
        <f>Q!D377</f>
        <v>5.0000000000000044E-4</v>
      </c>
      <c r="E377">
        <f>Q!E377</f>
        <v>5.0000000000000044E-4</v>
      </c>
      <c r="F377">
        <f>Q!F377</f>
        <v>4.9789918715534461E-4</v>
      </c>
      <c r="G377">
        <f>Q!G377</f>
        <v>5.4116666666666896E-4</v>
      </c>
      <c r="H377">
        <f>Q!H377</f>
        <v>-5.000000000000001E-3</v>
      </c>
      <c r="I377">
        <f>Q!N377</f>
        <v>0</v>
      </c>
    </row>
    <row r="378" spans="1:9">
      <c r="A378">
        <f>Q!A387</f>
        <v>0</v>
      </c>
      <c r="B378" t="s">
        <v>462</v>
      </c>
      <c r="C378">
        <f>Q!C378</f>
        <v>6.2079700000000036E-3</v>
      </c>
      <c r="D378">
        <f>Q!D378</f>
        <v>7.1000000000000004E-3</v>
      </c>
      <c r="E378">
        <f>Q!E378</f>
        <v>7.1000000000000004E-3</v>
      </c>
      <c r="F378">
        <f>Q!F378</f>
        <v>6.4660444823903237E-3</v>
      </c>
      <c r="G378">
        <f>Q!G378</f>
        <v>5.4850000000000012E-3</v>
      </c>
      <c r="H378">
        <f>Q!H378</f>
        <v>6.7400000000000003E-3</v>
      </c>
      <c r="I378">
        <f>Q!N378</f>
        <v>0</v>
      </c>
    </row>
    <row r="379" spans="1:9">
      <c r="A379">
        <f>Q!A388</f>
        <v>0</v>
      </c>
      <c r="B379" t="s">
        <v>463</v>
      </c>
      <c r="C379">
        <f>Q!C379</f>
        <v>6.2079700000000036E-3</v>
      </c>
      <c r="D379">
        <f>Q!D379</f>
        <v>7.7999999999999996E-3</v>
      </c>
      <c r="E379">
        <f>Q!E379</f>
        <v>7.7999999999999996E-3</v>
      </c>
      <c r="F379">
        <f>Q!F379</f>
        <v>6.466044482391132E-3</v>
      </c>
      <c r="G379">
        <f>Q!G379</f>
        <v>5.4779999999999994E-3</v>
      </c>
      <c r="H379">
        <f>Q!H379</f>
        <v>6.7400000000000003E-3</v>
      </c>
      <c r="I379">
        <f>Q!N379</f>
        <v>0</v>
      </c>
    </row>
    <row r="380" spans="1:9">
      <c r="A380">
        <f>Q!A389</f>
        <v>0</v>
      </c>
      <c r="B380" t="s">
        <v>464</v>
      </c>
      <c r="C380">
        <f>Q!C380</f>
        <v>0</v>
      </c>
      <c r="D380">
        <f>Q!D380</f>
        <v>6.9999999999999923E-4</v>
      </c>
      <c r="E380">
        <f>Q!E380</f>
        <v>6.9999999999999923E-4</v>
      </c>
      <c r="F380">
        <f>Q!F380</f>
        <v>8.0838113980519211E-16</v>
      </c>
      <c r="G380">
        <f>Q!G380</f>
        <v>-7.0000000000017965E-6</v>
      </c>
      <c r="H380">
        <f>Q!H380</f>
        <v>0</v>
      </c>
      <c r="I380">
        <f>Q!N380</f>
        <v>0</v>
      </c>
    </row>
    <row r="381" spans="1:9">
      <c r="A381">
        <f>Q!A390</f>
        <v>0</v>
      </c>
      <c r="B381" t="str">
        <f>Q!B381</f>
        <v>COP2</v>
      </c>
      <c r="C381" t="s">
        <v>569</v>
      </c>
      <c r="D381" t="s">
        <v>570</v>
      </c>
      <c r="E381" t="s">
        <v>573</v>
      </c>
      <c r="F381" t="s">
        <v>617</v>
      </c>
      <c r="G381" t="s">
        <v>571</v>
      </c>
      <c r="H381" t="s">
        <v>572</v>
      </c>
      <c r="I381" t="s">
        <v>522</v>
      </c>
    </row>
    <row r="382" spans="1:9">
      <c r="A382">
        <f>Q!A391</f>
        <v>0</v>
      </c>
      <c r="B382" t="s">
        <v>460</v>
      </c>
      <c r="C382">
        <f>Q!C382</f>
        <v>3.8447963185478624</v>
      </c>
      <c r="D382">
        <f>Q!D382</f>
        <v>3.9136115288250317</v>
      </c>
      <c r="E382">
        <f>Q!E382</f>
        <v>3.9139030708941935</v>
      </c>
      <c r="F382">
        <f>Q!F382</f>
        <v>3.8587604373732227</v>
      </c>
      <c r="G382">
        <f>Q!G382</f>
        <v>3.8371600399082859</v>
      </c>
      <c r="H382">
        <f>Q!H382</f>
        <v>3.85</v>
      </c>
      <c r="I382">
        <f>Q!N382</f>
        <v>0</v>
      </c>
    </row>
    <row r="383" spans="1:9">
      <c r="A383">
        <f>Q!A392</f>
        <v>0</v>
      </c>
      <c r="B383" t="s">
        <v>461</v>
      </c>
      <c r="C383">
        <f>Q!C383</f>
        <v>2.9312957592168609</v>
      </c>
      <c r="D383">
        <f>Q!D383</f>
        <v>2.9505118766491645</v>
      </c>
      <c r="E383">
        <f>Q!E383</f>
        <v>2.9505592702169627</v>
      </c>
      <c r="F383">
        <f>Q!F383</f>
        <v>2.9345909693689873</v>
      </c>
      <c r="G383">
        <f>Q!G383</f>
        <v>2.9212653715068941</v>
      </c>
      <c r="H383">
        <f>Q!H383</f>
        <v>2.94</v>
      </c>
      <c r="I383">
        <f>Q!N383</f>
        <v>0</v>
      </c>
    </row>
    <row r="384" spans="1:9">
      <c r="A384">
        <f>Q!A393</f>
        <v>0</v>
      </c>
      <c r="B384" t="s">
        <v>350</v>
      </c>
      <c r="C384">
        <f>Q!C384</f>
        <v>-0.91350055933100149</v>
      </c>
      <c r="D384">
        <f>Q!D384</f>
        <v>-0.96309965217586724</v>
      </c>
      <c r="E384">
        <f>Q!E384</f>
        <v>-0.9633438006772308</v>
      </c>
      <c r="F384">
        <f>Q!F384</f>
        <v>-0.92416946800423538</v>
      </c>
      <c r="G384">
        <f>Q!G384</f>
        <v>-0.91589466840139178</v>
      </c>
      <c r="H384">
        <f>Q!H384</f>
        <v>-0.91000000000000014</v>
      </c>
      <c r="I384">
        <f>Q!N384</f>
        <v>0</v>
      </c>
    </row>
    <row r="385" spans="1:9">
      <c r="A385">
        <f>Q!A394</f>
        <v>0</v>
      </c>
      <c r="B385" t="s">
        <v>462</v>
      </c>
      <c r="C385">
        <f>Q!C385</f>
        <v>3.543099854148672</v>
      </c>
      <c r="D385">
        <f>Q!D385</f>
        <v>3.5988153449844984</v>
      </c>
      <c r="E385">
        <f>Q!E385</f>
        <v>3.5991278364828387</v>
      </c>
      <c r="F385">
        <f>Q!F385</f>
        <v>3.404803033593343</v>
      </c>
      <c r="G385">
        <f>Q!G385</f>
        <v>3.4604350566376669</v>
      </c>
      <c r="H385">
        <f>Q!H385</f>
        <v>3.59</v>
      </c>
      <c r="I385">
        <f>Q!N385</f>
        <v>0</v>
      </c>
    </row>
    <row r="386" spans="1:9">
      <c r="A386">
        <f>Q!A395</f>
        <v>0</v>
      </c>
      <c r="B386" t="s">
        <v>463</v>
      </c>
      <c r="C386">
        <f>Q!C386</f>
        <v>2.7196901396309143</v>
      </c>
      <c r="D386">
        <f>Q!D386</f>
        <v>2.7244804507867837</v>
      </c>
      <c r="E386">
        <f>Q!E386</f>
        <v>2.7244848665999863</v>
      </c>
      <c r="F386">
        <f>Q!F386</f>
        <v>2.7404773631230217</v>
      </c>
      <c r="G386">
        <f>Q!G386</f>
        <v>2.6900388272911857</v>
      </c>
      <c r="H386">
        <f>Q!H386</f>
        <v>2.74</v>
      </c>
      <c r="I386">
        <f>Q!N386</f>
        <v>0</v>
      </c>
    </row>
    <row r="387" spans="1:9">
      <c r="A387">
        <f>Q!A396</f>
        <v>0</v>
      </c>
      <c r="B387" t="s">
        <v>464</v>
      </c>
      <c r="C387">
        <f>Q!C387</f>
        <v>-0.82340971451775768</v>
      </c>
      <c r="D387">
        <f>Q!D387</f>
        <v>-0.87433489419771471</v>
      </c>
      <c r="E387">
        <f>Q!E387</f>
        <v>-0.87464296988285239</v>
      </c>
      <c r="F387">
        <f>Q!F387</f>
        <v>-0.66432567047032132</v>
      </c>
      <c r="G387">
        <f>Q!G387</f>
        <v>-0.77039622934648122</v>
      </c>
      <c r="H387">
        <f>Q!H387</f>
        <v>-0.84999999999999964</v>
      </c>
      <c r="I387">
        <f>Q!N387</f>
        <v>0</v>
      </c>
    </row>
    <row r="388" spans="1:9">
      <c r="A388">
        <f>Q!A397</f>
        <v>0</v>
      </c>
      <c r="B388" t="str">
        <f>Q!B388</f>
        <v>ODB (°C)</v>
      </c>
      <c r="C388">
        <f>Q!C388</f>
        <v>0</v>
      </c>
      <c r="D388">
        <f>Q!D388</f>
        <v>0</v>
      </c>
      <c r="E388">
        <f>Q!E388</f>
        <v>0</v>
      </c>
      <c r="F388">
        <f>Q!F388</f>
        <v>0</v>
      </c>
      <c r="G388">
        <f>Q!G388</f>
        <v>0</v>
      </c>
      <c r="H388">
        <f>Q!H388</f>
        <v>0</v>
      </c>
      <c r="I388">
        <f>Q!N388</f>
        <v>0</v>
      </c>
    </row>
    <row r="389" spans="1:9">
      <c r="A389">
        <f>Q!A398</f>
        <v>0</v>
      </c>
      <c r="B389" t="s">
        <v>460</v>
      </c>
      <c r="C389">
        <f>Q!C389</f>
        <v>16.791666666666664</v>
      </c>
      <c r="D389">
        <f>Q!D389</f>
        <v>16.833333333333332</v>
      </c>
      <c r="E389">
        <f>Q!E389</f>
        <v>16.833333333333332</v>
      </c>
      <c r="F389">
        <f>Q!F389</f>
        <v>16.814583333333328</v>
      </c>
      <c r="G389">
        <f>Q!G389</f>
        <v>16.883333333333329</v>
      </c>
      <c r="H389">
        <f>Q!H389</f>
        <v>16.96</v>
      </c>
      <c r="I389">
        <f>Q!N389</f>
        <v>0</v>
      </c>
    </row>
    <row r="390" spans="1:9">
      <c r="A390">
        <f>Q!A399</f>
        <v>0</v>
      </c>
      <c r="B390" t="s">
        <v>461</v>
      </c>
      <c r="C390">
        <f>Q!C390</f>
        <v>29.516666666666669</v>
      </c>
      <c r="D390">
        <f>Q!D390</f>
        <v>29.5</v>
      </c>
      <c r="E390">
        <f>Q!E390</f>
        <v>29.5</v>
      </c>
      <c r="F390">
        <f>Q!F390</f>
        <v>29.516666666666666</v>
      </c>
      <c r="G390">
        <f>Q!G390</f>
        <v>29.516666666666666</v>
      </c>
      <c r="H390">
        <f>Q!H390</f>
        <v>29.5</v>
      </c>
      <c r="I390">
        <f>Q!N390</f>
        <v>0</v>
      </c>
    </row>
    <row r="391" spans="1:9">
      <c r="A391">
        <f>Q!A400</f>
        <v>0</v>
      </c>
      <c r="B391" t="s">
        <v>350</v>
      </c>
      <c r="C391">
        <f>Q!C391</f>
        <v>12.725000000000005</v>
      </c>
      <c r="D391">
        <f>Q!D391</f>
        <v>12.666666666666668</v>
      </c>
      <c r="E391">
        <f>Q!E391</f>
        <v>12.666666666666668</v>
      </c>
      <c r="F391">
        <f>Q!F391</f>
        <v>12.702083333333338</v>
      </c>
      <c r="G391">
        <f>Q!G391</f>
        <v>12.633333333333336</v>
      </c>
      <c r="H391">
        <f>Q!H391</f>
        <v>12.54</v>
      </c>
      <c r="I391">
        <f>Q!N391</f>
        <v>0</v>
      </c>
    </row>
    <row r="392" spans="1:9">
      <c r="A392">
        <f>Q!A401</f>
        <v>0</v>
      </c>
      <c r="B392" t="s">
        <v>462</v>
      </c>
      <c r="C392">
        <f>Q!C392</f>
        <v>16.791666666666664</v>
      </c>
      <c r="D392">
        <f>Q!D392</f>
        <v>16.833333333333332</v>
      </c>
      <c r="E392">
        <f>Q!E392</f>
        <v>16.833333333333332</v>
      </c>
      <c r="F392">
        <f>Q!F392</f>
        <v>16.814583333333328</v>
      </c>
      <c r="G392">
        <f>Q!G392</f>
        <v>16.883333333333329</v>
      </c>
      <c r="H392">
        <f>Q!H392</f>
        <v>16.96</v>
      </c>
      <c r="I392">
        <f>Q!N392</f>
        <v>0</v>
      </c>
    </row>
    <row r="393" spans="1:9">
      <c r="A393">
        <f>Q!A402</f>
        <v>0</v>
      </c>
      <c r="B393" t="s">
        <v>463</v>
      </c>
      <c r="C393">
        <f>Q!C393</f>
        <v>29.516666666666669</v>
      </c>
      <c r="D393">
        <f>Q!D393</f>
        <v>29.5</v>
      </c>
      <c r="E393">
        <f>Q!E393</f>
        <v>29.5</v>
      </c>
      <c r="F393">
        <f>Q!F393</f>
        <v>29.516666666666666</v>
      </c>
      <c r="G393">
        <f>Q!G393</f>
        <v>29.516666666666666</v>
      </c>
      <c r="H393">
        <f>Q!H393</f>
        <v>29.5</v>
      </c>
      <c r="I393">
        <f>Q!N393</f>
        <v>0</v>
      </c>
    </row>
    <row r="394" spans="1:9">
      <c r="B394" t="s">
        <v>464</v>
      </c>
      <c r="C394">
        <f>Q!C394</f>
        <v>12.725000000000005</v>
      </c>
      <c r="D394">
        <f>Q!D394</f>
        <v>12.666666666666668</v>
      </c>
      <c r="E394">
        <f>Q!E394</f>
        <v>12.666666666666668</v>
      </c>
      <c r="F394">
        <f>Q!F394</f>
        <v>12.702083333333338</v>
      </c>
      <c r="G394">
        <f>Q!G394</f>
        <v>12.633333333333336</v>
      </c>
      <c r="H394">
        <f>Q!H394</f>
        <v>12.54</v>
      </c>
      <c r="I394">
        <f>Q!N394</f>
        <v>0</v>
      </c>
    </row>
    <row r="395" spans="1:9">
      <c r="B395" t="str">
        <f>Q!B395</f>
        <v>EDB (°C)</v>
      </c>
      <c r="C395">
        <f>Q!C395</f>
        <v>0</v>
      </c>
      <c r="D395">
        <f>Q!D395</f>
        <v>0</v>
      </c>
      <c r="E395">
        <f>Q!E395</f>
        <v>0</v>
      </c>
      <c r="F395">
        <f>Q!F395</f>
        <v>0</v>
      </c>
      <c r="G395">
        <f>Q!G395</f>
        <v>0</v>
      </c>
      <c r="H395">
        <f>Q!H395</f>
        <v>0</v>
      </c>
      <c r="I395">
        <f>Q!N395</f>
        <v>0</v>
      </c>
    </row>
    <row r="396" spans="1:9">
      <c r="B396" t="s">
        <v>460</v>
      </c>
      <c r="C396">
        <f>Q!C396</f>
        <v>24.64107916666666</v>
      </c>
      <c r="D396">
        <f>Q!D396</f>
        <v>24.944444444444446</v>
      </c>
      <c r="E396">
        <f>Q!E396</f>
        <v>24.944444444444446</v>
      </c>
      <c r="F396">
        <f>Q!F396</f>
        <v>24.982041663411625</v>
      </c>
      <c r="G396">
        <f>Q!G396</f>
        <v>25</v>
      </c>
      <c r="H396">
        <f>Q!H396</f>
        <v>25</v>
      </c>
      <c r="I396">
        <f>Q!N396</f>
        <v>0</v>
      </c>
    </row>
    <row r="397" spans="1:9">
      <c r="B397" t="s">
        <v>461</v>
      </c>
      <c r="C397">
        <f>Q!C397</f>
        <v>24.547783333333332</v>
      </c>
      <c r="D397">
        <f>Q!D397</f>
        <v>25</v>
      </c>
      <c r="E397">
        <f>Q!E397</f>
        <v>25</v>
      </c>
      <c r="F397">
        <f>Q!F397</f>
        <v>24.983132681459704</v>
      </c>
      <c r="G397">
        <f>Q!G397</f>
        <v>25</v>
      </c>
      <c r="H397">
        <f>Q!H397</f>
        <v>25</v>
      </c>
      <c r="I397">
        <f>Q!N397</f>
        <v>0</v>
      </c>
    </row>
    <row r="398" spans="1:9">
      <c r="B398" t="s">
        <v>350</v>
      </c>
      <c r="C398">
        <f>Q!C398</f>
        <v>-9.3295833333328915E-2</v>
      </c>
      <c r="D398">
        <f>Q!D398</f>
        <v>5.5555555555553582E-2</v>
      </c>
      <c r="E398">
        <f>Q!E398</f>
        <v>5.5555555555553582E-2</v>
      </c>
      <c r="F398">
        <f>Q!F398</f>
        <v>1.0910180480792064E-3</v>
      </c>
      <c r="G398">
        <f>Q!G398</f>
        <v>0</v>
      </c>
      <c r="H398">
        <f>Q!H398</f>
        <v>0</v>
      </c>
      <c r="I398">
        <f>Q!N398</f>
        <v>0</v>
      </c>
    </row>
    <row r="399" spans="1:9">
      <c r="B399" t="s">
        <v>462</v>
      </c>
      <c r="C399">
        <f>Q!C399</f>
        <v>24.365045833333337</v>
      </c>
      <c r="D399">
        <f>Q!D399</f>
        <v>24.944444444444446</v>
      </c>
      <c r="E399">
        <f>Q!E399</f>
        <v>24.666666666666671</v>
      </c>
      <c r="F399">
        <f>Q!F399</f>
        <v>25.000255781051795</v>
      </c>
      <c r="G399">
        <f>Q!G399</f>
        <v>25</v>
      </c>
      <c r="H399">
        <f>Q!H399</f>
        <v>25</v>
      </c>
      <c r="I399">
        <f>Q!N399</f>
        <v>0</v>
      </c>
    </row>
    <row r="400" spans="1:9">
      <c r="B400" t="s">
        <v>463</v>
      </c>
      <c r="C400">
        <f>Q!C400</f>
        <v>24.353687500000003</v>
      </c>
      <c r="D400">
        <f>Q!D400</f>
        <v>24.944444444444446</v>
      </c>
      <c r="E400">
        <f>Q!E400</f>
        <v>24.944444444444446</v>
      </c>
      <c r="F400">
        <f>Q!F400</f>
        <v>25.000291827635262</v>
      </c>
      <c r="G400">
        <f>Q!G400</f>
        <v>25</v>
      </c>
      <c r="H400">
        <f>Q!H400</f>
        <v>25</v>
      </c>
      <c r="I400">
        <f>Q!N400</f>
        <v>0</v>
      </c>
    </row>
    <row r="401" spans="2:9">
      <c r="B401" t="s">
        <v>464</v>
      </c>
      <c r="C401">
        <f>Q!C401</f>
        <v>-1.1358333333333803E-2</v>
      </c>
      <c r="D401">
        <f>Q!D401</f>
        <v>0</v>
      </c>
      <c r="E401">
        <f>Q!E401</f>
        <v>0.27777777777777501</v>
      </c>
      <c r="F401">
        <f>Q!F401</f>
        <v>3.604658346745282E-5</v>
      </c>
      <c r="G401">
        <f>Q!G401</f>
        <v>0</v>
      </c>
      <c r="H401">
        <f>Q!H401</f>
        <v>0</v>
      </c>
      <c r="I401">
        <f>Q!N401</f>
        <v>0</v>
      </c>
    </row>
    <row r="405" spans="2:9" ht="15.75">
      <c r="B405" s="58"/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zoomScale="50" workbookViewId="0">
      <selection activeCell="F10" sqref="F10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9">
      <c r="A1">
        <f>'R'!A1</f>
        <v>0</v>
      </c>
    </row>
    <row r="2" spans="1:9">
      <c r="A2">
        <f>'R'!A2</f>
        <v>0</v>
      </c>
    </row>
    <row r="3" spans="1:9">
      <c r="A3">
        <f>'R'!A3</f>
        <v>0</v>
      </c>
    </row>
    <row r="4" spans="1:9">
      <c r="A4">
        <f>'R'!A4</f>
        <v>0</v>
      </c>
    </row>
    <row r="5" spans="1:9">
      <c r="A5">
        <f>'R'!A5</f>
        <v>0</v>
      </c>
    </row>
    <row r="6" spans="1:9">
      <c r="A6">
        <f>'R'!A6</f>
        <v>0</v>
      </c>
    </row>
    <row r="7" spans="1:9">
      <c r="A7">
        <f>'R'!A7</f>
        <v>0</v>
      </c>
      <c r="B7" t="str">
        <f>'R'!B7</f>
        <v>Hourly Integrated Maxima (Total Cooling System Energy Consumption and Total Coil Load)</v>
      </c>
      <c r="C7">
        <f>'R'!C7</f>
        <v>0</v>
      </c>
    </row>
    <row r="8" spans="1:9">
      <c r="A8">
        <f>'R'!A8</f>
        <v>0</v>
      </c>
      <c r="B8" t="str">
        <f>'R'!B8</f>
        <v>Energy Consumption, Compressor + Both Fans (Wh,e)</v>
      </c>
      <c r="C8">
        <f>'R'!C8</f>
        <v>0</v>
      </c>
    </row>
    <row r="9" spans="1:9">
      <c r="A9">
        <f>'R'!A9</f>
        <v>0</v>
      </c>
      <c r="B9">
        <f>'R'!B9</f>
        <v>0</v>
      </c>
      <c r="C9" t="str">
        <f>'R'!C9</f>
        <v>TRNSYS</v>
      </c>
      <c r="D9" t="str">
        <f>'R'!F9</f>
        <v>DOE-2.2</v>
      </c>
      <c r="E9" t="str">
        <f>'R'!I9</f>
        <v>DOE21E-E</v>
      </c>
      <c r="F9" t="str">
        <f>'R'!L9</f>
        <v>Energy+</v>
      </c>
      <c r="G9" t="str">
        <f>'R'!O9</f>
        <v>CODYRUN</v>
      </c>
      <c r="H9" t="str">
        <f>'R'!R9</f>
        <v>HOT3000</v>
      </c>
      <c r="I9" s="116">
        <f>'R'!Y9</f>
        <v>0</v>
      </c>
    </row>
    <row r="10" spans="1:9">
      <c r="A10">
        <f>'R'!A10</f>
        <v>0</v>
      </c>
      <c r="B10">
        <f>'R'!B10</f>
        <v>0</v>
      </c>
      <c r="C10" t="s">
        <v>569</v>
      </c>
      <c r="D10" t="s">
        <v>570</v>
      </c>
      <c r="E10" t="s">
        <v>573</v>
      </c>
      <c r="F10" t="s">
        <v>617</v>
      </c>
      <c r="G10" t="s">
        <v>571</v>
      </c>
      <c r="H10" t="s">
        <v>572</v>
      </c>
      <c r="I10" s="116" t="str">
        <f>'R'!Y10</f>
        <v>Your Software</v>
      </c>
    </row>
    <row r="11" spans="1:9">
      <c r="A11">
        <f>'R'!A11</f>
        <v>0</v>
      </c>
      <c r="B11" t="s">
        <v>276</v>
      </c>
      <c r="C11">
        <f>'R'!C11</f>
        <v>11626.03706926033</v>
      </c>
      <c r="D11">
        <f>'R'!F11</f>
        <v>11564</v>
      </c>
      <c r="E11">
        <f>'R'!I11</f>
        <v>11602</v>
      </c>
      <c r="F11">
        <f>'R'!L11</f>
        <v>11995.70893824355</v>
      </c>
      <c r="G11">
        <f>'R'!O11</f>
        <v>11932</v>
      </c>
      <c r="H11">
        <f>'R'!R11</f>
        <v>11548</v>
      </c>
      <c r="I11" s="116">
        <f>'R'!Y11</f>
        <v>0</v>
      </c>
    </row>
    <row r="12" spans="1:9">
      <c r="A12">
        <f>'R'!A12</f>
        <v>0</v>
      </c>
      <c r="B12" t="s">
        <v>277</v>
      </c>
      <c r="C12">
        <f>'R'!C12</f>
        <v>12594.401556764305</v>
      </c>
      <c r="D12">
        <f>'R'!F12</f>
        <v>12583</v>
      </c>
      <c r="E12">
        <f>'R'!I12</f>
        <v>12595</v>
      </c>
      <c r="F12">
        <f>'R'!L12</f>
        <v>12572.07933649695</v>
      </c>
      <c r="G12">
        <f>'R'!O12</f>
        <v>12653</v>
      </c>
      <c r="H12">
        <f>'R'!R12</f>
        <v>12162</v>
      </c>
      <c r="I12" s="116">
        <f>'R'!Y12</f>
        <v>0</v>
      </c>
    </row>
    <row r="13" spans="1:9">
      <c r="A13">
        <f>'R'!A13</f>
        <v>0</v>
      </c>
      <c r="B13" t="s">
        <v>278</v>
      </c>
      <c r="C13">
        <f>'R'!C13</f>
        <v>13028.198604878649</v>
      </c>
      <c r="D13">
        <f>'R'!F13</f>
        <v>12916</v>
      </c>
      <c r="E13">
        <f>'R'!I13</f>
        <v>12981</v>
      </c>
      <c r="F13">
        <f>'R'!L13</f>
        <v>12988.83919341615</v>
      </c>
      <c r="G13">
        <f>'R'!O13</f>
        <v>13104</v>
      </c>
      <c r="H13">
        <f>'R'!R13</f>
        <v>12875</v>
      </c>
      <c r="I13" s="116">
        <f>'R'!Y13</f>
        <v>0</v>
      </c>
    </row>
    <row r="14" spans="1:9">
      <c r="A14">
        <f>'R'!A14</f>
        <v>0</v>
      </c>
      <c r="B14" t="s">
        <v>279</v>
      </c>
      <c r="C14">
        <f>'R'!C14</f>
        <v>13346.701022820673</v>
      </c>
      <c r="D14">
        <f>'R'!F14</f>
        <v>13212</v>
      </c>
      <c r="E14">
        <f>'R'!I14</f>
        <v>13407</v>
      </c>
      <c r="F14">
        <f>'R'!L14</f>
        <v>13356.234896114151</v>
      </c>
      <c r="G14">
        <f>'R'!O14</f>
        <v>13467</v>
      </c>
      <c r="H14">
        <f>'R'!R14</f>
        <v>13335</v>
      </c>
      <c r="I14" s="116">
        <f>'R'!Y14</f>
        <v>0</v>
      </c>
    </row>
    <row r="15" spans="1:9">
      <c r="A15">
        <f>'R'!A15</f>
        <v>0</v>
      </c>
      <c r="B15" t="s">
        <v>449</v>
      </c>
      <c r="C15">
        <f>'R'!C15</f>
        <v>13180.901834486</v>
      </c>
      <c r="D15">
        <f>'R'!F15</f>
        <v>13158</v>
      </c>
      <c r="E15">
        <f>'R'!I15</f>
        <v>13190</v>
      </c>
      <c r="F15">
        <f>'R'!L15</f>
        <v>13174.92580781395</v>
      </c>
      <c r="G15">
        <f>'R'!O15</f>
        <v>13277</v>
      </c>
      <c r="H15">
        <f>'R'!R15</f>
        <v>13101</v>
      </c>
      <c r="I15" s="116">
        <f>'R'!Y15</f>
        <v>0</v>
      </c>
    </row>
    <row r="16" spans="1:9">
      <c r="A16">
        <f>'R'!A16</f>
        <v>0</v>
      </c>
      <c r="B16" t="s">
        <v>280</v>
      </c>
      <c r="C16">
        <f>'R'!C16</f>
        <v>11626.889010941171</v>
      </c>
      <c r="D16">
        <f>'R'!F16</f>
        <v>11654</v>
      </c>
      <c r="E16">
        <f>'R'!I16</f>
        <v>11602</v>
      </c>
      <c r="F16">
        <f>'R'!L16</f>
        <v>11995.70169639605</v>
      </c>
      <c r="G16">
        <f>'R'!O16</f>
        <v>11932</v>
      </c>
      <c r="H16">
        <f>'R'!R16</f>
        <v>11546</v>
      </c>
      <c r="I16" s="116">
        <f>'R'!Y16</f>
        <v>0</v>
      </c>
    </row>
    <row r="17" spans="1:9">
      <c r="A17">
        <f>'R'!A17</f>
        <v>0</v>
      </c>
      <c r="B17" t="s">
        <v>281</v>
      </c>
      <c r="C17">
        <f>'R'!C17</f>
        <v>12769.502182177162</v>
      </c>
      <c r="D17">
        <f>'R'!F17</f>
        <v>12736</v>
      </c>
      <c r="E17">
        <f>'R'!I17</f>
        <v>12726</v>
      </c>
      <c r="F17">
        <f>'R'!L17</f>
        <v>12776.42848399295</v>
      </c>
      <c r="G17">
        <f>'R'!O17</f>
        <v>12863</v>
      </c>
      <c r="H17">
        <f>'R'!R17</f>
        <v>12762</v>
      </c>
      <c r="I17" s="116">
        <f>'R'!Y17</f>
        <v>0</v>
      </c>
    </row>
    <row r="18" spans="1:9">
      <c r="A18">
        <f>'R'!A18</f>
        <v>0</v>
      </c>
      <c r="B18" t="s">
        <v>291</v>
      </c>
      <c r="C18">
        <f>'R'!C18</f>
        <v>11627.867729678333</v>
      </c>
      <c r="D18">
        <f>'R'!F18</f>
        <v>11564</v>
      </c>
      <c r="E18">
        <f>'R'!I18</f>
        <v>11677</v>
      </c>
      <c r="F18">
        <f>'R'!L18</f>
        <v>11995.697398211951</v>
      </c>
      <c r="G18">
        <f>'R'!O18</f>
        <v>0</v>
      </c>
      <c r="H18">
        <f>'R'!R18</f>
        <v>11519</v>
      </c>
      <c r="I18" s="116">
        <f>'R'!Y18</f>
        <v>0</v>
      </c>
    </row>
    <row r="19" spans="1:9">
      <c r="A19">
        <f>'R'!A19</f>
        <v>0</v>
      </c>
      <c r="B19" t="s">
        <v>288</v>
      </c>
      <c r="C19">
        <f>'R'!C19</f>
        <v>11627.867729678333</v>
      </c>
      <c r="D19">
        <f>'R'!F19</f>
        <v>11564</v>
      </c>
      <c r="E19">
        <f>'R'!I19</f>
        <v>11602</v>
      </c>
      <c r="F19">
        <f>'R'!L19</f>
        <v>11995.70893824355</v>
      </c>
      <c r="G19">
        <f>'R'!O19</f>
        <v>0</v>
      </c>
      <c r="H19">
        <f>'R'!R19</f>
        <v>11549</v>
      </c>
      <c r="I19" s="116">
        <f>'R'!Y19</f>
        <v>0</v>
      </c>
    </row>
    <row r="20" spans="1:9">
      <c r="A20">
        <f>'R'!A20</f>
        <v>0</v>
      </c>
      <c r="B20" t="s">
        <v>289</v>
      </c>
      <c r="C20">
        <f>'R'!C20</f>
        <v>11626.03706926033</v>
      </c>
      <c r="D20">
        <f>'R'!F20</f>
        <v>11564</v>
      </c>
      <c r="E20">
        <f>'R'!I20</f>
        <v>11602</v>
      </c>
      <c r="F20">
        <f>'R'!L20</f>
        <v>11995.70893824355</v>
      </c>
      <c r="G20">
        <f>'R'!O20</f>
        <v>0</v>
      </c>
      <c r="H20">
        <f>'R'!R20</f>
        <v>11548</v>
      </c>
      <c r="I20" s="116">
        <f>'R'!Y20</f>
        <v>0</v>
      </c>
    </row>
    <row r="21" spans="1:9">
      <c r="A21">
        <f>'R'!A21</f>
        <v>0</v>
      </c>
      <c r="B21" t="s">
        <v>292</v>
      </c>
      <c r="C21">
        <f>'R'!C21</f>
        <v>11626.03706926033</v>
      </c>
      <c r="D21">
        <f>'R'!F21</f>
        <v>11564</v>
      </c>
      <c r="E21">
        <f>'R'!I21</f>
        <v>11602</v>
      </c>
      <c r="F21">
        <f>'R'!L21</f>
        <v>11995.70893824365</v>
      </c>
      <c r="G21">
        <f>'R'!O21</f>
        <v>0</v>
      </c>
      <c r="H21">
        <f>'R'!R21</f>
        <v>11548</v>
      </c>
      <c r="I21" s="116">
        <f>'R'!Y21</f>
        <v>0</v>
      </c>
    </row>
    <row r="22" spans="1:9">
      <c r="A22">
        <f>'R'!A22</f>
        <v>0</v>
      </c>
      <c r="B22" t="s">
        <v>290</v>
      </c>
      <c r="C22">
        <f>'R'!C22</f>
        <v>11626.03706926033</v>
      </c>
      <c r="D22">
        <f>'R'!F22</f>
        <v>11564</v>
      </c>
      <c r="E22">
        <f>'R'!I22</f>
        <v>11602</v>
      </c>
      <c r="F22">
        <f>'R'!L22</f>
        <v>11995.70893824365</v>
      </c>
      <c r="G22">
        <f>'R'!O22</f>
        <v>0</v>
      </c>
      <c r="H22">
        <f>'R'!R22</f>
        <v>11461</v>
      </c>
      <c r="I22" s="116">
        <f>'R'!Y22</f>
        <v>0</v>
      </c>
    </row>
    <row r="23" spans="1:9">
      <c r="A23">
        <f>'R'!A23</f>
        <v>0</v>
      </c>
      <c r="B23" t="s">
        <v>282</v>
      </c>
      <c r="C23">
        <f>'R'!C23</f>
        <v>10166.483125274943</v>
      </c>
      <c r="D23">
        <f>'R'!F23</f>
        <v>10431</v>
      </c>
      <c r="E23">
        <f>'R'!I23</f>
        <v>10425</v>
      </c>
      <c r="F23">
        <f>'R'!L23</f>
        <v>10438.517476406219</v>
      </c>
      <c r="G23">
        <f>'R'!O23</f>
        <v>10177</v>
      </c>
      <c r="H23">
        <f>'R'!R23</f>
        <v>10274</v>
      </c>
      <c r="I23" s="116">
        <f>'R'!Y23</f>
        <v>0</v>
      </c>
    </row>
    <row r="24" spans="1:9">
      <c r="A24">
        <f>'R'!A24</f>
        <v>0</v>
      </c>
      <c r="B24" t="s">
        <v>456</v>
      </c>
      <c r="C24">
        <f>'R'!C24</f>
        <v>11204.896753388282</v>
      </c>
      <c r="D24">
        <f>'R'!F24</f>
        <v>11590</v>
      </c>
      <c r="E24">
        <f>'R'!I24</f>
        <v>11587</v>
      </c>
      <c r="F24">
        <f>'R'!L24</f>
        <v>11450.751449098989</v>
      </c>
      <c r="G24">
        <f>'R'!O24</f>
        <v>11186</v>
      </c>
      <c r="H24">
        <f>'R'!R24</f>
        <v>11344</v>
      </c>
      <c r="I24" s="116">
        <f>'R'!Y24</f>
        <v>0</v>
      </c>
    </row>
    <row r="25" spans="1:9">
      <c r="A25">
        <f>'R'!A25</f>
        <v>0</v>
      </c>
      <c r="B25" t="s">
        <v>284</v>
      </c>
      <c r="C25">
        <f>'R'!C25</f>
        <v>11035.389839962188</v>
      </c>
      <c r="D25">
        <f>'R'!F25</f>
        <v>10989</v>
      </c>
      <c r="E25">
        <f>'R'!I25</f>
        <v>11014</v>
      </c>
      <c r="F25">
        <f>'R'!L25</f>
        <v>11261.829575676351</v>
      </c>
      <c r="G25">
        <f>'R'!O25</f>
        <v>11044</v>
      </c>
      <c r="H25">
        <f>'R'!R25</f>
        <v>10684</v>
      </c>
      <c r="I25" s="116">
        <f>'R'!Y25</f>
        <v>0</v>
      </c>
    </row>
    <row r="26" spans="1:9">
      <c r="A26">
        <f>'R'!A26</f>
        <v>0</v>
      </c>
      <c r="B26" t="s">
        <v>285</v>
      </c>
      <c r="C26">
        <f>'R'!C26</f>
        <v>10430.779128711938</v>
      </c>
      <c r="D26">
        <f>'R'!F26</f>
        <v>10972</v>
      </c>
      <c r="E26">
        <f>'R'!I26</f>
        <v>10966</v>
      </c>
      <c r="F26">
        <f>'R'!L26</f>
        <v>10902.67497611466</v>
      </c>
      <c r="G26">
        <f>'R'!O26</f>
        <v>10639</v>
      </c>
      <c r="H26">
        <f>'R'!R26</f>
        <v>10747</v>
      </c>
      <c r="I26" s="116">
        <f>'R'!Y26</f>
        <v>0</v>
      </c>
    </row>
    <row r="27" spans="1:9">
      <c r="A27">
        <f>'R'!A27</f>
        <v>0</v>
      </c>
      <c r="B27" t="s">
        <v>286</v>
      </c>
      <c r="C27">
        <f>'R'!C27</f>
        <v>9366.7480928703299</v>
      </c>
      <c r="D27">
        <f>'R'!F27</f>
        <v>9538</v>
      </c>
      <c r="E27">
        <f>'R'!I27</f>
        <v>9531</v>
      </c>
      <c r="F27">
        <f>'R'!L27</f>
        <v>9588.2505528908587</v>
      </c>
      <c r="G27">
        <f>'R'!O27</f>
        <v>9419</v>
      </c>
      <c r="H27">
        <f>'R'!R27</f>
        <v>9585</v>
      </c>
      <c r="I27" s="116">
        <f>'R'!Y27</f>
        <v>0</v>
      </c>
    </row>
    <row r="28" spans="1:9">
      <c r="A28">
        <f>'R'!A28</f>
        <v>0</v>
      </c>
      <c r="B28" t="s">
        <v>287</v>
      </c>
      <c r="C28">
        <f>'R'!C28</f>
        <v>8028.3285466124171</v>
      </c>
      <c r="D28">
        <f>'R'!F28</f>
        <v>8059</v>
      </c>
      <c r="E28">
        <f>'R'!I28</f>
        <v>8055</v>
      </c>
      <c r="F28">
        <f>'R'!L28</f>
        <v>8293.0409630453032</v>
      </c>
      <c r="G28">
        <f>'R'!O28</f>
        <v>7992</v>
      </c>
      <c r="H28">
        <f>'R'!R28</f>
        <v>8089</v>
      </c>
      <c r="I28" s="116">
        <f>'R'!Y28</f>
        <v>0</v>
      </c>
    </row>
    <row r="29" spans="1:9">
      <c r="A29">
        <f>'R'!A29</f>
        <v>0</v>
      </c>
      <c r="B29" t="s">
        <v>293</v>
      </c>
      <c r="C29">
        <f>'R'!C29</f>
        <v>8698.956160670863</v>
      </c>
      <c r="D29">
        <f>'R'!F29</f>
        <v>8943</v>
      </c>
      <c r="E29">
        <f>'R'!I29</f>
        <v>8939</v>
      </c>
      <c r="F29">
        <f>'R'!L29</f>
        <v>9076.4427814605297</v>
      </c>
      <c r="G29">
        <f>'R'!O29</f>
        <v>8846</v>
      </c>
      <c r="H29">
        <f>'R'!R29</f>
        <v>8985</v>
      </c>
      <c r="I29" s="116">
        <f>'R'!Y29</f>
        <v>0</v>
      </c>
    </row>
    <row r="30" spans="1:9">
      <c r="A30">
        <f>'R'!A30</f>
        <v>0</v>
      </c>
      <c r="B30" t="s">
        <v>294</v>
      </c>
      <c r="C30">
        <f>'R'!C30</f>
        <v>7204.8270241150658</v>
      </c>
      <c r="D30">
        <f>'R'!F30</f>
        <v>7350</v>
      </c>
      <c r="E30">
        <f>'R'!I30</f>
        <v>7346</v>
      </c>
      <c r="F30">
        <f>'R'!L30</f>
        <v>7767.9889719023276</v>
      </c>
      <c r="G30">
        <f>'R'!O30</f>
        <v>7351</v>
      </c>
      <c r="H30">
        <f>'R'!R30</f>
        <v>7471</v>
      </c>
      <c r="I30" s="116">
        <f>'R'!Y30</f>
        <v>0</v>
      </c>
    </row>
    <row r="31" spans="1:9">
      <c r="A31">
        <f>'R'!A31</f>
        <v>0</v>
      </c>
      <c r="B31" t="str">
        <f>'R'!B56</f>
        <v>Sensible Coil Load (Wh,th)</v>
      </c>
      <c r="C31">
        <f>'R'!C56</f>
        <v>0</v>
      </c>
      <c r="D31">
        <f>'R'!F56</f>
        <v>0</v>
      </c>
      <c r="E31">
        <f>'R'!I56</f>
        <v>0</v>
      </c>
      <c r="F31">
        <f>'R'!L56</f>
        <v>0</v>
      </c>
      <c r="G31">
        <f>'R'!O56</f>
        <v>0</v>
      </c>
      <c r="H31">
        <f>'R'!R56</f>
        <v>0</v>
      </c>
      <c r="I31" s="116">
        <f>'R'!Y31</f>
        <v>0</v>
      </c>
    </row>
    <row r="32" spans="1:9">
      <c r="A32">
        <f>'R'!A32</f>
        <v>0</v>
      </c>
      <c r="B32">
        <f>'R'!B57</f>
        <v>0</v>
      </c>
      <c r="C32" t="str">
        <f>'R'!C57</f>
        <v>TRNSYS</v>
      </c>
      <c r="D32" t="str">
        <f>'R'!F57</f>
        <v>DOE-2.2</v>
      </c>
      <c r="E32" t="str">
        <f>'R'!I57</f>
        <v>DOE21E-E</v>
      </c>
      <c r="F32" t="str">
        <f>'R'!L57</f>
        <v>Energy+</v>
      </c>
      <c r="G32" t="str">
        <f>'R'!O57</f>
        <v>CODYRUN</v>
      </c>
      <c r="H32" t="str">
        <f>'R'!R57</f>
        <v>HOT3000</v>
      </c>
      <c r="I32" s="116">
        <f>'R'!Y32</f>
        <v>0</v>
      </c>
    </row>
    <row r="33" spans="1:9">
      <c r="A33">
        <f>'R'!A33</f>
        <v>0</v>
      </c>
      <c r="B33">
        <f>'R'!B58</f>
        <v>0</v>
      </c>
      <c r="C33" t="s">
        <v>569</v>
      </c>
      <c r="D33" t="s">
        <v>570</v>
      </c>
      <c r="E33" t="s">
        <v>573</v>
      </c>
      <c r="F33" t="s">
        <v>617</v>
      </c>
      <c r="G33" t="s">
        <v>571</v>
      </c>
      <c r="H33" t="s">
        <v>572</v>
      </c>
      <c r="I33" s="116" t="str">
        <f>'R'!Y33</f>
        <v>Your Software</v>
      </c>
    </row>
    <row r="34" spans="1:9">
      <c r="A34">
        <f>'R'!A34</f>
        <v>0</v>
      </c>
      <c r="B34" t="s">
        <v>276</v>
      </c>
      <c r="C34">
        <f>'R'!C59</f>
        <v>23277.4</v>
      </c>
      <c r="D34">
        <f>'R'!F59</f>
        <v>23203</v>
      </c>
      <c r="E34">
        <f>'R'!I59</f>
        <v>23205</v>
      </c>
      <c r="F34">
        <f>'R'!L59</f>
        <v>23463.175508715332</v>
      </c>
      <c r="G34">
        <f>'R'!O59</f>
        <v>23457</v>
      </c>
      <c r="H34">
        <f>'R'!R59</f>
        <v>22908</v>
      </c>
      <c r="I34" s="116">
        <f>'R'!Y34</f>
        <v>0</v>
      </c>
    </row>
    <row r="35" spans="1:9">
      <c r="A35">
        <f>'R'!A35</f>
        <v>0</v>
      </c>
      <c r="B35" t="s">
        <v>277</v>
      </c>
      <c r="C35">
        <f>'R'!C60</f>
        <v>23094.3</v>
      </c>
      <c r="D35">
        <f>'R'!F60</f>
        <v>23080</v>
      </c>
      <c r="E35">
        <f>'R'!I60</f>
        <v>23119</v>
      </c>
      <c r="F35">
        <f>'R'!L60</f>
        <v>23145.065142337222</v>
      </c>
      <c r="G35">
        <f>'R'!O60</f>
        <v>23078</v>
      </c>
      <c r="H35">
        <f>'R'!R60</f>
        <v>22649</v>
      </c>
      <c r="I35" s="116">
        <f>'R'!Y35</f>
        <v>0</v>
      </c>
    </row>
    <row r="36" spans="1:9">
      <c r="A36">
        <f>'R'!A36</f>
        <v>0</v>
      </c>
      <c r="B36" t="s">
        <v>278</v>
      </c>
      <c r="C36">
        <f>'R'!C61</f>
        <v>31315.599999999999</v>
      </c>
      <c r="D36">
        <f>'R'!F61</f>
        <v>31119</v>
      </c>
      <c r="E36">
        <f>'R'!I61</f>
        <v>31072</v>
      </c>
      <c r="F36">
        <f>'R'!L61</f>
        <v>31528.725409228056</v>
      </c>
      <c r="G36">
        <f>'R'!O61</f>
        <v>31134</v>
      </c>
      <c r="H36">
        <f>'R'!R61</f>
        <v>30967</v>
      </c>
      <c r="I36" s="116">
        <f>'R'!Y36</f>
        <v>0</v>
      </c>
    </row>
    <row r="37" spans="1:9">
      <c r="A37">
        <f>'R'!A37</f>
        <v>0</v>
      </c>
      <c r="B37" t="s">
        <v>279</v>
      </c>
      <c r="C37">
        <f>'R'!C62</f>
        <v>33226.1</v>
      </c>
      <c r="D37">
        <f>'R'!F62</f>
        <v>33410</v>
      </c>
      <c r="E37">
        <f>'R'!I62</f>
        <v>34490</v>
      </c>
      <c r="F37">
        <f>'R'!L62</f>
        <v>34692.193139345552</v>
      </c>
      <c r="G37">
        <f>'R'!O62</f>
        <v>33997</v>
      </c>
      <c r="H37">
        <f>'R'!R62</f>
        <v>33421</v>
      </c>
      <c r="I37" s="116">
        <f>'R'!Y37</f>
        <v>0</v>
      </c>
    </row>
    <row r="38" spans="1:9">
      <c r="A38">
        <f>'R'!A38</f>
        <v>0</v>
      </c>
      <c r="B38" t="s">
        <v>449</v>
      </c>
      <c r="C38">
        <f>'R'!C63</f>
        <v>32828.9</v>
      </c>
      <c r="D38">
        <f>'R'!F63</f>
        <v>32086</v>
      </c>
      <c r="E38">
        <f>'R'!I63</f>
        <v>32086</v>
      </c>
      <c r="F38">
        <f>'R'!L63</f>
        <v>32737.101095173057</v>
      </c>
      <c r="G38">
        <f>'R'!O63</f>
        <v>32940</v>
      </c>
      <c r="H38">
        <f>'R'!R63</f>
        <v>32180</v>
      </c>
      <c r="I38" s="116">
        <f>'R'!Y38</f>
        <v>0</v>
      </c>
    </row>
    <row r="39" spans="1:9">
      <c r="A39">
        <f>'R'!A39</f>
        <v>0</v>
      </c>
      <c r="B39" t="s">
        <v>280</v>
      </c>
      <c r="C39">
        <f>'R'!C64</f>
        <v>23277.5</v>
      </c>
      <c r="D39">
        <f>'R'!F64</f>
        <v>23203</v>
      </c>
      <c r="E39">
        <f>'R'!I64</f>
        <v>23205</v>
      </c>
      <c r="F39">
        <f>'R'!L64</f>
        <v>23463.135987177277</v>
      </c>
      <c r="G39">
        <f>'R'!O64</f>
        <v>23457</v>
      </c>
      <c r="H39">
        <f>'R'!R64</f>
        <v>22876</v>
      </c>
      <c r="I39" s="116">
        <f>'R'!Y39</f>
        <v>0</v>
      </c>
    </row>
    <row r="40" spans="1:9">
      <c r="A40">
        <f>'R'!A40</f>
        <v>0</v>
      </c>
      <c r="B40" t="s">
        <v>281</v>
      </c>
      <c r="C40">
        <f>'R'!C65</f>
        <v>32060.7</v>
      </c>
      <c r="D40">
        <f>'R'!F65</f>
        <v>32111</v>
      </c>
      <c r="E40">
        <f>'R'!I65</f>
        <v>32065</v>
      </c>
      <c r="F40">
        <f>'R'!L65</f>
        <v>32409.297602015555</v>
      </c>
      <c r="G40">
        <f>'R'!O65</f>
        <v>31981</v>
      </c>
      <c r="H40">
        <f>'R'!R65</f>
        <v>32179</v>
      </c>
      <c r="I40" s="116">
        <f>'R'!Y40</f>
        <v>0</v>
      </c>
    </row>
    <row r="41" spans="1:9">
      <c r="A41">
        <f>'R'!A41</f>
        <v>0</v>
      </c>
      <c r="B41" t="s">
        <v>291</v>
      </c>
      <c r="C41">
        <f>'R'!C66</f>
        <v>23277.5</v>
      </c>
      <c r="D41">
        <f>'R'!F66</f>
        <v>23203</v>
      </c>
      <c r="E41">
        <f>'R'!I66</f>
        <v>23205</v>
      </c>
      <c r="F41">
        <f>'R'!L66</f>
        <v>23463.122178536581</v>
      </c>
      <c r="G41">
        <f>'R'!O66</f>
        <v>0</v>
      </c>
      <c r="H41">
        <f>'R'!R66</f>
        <v>22877</v>
      </c>
      <c r="I41" s="116">
        <f>'R'!Y41</f>
        <v>0</v>
      </c>
    </row>
    <row r="42" spans="1:9">
      <c r="A42">
        <f>'R'!A42</f>
        <v>0</v>
      </c>
      <c r="B42" t="s">
        <v>288</v>
      </c>
      <c r="C42">
        <f>'R'!C67</f>
        <v>23265.7</v>
      </c>
      <c r="D42">
        <f>'R'!F67</f>
        <v>23203</v>
      </c>
      <c r="E42">
        <f>'R'!I67</f>
        <v>23205</v>
      </c>
      <c r="F42">
        <f>'R'!L67</f>
        <v>0</v>
      </c>
      <c r="G42">
        <f>'R'!O67</f>
        <v>0</v>
      </c>
      <c r="H42">
        <f>'R'!R67</f>
        <v>22893</v>
      </c>
      <c r="I42" s="116">
        <f>'R'!Y42</f>
        <v>0</v>
      </c>
    </row>
    <row r="43" spans="1:9">
      <c r="A43">
        <f>'R'!A43</f>
        <v>0</v>
      </c>
      <c r="B43" t="s">
        <v>289</v>
      </c>
      <c r="C43">
        <f>'R'!C68</f>
        <v>23277.4</v>
      </c>
      <c r="D43">
        <f>'R'!F68</f>
        <v>23203</v>
      </c>
      <c r="E43">
        <f>'R'!I68</f>
        <v>23205</v>
      </c>
      <c r="F43">
        <f>'R'!L68</f>
        <v>23463.175508715362</v>
      </c>
      <c r="G43">
        <f>'R'!O68</f>
        <v>0</v>
      </c>
      <c r="H43">
        <f>'R'!R68</f>
        <v>22893</v>
      </c>
      <c r="I43" s="116">
        <f>'R'!Y43</f>
        <v>0</v>
      </c>
    </row>
    <row r="44" spans="1:9">
      <c r="A44">
        <f>'R'!A44</f>
        <v>0</v>
      </c>
      <c r="B44" t="s">
        <v>292</v>
      </c>
      <c r="C44">
        <f>'R'!C69</f>
        <v>23277.4</v>
      </c>
      <c r="D44">
        <f>'R'!F69</f>
        <v>23203</v>
      </c>
      <c r="E44">
        <f>'R'!I69</f>
        <v>23205</v>
      </c>
      <c r="F44">
        <f>'R'!L69</f>
        <v>23463.175508715834</v>
      </c>
      <c r="G44">
        <f>'R'!O69</f>
        <v>0</v>
      </c>
      <c r="H44">
        <f>'R'!R69</f>
        <v>22893</v>
      </c>
      <c r="I44" s="116">
        <f>'R'!Y44</f>
        <v>0</v>
      </c>
    </row>
    <row r="45" spans="1:9">
      <c r="A45">
        <f>'R'!A45</f>
        <v>0</v>
      </c>
      <c r="B45" t="s">
        <v>290</v>
      </c>
      <c r="C45">
        <f>'R'!C70</f>
        <v>23277.4</v>
      </c>
      <c r="D45">
        <f>'R'!F70</f>
        <v>23203</v>
      </c>
      <c r="E45">
        <f>'R'!I70</f>
        <v>23205</v>
      </c>
      <c r="F45">
        <f>'R'!L70</f>
        <v>23463.175508715638</v>
      </c>
      <c r="G45">
        <f>'R'!O70</f>
        <v>0</v>
      </c>
      <c r="H45">
        <f>'R'!R70</f>
        <v>22875</v>
      </c>
      <c r="I45" s="116">
        <f>'R'!Y45</f>
        <v>0</v>
      </c>
    </row>
    <row r="46" spans="1:9">
      <c r="A46">
        <f>'R'!A46</f>
        <v>0</v>
      </c>
      <c r="B46" t="s">
        <v>282</v>
      </c>
      <c r="C46">
        <f>'R'!C71</f>
        <v>19549.2</v>
      </c>
      <c r="D46">
        <f>'R'!F71</f>
        <v>20009</v>
      </c>
      <c r="E46">
        <f>'R'!I71</f>
        <v>20008</v>
      </c>
      <c r="F46">
        <f>'R'!L71</f>
        <v>19795.91045822786</v>
      </c>
      <c r="G46">
        <f>'R'!O71</f>
        <v>18776</v>
      </c>
      <c r="H46">
        <f>'R'!R71</f>
        <v>19818</v>
      </c>
      <c r="I46" s="116">
        <f>'R'!Y46</f>
        <v>0</v>
      </c>
    </row>
    <row r="47" spans="1:9">
      <c r="A47">
        <f>'R'!A47</f>
        <v>0</v>
      </c>
      <c r="B47" t="s">
        <v>456</v>
      </c>
      <c r="C47">
        <f>'R'!C72</f>
        <v>21729.200000000001</v>
      </c>
      <c r="D47">
        <f>'R'!F72</f>
        <v>22513</v>
      </c>
      <c r="E47">
        <f>'R'!I72</f>
        <v>22513</v>
      </c>
      <c r="F47">
        <f>'R'!L72</f>
        <v>22227.967030350082</v>
      </c>
      <c r="G47">
        <f>'R'!O72</f>
        <v>21121</v>
      </c>
      <c r="H47">
        <f>'R'!R72</f>
        <v>22269</v>
      </c>
      <c r="I47" s="116">
        <f>'R'!Y47</f>
        <v>0</v>
      </c>
    </row>
    <row r="48" spans="1:9">
      <c r="A48">
        <f>'R'!A48</f>
        <v>0</v>
      </c>
      <c r="B48" t="s">
        <v>284</v>
      </c>
      <c r="C48">
        <f>'R'!C73</f>
        <v>19415.900000000001</v>
      </c>
      <c r="D48">
        <f>'R'!F73</f>
        <v>20159</v>
      </c>
      <c r="E48">
        <f>'R'!I73</f>
        <v>20154</v>
      </c>
      <c r="F48">
        <f>'R'!L73</f>
        <v>20012.575134381084</v>
      </c>
      <c r="G48">
        <f>'R'!O73</f>
        <v>18969</v>
      </c>
      <c r="H48">
        <f>'R'!R73</f>
        <v>20378</v>
      </c>
      <c r="I48" s="116">
        <f>'R'!Y48</f>
        <v>0</v>
      </c>
    </row>
    <row r="49" spans="1:9">
      <c r="A49">
        <f>'R'!A49</f>
        <v>0</v>
      </c>
      <c r="B49" t="s">
        <v>285</v>
      </c>
      <c r="C49">
        <f>'R'!C74</f>
        <v>19488.8</v>
      </c>
      <c r="D49">
        <f>'R'!F74</f>
        <v>20137</v>
      </c>
      <c r="E49">
        <f>'R'!I74</f>
        <v>20135</v>
      </c>
      <c r="F49">
        <f>'R'!L74</f>
        <v>19901.871442357831</v>
      </c>
      <c r="G49">
        <f>'R'!O74</f>
        <v>18785</v>
      </c>
      <c r="H49">
        <f>'R'!R74</f>
        <v>19920</v>
      </c>
      <c r="I49" s="116">
        <f>'R'!Y49</f>
        <v>0</v>
      </c>
    </row>
    <row r="50" spans="1:9">
      <c r="A50">
        <f>'R'!A50</f>
        <v>0</v>
      </c>
      <c r="B50" t="s">
        <v>286</v>
      </c>
      <c r="C50">
        <f>'R'!C75</f>
        <v>19702.7</v>
      </c>
      <c r="D50">
        <f>'R'!F75</f>
        <v>19850</v>
      </c>
      <c r="E50">
        <f>'R'!I75</f>
        <v>19850</v>
      </c>
      <c r="F50">
        <f>'R'!L75</f>
        <v>19599.053827255666</v>
      </c>
      <c r="G50">
        <f>'R'!O75</f>
        <v>18759</v>
      </c>
      <c r="H50">
        <f>'R'!R75</f>
        <v>19661</v>
      </c>
      <c r="I50" s="116">
        <f>'R'!Y50</f>
        <v>0</v>
      </c>
    </row>
    <row r="51" spans="1:9">
      <c r="A51">
        <f>'R'!A51</f>
        <v>0</v>
      </c>
      <c r="B51" t="s">
        <v>287</v>
      </c>
      <c r="C51">
        <f>'R'!C76</f>
        <v>19834.099999999999</v>
      </c>
      <c r="D51">
        <f>'R'!F76</f>
        <v>19576</v>
      </c>
      <c r="E51">
        <f>'R'!I76</f>
        <v>19575</v>
      </c>
      <c r="F51">
        <f>'R'!L76</f>
        <v>19656.140169213584</v>
      </c>
      <c r="G51">
        <f>'R'!O76</f>
        <v>18776</v>
      </c>
      <c r="H51">
        <f>'R'!R76</f>
        <v>19626</v>
      </c>
      <c r="I51" s="116">
        <f>'R'!Y51</f>
        <v>0</v>
      </c>
    </row>
    <row r="52" spans="1:9">
      <c r="A52">
        <f>'R'!A52</f>
        <v>0</v>
      </c>
      <c r="B52" t="s">
        <v>293</v>
      </c>
      <c r="C52">
        <f>'R'!C77</f>
        <v>19575</v>
      </c>
      <c r="D52">
        <f>'R'!F77</f>
        <v>19766</v>
      </c>
      <c r="E52">
        <f>'R'!I77</f>
        <v>19766</v>
      </c>
      <c r="F52">
        <f>'R'!L77</f>
        <v>19812.465045646444</v>
      </c>
      <c r="G52">
        <f>'R'!O77</f>
        <v>18794</v>
      </c>
      <c r="H52">
        <f>'R'!R77</f>
        <v>19799</v>
      </c>
      <c r="I52" s="116">
        <f>'R'!Y52</f>
        <v>0</v>
      </c>
    </row>
    <row r="53" spans="1:9">
      <c r="A53">
        <f>'R'!A53</f>
        <v>0</v>
      </c>
      <c r="B53" t="s">
        <v>294</v>
      </c>
      <c r="C53">
        <f>'R'!C78</f>
        <v>20075.2</v>
      </c>
      <c r="D53">
        <f>'R'!F78</f>
        <v>19475</v>
      </c>
      <c r="E53">
        <f>'R'!I78</f>
        <v>19474</v>
      </c>
      <c r="F53">
        <f>'R'!L78</f>
        <v>19538.760936243307</v>
      </c>
      <c r="G53">
        <f>'R'!O78</f>
        <v>18759</v>
      </c>
      <c r="H53">
        <f>'R'!R78</f>
        <v>19497</v>
      </c>
      <c r="I53" s="116">
        <f>'R'!Y53</f>
        <v>0</v>
      </c>
    </row>
    <row r="54" spans="1:9">
      <c r="A54">
        <f>'R'!A56</f>
        <v>0</v>
      </c>
      <c r="B54" t="str">
        <f>'R'!B79</f>
        <v>Latent Coil Load (Wh,th)</v>
      </c>
      <c r="C54">
        <f>'R'!C79</f>
        <v>0</v>
      </c>
      <c r="D54">
        <f>'R'!F79</f>
        <v>0</v>
      </c>
      <c r="E54">
        <f>'R'!I79</f>
        <v>0</v>
      </c>
      <c r="F54">
        <f>'R'!L79</f>
        <v>0</v>
      </c>
      <c r="G54">
        <f>'R'!O79</f>
        <v>0</v>
      </c>
      <c r="H54">
        <f>'R'!R79</f>
        <v>0</v>
      </c>
      <c r="I54" s="116">
        <f>'R'!Y56</f>
        <v>0</v>
      </c>
    </row>
    <row r="55" spans="1:9">
      <c r="A55">
        <f>'R'!A57</f>
        <v>0</v>
      </c>
      <c r="B55">
        <f>'R'!B80</f>
        <v>0</v>
      </c>
      <c r="C55" t="str">
        <f>'R'!C80</f>
        <v>TRNSYS</v>
      </c>
      <c r="D55" t="str">
        <f>'R'!F80</f>
        <v>DOE-2.2</v>
      </c>
      <c r="E55" t="str">
        <f>'R'!I80</f>
        <v>DOE21E-E</v>
      </c>
      <c r="F55" t="str">
        <f>'R'!L80</f>
        <v>Energy+</v>
      </c>
      <c r="G55" t="str">
        <f>'R'!O80</f>
        <v>CODYRUN</v>
      </c>
      <c r="H55" t="str">
        <f>'R'!R80</f>
        <v>HOT3000</v>
      </c>
      <c r="I55" s="116">
        <f>'R'!Y57</f>
        <v>0</v>
      </c>
    </row>
    <row r="56" spans="1:9">
      <c r="A56">
        <f>'R'!A58</f>
        <v>0</v>
      </c>
      <c r="B56">
        <f>'R'!B81</f>
        <v>0</v>
      </c>
      <c r="C56" t="s">
        <v>569</v>
      </c>
      <c r="D56" t="s">
        <v>570</v>
      </c>
      <c r="E56" t="s">
        <v>573</v>
      </c>
      <c r="F56" t="s">
        <v>617</v>
      </c>
      <c r="G56" t="s">
        <v>571</v>
      </c>
      <c r="H56" t="s">
        <v>572</v>
      </c>
      <c r="I56" s="116" t="str">
        <f>'R'!Y58</f>
        <v>Your Software</v>
      </c>
    </row>
    <row r="57" spans="1:9">
      <c r="A57">
        <f>'R'!A59</f>
        <v>0</v>
      </c>
      <c r="B57" t="s">
        <v>276</v>
      </c>
      <c r="C57">
        <f>'R'!C82</f>
        <v>9635.7000000000007</v>
      </c>
      <c r="D57">
        <f>'R'!F82</f>
        <v>9304</v>
      </c>
      <c r="E57">
        <f>'R'!I82</f>
        <v>9394</v>
      </c>
      <c r="F57">
        <f>'R'!L82</f>
        <v>10595.085021236</v>
      </c>
      <c r="G57">
        <f>'R'!O82</f>
        <v>10375</v>
      </c>
      <c r="H57">
        <f>'R'!R82</f>
        <v>10392</v>
      </c>
      <c r="I57" s="116">
        <f>'R'!Y59</f>
        <v>0</v>
      </c>
    </row>
    <row r="58" spans="1:9">
      <c r="A58">
        <f>'R'!A60</f>
        <v>0</v>
      </c>
      <c r="B58" t="s">
        <v>277</v>
      </c>
      <c r="C58">
        <f>'R'!C83</f>
        <v>15907</v>
      </c>
      <c r="D58">
        <f>'R'!F83</f>
        <v>15139</v>
      </c>
      <c r="E58">
        <f>'R'!I83</f>
        <v>15270</v>
      </c>
      <c r="F58">
        <f>'R'!L83</f>
        <v>16644.30725183864</v>
      </c>
      <c r="G58">
        <f>'R'!O83</f>
        <v>16112</v>
      </c>
      <c r="H58">
        <f>'R'!R83</f>
        <v>16077</v>
      </c>
      <c r="I58" s="116">
        <f>'R'!Y60</f>
        <v>0</v>
      </c>
    </row>
    <row r="59" spans="1:9">
      <c r="A59">
        <f>'R'!A61</f>
        <v>0</v>
      </c>
      <c r="B59" t="s">
        <v>278</v>
      </c>
      <c r="C59">
        <f>'R'!C84</f>
        <v>23147.3</v>
      </c>
      <c r="D59">
        <f>'R'!F84</f>
        <v>31497</v>
      </c>
      <c r="E59">
        <f>'R'!I84</f>
        <v>31503</v>
      </c>
      <c r="F59">
        <f>'R'!L84</f>
        <v>22756.174991940276</v>
      </c>
      <c r="G59">
        <f>'R'!O84</f>
        <v>21697</v>
      </c>
      <c r="H59">
        <f>'R'!R84</f>
        <v>21929</v>
      </c>
      <c r="I59" s="116">
        <f>'R'!Y61</f>
        <v>0</v>
      </c>
    </row>
    <row r="60" spans="1:9">
      <c r="A60">
        <f>'R'!A62</f>
        <v>0</v>
      </c>
      <c r="B60" t="s">
        <v>279</v>
      </c>
      <c r="C60">
        <f>'R'!C85</f>
        <v>27825.200000000001</v>
      </c>
      <c r="D60">
        <f>'R'!F85</f>
        <v>26941</v>
      </c>
      <c r="E60">
        <f>'R'!I85</f>
        <v>40809</v>
      </c>
      <c r="F60">
        <f>'R'!L85</f>
        <v>27596.700484402721</v>
      </c>
      <c r="G60">
        <f>'R'!O85</f>
        <v>28184</v>
      </c>
      <c r="H60">
        <f>'R'!R85</f>
        <v>27488</v>
      </c>
      <c r="I60" s="116">
        <f>'R'!Y62</f>
        <v>0</v>
      </c>
    </row>
    <row r="61" spans="1:9">
      <c r="A61">
        <f>'R'!A63</f>
        <v>0</v>
      </c>
      <c r="B61" t="s">
        <v>449</v>
      </c>
      <c r="C61">
        <f>'R'!C86</f>
        <v>24848.3</v>
      </c>
      <c r="D61">
        <f>'R'!F86</f>
        <v>30451</v>
      </c>
      <c r="E61">
        <f>'R'!I86</f>
        <v>36011</v>
      </c>
      <c r="F61">
        <f>'R'!L86</f>
        <v>24435.765246347612</v>
      </c>
      <c r="G61">
        <f>'R'!O86</f>
        <v>24225</v>
      </c>
      <c r="H61">
        <f>'R'!R86</f>
        <v>23794</v>
      </c>
      <c r="I61" s="116">
        <f>'R'!Y63</f>
        <v>0</v>
      </c>
    </row>
    <row r="62" spans="1:9">
      <c r="A62">
        <f>'R'!A64</f>
        <v>0</v>
      </c>
      <c r="B62" t="s">
        <v>280</v>
      </c>
      <c r="C62">
        <f>'R'!C87</f>
        <v>9751.26</v>
      </c>
      <c r="D62">
        <f>'R'!F87</f>
        <v>9303</v>
      </c>
      <c r="E62">
        <f>'R'!I87</f>
        <v>9393</v>
      </c>
      <c r="F62">
        <f>'R'!L87</f>
        <v>10595.642610246778</v>
      </c>
      <c r="G62">
        <f>'R'!O87</f>
        <v>10755</v>
      </c>
      <c r="H62">
        <f>'R'!R87</f>
        <v>11603</v>
      </c>
      <c r="I62" s="116">
        <f>'R'!Y64</f>
        <v>0</v>
      </c>
    </row>
    <row r="63" spans="1:9">
      <c r="A63">
        <f>'R'!A65</f>
        <v>0</v>
      </c>
      <c r="B63" t="s">
        <v>281</v>
      </c>
      <c r="C63">
        <f>'R'!C88</f>
        <v>9275.16</v>
      </c>
      <c r="D63">
        <f>'R'!F88</f>
        <v>10026</v>
      </c>
      <c r="E63">
        <f>'R'!I88</f>
        <v>10336</v>
      </c>
      <c r="F63">
        <f>'R'!L88</f>
        <v>8907.2199211284442</v>
      </c>
      <c r="G63">
        <f>'R'!O88</f>
        <v>8859</v>
      </c>
      <c r="H63">
        <f>'R'!R88</f>
        <v>8934</v>
      </c>
      <c r="I63" s="116">
        <f>'R'!Y65</f>
        <v>0</v>
      </c>
    </row>
    <row r="64" spans="1:9">
      <c r="A64">
        <f>'R'!A66</f>
        <v>0</v>
      </c>
      <c r="B64" t="s">
        <v>291</v>
      </c>
      <c r="C64">
        <f>'R'!C89</f>
        <v>27075.3</v>
      </c>
      <c r="D64">
        <f>'R'!F89</f>
        <v>25578</v>
      </c>
      <c r="E64">
        <f>'R'!I89</f>
        <v>32396</v>
      </c>
      <c r="F64">
        <f>'R'!L89</f>
        <v>26767.676668863169</v>
      </c>
      <c r="G64">
        <f>'R'!O89</f>
        <v>0</v>
      </c>
      <c r="H64">
        <f>'R'!R89</f>
        <v>26645</v>
      </c>
      <c r="I64" s="116">
        <f>'R'!Y66</f>
        <v>0</v>
      </c>
    </row>
    <row r="65" spans="1:14">
      <c r="A65">
        <f>'R'!A67</f>
        <v>0</v>
      </c>
      <c r="B65" t="s">
        <v>288</v>
      </c>
      <c r="C65">
        <f>'R'!C90</f>
        <v>11138.9</v>
      </c>
      <c r="D65">
        <f>'R'!F90</f>
        <v>9304</v>
      </c>
      <c r="E65">
        <f>'R'!I90</f>
        <v>9391</v>
      </c>
      <c r="F65">
        <f>'R'!L90</f>
        <v>0</v>
      </c>
      <c r="G65">
        <f>'R'!O90</f>
        <v>0</v>
      </c>
      <c r="H65">
        <f>'R'!R90</f>
        <v>10377</v>
      </c>
      <c r="I65" s="116">
        <f>'R'!Y67</f>
        <v>0</v>
      </c>
      <c r="K65" s="465"/>
      <c r="L65" s="465"/>
      <c r="M65" s="465"/>
      <c r="N65" s="465"/>
    </row>
    <row r="66" spans="1:14">
      <c r="A66">
        <f>'R'!A68</f>
        <v>0</v>
      </c>
      <c r="B66" t="s">
        <v>289</v>
      </c>
      <c r="C66">
        <f>'R'!C91</f>
        <v>9751.0400000000009</v>
      </c>
      <c r="D66">
        <f>'R'!F91</f>
        <v>9304</v>
      </c>
      <c r="E66">
        <f>'R'!I91</f>
        <v>9394</v>
      </c>
      <c r="F66">
        <f>'R'!L91</f>
        <v>10595.085021235862</v>
      </c>
      <c r="G66">
        <f>'R'!O91</f>
        <v>0</v>
      </c>
      <c r="H66">
        <f>'R'!R91</f>
        <v>10394</v>
      </c>
      <c r="I66" s="116">
        <f>'R'!Y68</f>
        <v>0</v>
      </c>
    </row>
    <row r="67" spans="1:14">
      <c r="A67">
        <f>'R'!A69</f>
        <v>0</v>
      </c>
      <c r="B67" t="s">
        <v>292</v>
      </c>
      <c r="C67">
        <f>'R'!C92</f>
        <v>9635.7000000000007</v>
      </c>
      <c r="D67">
        <f>'R'!F92</f>
        <v>11105</v>
      </c>
      <c r="E67">
        <f>'R'!I92</f>
        <v>11101</v>
      </c>
      <c r="F67">
        <f>'R'!L92</f>
        <v>11375.324837683278</v>
      </c>
      <c r="G67">
        <f>'R'!O92</f>
        <v>0</v>
      </c>
      <c r="H67">
        <f>'R'!R92</f>
        <v>10394</v>
      </c>
      <c r="I67" s="116">
        <f>'R'!Y69</f>
        <v>0</v>
      </c>
    </row>
    <row r="68" spans="1:14">
      <c r="A68">
        <f>'R'!A70</f>
        <v>0</v>
      </c>
      <c r="B68" t="s">
        <v>290</v>
      </c>
      <c r="C68">
        <f>'R'!C93</f>
        <v>9635.7000000000007</v>
      </c>
      <c r="D68">
        <f>'R'!F93</f>
        <v>9304</v>
      </c>
      <c r="E68">
        <f>'R'!I93</f>
        <v>9391</v>
      </c>
      <c r="F68">
        <f>'R'!L93</f>
        <v>10595.085021235916</v>
      </c>
      <c r="G68">
        <f>'R'!O93</f>
        <v>0</v>
      </c>
      <c r="H68">
        <f>'R'!R93</f>
        <v>10139</v>
      </c>
      <c r="I68" s="116">
        <f>'R'!Y70</f>
        <v>0</v>
      </c>
    </row>
    <row r="69" spans="1:14">
      <c r="A69">
        <f>'R'!A71</f>
        <v>0</v>
      </c>
      <c r="B69" t="s">
        <v>282</v>
      </c>
      <c r="C69">
        <f>'R'!C94</f>
        <v>7965.46</v>
      </c>
      <c r="D69">
        <f>'R'!F94</f>
        <v>7733</v>
      </c>
      <c r="E69">
        <f>'R'!I94</f>
        <v>7733</v>
      </c>
      <c r="F69">
        <f>'R'!L94</f>
        <v>7908.957215893055</v>
      </c>
      <c r="G69">
        <f>'R'!O94</f>
        <v>7805</v>
      </c>
      <c r="H69">
        <f>'R'!R94</f>
        <v>7762</v>
      </c>
      <c r="I69" s="116">
        <f>'R'!Y71</f>
        <v>0</v>
      </c>
    </row>
    <row r="70" spans="1:14">
      <c r="A70">
        <f>'R'!A72</f>
        <v>0</v>
      </c>
      <c r="B70" t="s">
        <v>456</v>
      </c>
      <c r="C70">
        <f>'R'!C95</f>
        <v>8892.56</v>
      </c>
      <c r="D70">
        <f>'R'!F95</f>
        <v>8723</v>
      </c>
      <c r="E70">
        <f>'R'!I95</f>
        <v>8723</v>
      </c>
      <c r="F70">
        <f>'R'!L95</f>
        <v>9041.0375311837779</v>
      </c>
      <c r="G70">
        <f>'R'!O95</f>
        <v>8850</v>
      </c>
      <c r="H70">
        <f>'R'!R95</f>
        <v>8874</v>
      </c>
      <c r="I70" s="116">
        <f>'R'!Y72</f>
        <v>0</v>
      </c>
    </row>
    <row r="71" spans="1:14">
      <c r="A71">
        <f>'R'!A73</f>
        <v>0</v>
      </c>
      <c r="B71" t="s">
        <v>284</v>
      </c>
      <c r="C71">
        <f>'R'!C96</f>
        <v>7913.7</v>
      </c>
      <c r="D71">
        <f>'R'!F96</f>
        <v>7785</v>
      </c>
      <c r="E71">
        <f>'R'!I96</f>
        <v>7785</v>
      </c>
      <c r="F71">
        <f>'R'!L96</f>
        <v>7785.2261007561392</v>
      </c>
      <c r="G71">
        <f>'R'!O96</f>
        <v>7726</v>
      </c>
      <c r="H71">
        <f>'R'!R96</f>
        <v>7964</v>
      </c>
      <c r="I71" s="116">
        <f>'R'!Y73</f>
        <v>0</v>
      </c>
    </row>
    <row r="72" spans="1:14">
      <c r="A72">
        <f>'R'!A74</f>
        <v>0</v>
      </c>
      <c r="B72" t="s">
        <v>285</v>
      </c>
      <c r="C72">
        <f>'R'!C97</f>
        <v>7906.7</v>
      </c>
      <c r="D72">
        <f>'R'!F97</f>
        <v>7760</v>
      </c>
      <c r="E72">
        <f>'R'!I97</f>
        <v>7760</v>
      </c>
      <c r="F72">
        <f>'R'!L97</f>
        <v>7850.1655950411105</v>
      </c>
      <c r="G72">
        <f>'R'!O97</f>
        <v>7743</v>
      </c>
      <c r="H72">
        <f>'R'!R97</f>
        <v>7745</v>
      </c>
      <c r="I72" s="116">
        <f>'R'!Y74</f>
        <v>0</v>
      </c>
    </row>
    <row r="73" spans="1:14">
      <c r="A73">
        <f>'R'!A75</f>
        <v>0</v>
      </c>
      <c r="B73" t="s">
        <v>286</v>
      </c>
      <c r="C73">
        <f>'R'!C98</f>
        <v>8037.07</v>
      </c>
      <c r="D73">
        <f>'R'!F98</f>
        <v>7663</v>
      </c>
      <c r="E73">
        <f>'R'!I98</f>
        <v>7663</v>
      </c>
      <c r="F73">
        <f>'R'!L98</f>
        <v>8006.3954937051394</v>
      </c>
      <c r="G73">
        <f>'R'!O98</f>
        <v>7938</v>
      </c>
      <c r="H73">
        <f>'R'!R98</f>
        <v>7820</v>
      </c>
      <c r="I73" s="116">
        <f>'R'!Y75</f>
        <v>0</v>
      </c>
    </row>
    <row r="74" spans="1:14">
      <c r="A74">
        <f>'R'!A76</f>
        <v>0</v>
      </c>
      <c r="B74" t="s">
        <v>287</v>
      </c>
      <c r="C74">
        <f>'R'!C99</f>
        <v>1.6431299999999999E-11</v>
      </c>
      <c r="D74">
        <f>'R'!F99</f>
        <v>0</v>
      </c>
      <c r="E74">
        <f>'R'!I99</f>
        <v>0</v>
      </c>
      <c r="F74">
        <f>'R'!L99</f>
        <v>110.17833767868278</v>
      </c>
      <c r="G74">
        <f>'R'!O99</f>
        <v>179</v>
      </c>
      <c r="H74">
        <f>'R'!R99</f>
        <v>35.9</v>
      </c>
      <c r="I74" s="116">
        <f>'R'!Y76</f>
        <v>0</v>
      </c>
    </row>
    <row r="75" spans="1:14">
      <c r="A75">
        <f>'R'!A77</f>
        <v>0</v>
      </c>
      <c r="B75" t="s">
        <v>293</v>
      </c>
      <c r="C75">
        <f>'R'!C100</f>
        <v>627.18600000000004</v>
      </c>
      <c r="D75">
        <f>'R'!F100</f>
        <v>0</v>
      </c>
      <c r="E75">
        <f>'R'!I100</f>
        <v>0</v>
      </c>
      <c r="F75">
        <f>'R'!L100</f>
        <v>1636.3589513277166</v>
      </c>
      <c r="G75">
        <f>'R'!O100</f>
        <v>845</v>
      </c>
      <c r="H75">
        <f>'R'!R100</f>
        <v>1181</v>
      </c>
      <c r="I75" s="116">
        <f>'R'!Y77</f>
        <v>0</v>
      </c>
    </row>
    <row r="76" spans="1:14">
      <c r="A76">
        <f>'R'!A78</f>
        <v>0</v>
      </c>
      <c r="B76" t="s">
        <v>294</v>
      </c>
      <c r="C76">
        <f>'R'!C101</f>
        <v>1.81188E-11</v>
      </c>
      <c r="D76">
        <f>'R'!F101</f>
        <v>0</v>
      </c>
      <c r="E76">
        <f>'R'!I101</f>
        <v>0</v>
      </c>
      <c r="F76">
        <f>'R'!L101</f>
        <v>8.2784228854709169E-12</v>
      </c>
      <c r="G76">
        <f>'R'!O101</f>
        <v>4</v>
      </c>
      <c r="H76">
        <f>'R'!R101</f>
        <v>0</v>
      </c>
      <c r="I76" s="116">
        <f>'R'!Y78</f>
        <v>0</v>
      </c>
    </row>
    <row r="77" spans="1:14">
      <c r="A77">
        <f>'R'!A79</f>
        <v>0</v>
      </c>
      <c r="B77" t="str">
        <f>'R'!B31</f>
        <v>Senstible + Latent Coil Load (Wh,th)</v>
      </c>
      <c r="C77">
        <f>'R'!C31</f>
        <v>0</v>
      </c>
      <c r="D77">
        <f>'R'!F31</f>
        <v>0</v>
      </c>
      <c r="E77">
        <f>'R'!I31</f>
        <v>0</v>
      </c>
      <c r="F77">
        <f>'R'!L31</f>
        <v>0</v>
      </c>
      <c r="G77">
        <f>'R'!O31</f>
        <v>0</v>
      </c>
      <c r="H77">
        <f>'R'!R31</f>
        <v>0</v>
      </c>
      <c r="I77" s="116">
        <f>'R'!Y79</f>
        <v>0</v>
      </c>
    </row>
    <row r="78" spans="1:14">
      <c r="A78">
        <f>'R'!A80</f>
        <v>0</v>
      </c>
      <c r="B78">
        <f>'R'!B32</f>
        <v>0</v>
      </c>
      <c r="C78" t="str">
        <f>'R'!C32</f>
        <v>TRNSYS</v>
      </c>
      <c r="D78" t="str">
        <f>'R'!F32</f>
        <v>DOE-2.2</v>
      </c>
      <c r="E78" t="str">
        <f>'R'!I32</f>
        <v>DOE21E-E</v>
      </c>
      <c r="F78" t="str">
        <f>'R'!L32</f>
        <v>Energy+</v>
      </c>
      <c r="G78" t="str">
        <f>'R'!O32</f>
        <v>CODYRUN</v>
      </c>
      <c r="H78" t="str">
        <f>'R'!R32</f>
        <v>HOT3000</v>
      </c>
      <c r="I78" s="116">
        <f>'R'!Y80</f>
        <v>0</v>
      </c>
    </row>
    <row r="79" spans="1:14">
      <c r="A79">
        <f>'R'!A81</f>
        <v>0</v>
      </c>
      <c r="B79">
        <f>'R'!B33</f>
        <v>0</v>
      </c>
      <c r="C79" t="s">
        <v>569</v>
      </c>
      <c r="D79" t="s">
        <v>570</v>
      </c>
      <c r="E79" t="s">
        <v>573</v>
      </c>
      <c r="F79" t="s">
        <v>617</v>
      </c>
      <c r="G79" t="s">
        <v>571</v>
      </c>
      <c r="H79" t="s">
        <v>572</v>
      </c>
      <c r="I79" s="116" t="str">
        <f>'R'!Y81</f>
        <v>Your Software</v>
      </c>
    </row>
    <row r="80" spans="1:14">
      <c r="A80">
        <f>'R'!A82</f>
        <v>0</v>
      </c>
      <c r="B80" t="s">
        <v>276</v>
      </c>
      <c r="C80">
        <f>'R'!C34</f>
        <v>32174.05</v>
      </c>
      <c r="D80">
        <f>'R'!F34</f>
        <v>31401</v>
      </c>
      <c r="E80">
        <f>'R'!I34</f>
        <v>31455</v>
      </c>
      <c r="F80">
        <f>'R'!L34</f>
        <v>33057.473802984721</v>
      </c>
      <c r="G80">
        <f>'R'!O34</f>
        <v>32502</v>
      </c>
      <c r="H80">
        <f>'R'!R34</f>
        <v>32072</v>
      </c>
      <c r="I80" s="116">
        <f>'R'!Y82</f>
        <v>0</v>
      </c>
    </row>
    <row r="81" spans="1:9">
      <c r="A81">
        <f>'R'!A83</f>
        <v>0</v>
      </c>
      <c r="B81" t="s">
        <v>277</v>
      </c>
      <c r="C81">
        <f>'R'!C35</f>
        <v>37328</v>
      </c>
      <c r="D81">
        <f>'R'!F35</f>
        <v>36750</v>
      </c>
      <c r="E81">
        <f>'R'!I35</f>
        <v>37033</v>
      </c>
      <c r="F81">
        <f>'R'!L35</f>
        <v>37372.520867808336</v>
      </c>
      <c r="G81">
        <f>'R'!O35</f>
        <v>37261</v>
      </c>
      <c r="H81">
        <f>'R'!R35</f>
        <v>36991</v>
      </c>
      <c r="I81" s="116">
        <f>'R'!Y83</f>
        <v>0</v>
      </c>
    </row>
    <row r="82" spans="1:9">
      <c r="A82">
        <f>'R'!A84</f>
        <v>0</v>
      </c>
      <c r="B82" t="s">
        <v>278</v>
      </c>
      <c r="C82">
        <f>'R'!C36</f>
        <v>40317.599999999999</v>
      </c>
      <c r="D82">
        <f>'R'!F36</f>
        <v>53813</v>
      </c>
      <c r="E82">
        <f>'R'!I36</f>
        <v>53823</v>
      </c>
      <c r="F82">
        <f>'R'!L36</f>
        <v>40097.015442985277</v>
      </c>
      <c r="G82">
        <f>'R'!O36</f>
        <v>39904</v>
      </c>
      <c r="H82">
        <f>'R'!R36</f>
        <v>39920</v>
      </c>
      <c r="I82" s="116">
        <f>'R'!Y84</f>
        <v>0</v>
      </c>
    </row>
    <row r="83" spans="1:9">
      <c r="A83">
        <f>'R'!A85</f>
        <v>0</v>
      </c>
      <c r="B83" t="s">
        <v>279</v>
      </c>
      <c r="C83">
        <f>'R'!C37</f>
        <v>43492</v>
      </c>
      <c r="D83">
        <f>'R'!F37</f>
        <v>43628</v>
      </c>
      <c r="E83">
        <f>'R'!I37</f>
        <v>64572</v>
      </c>
      <c r="F83">
        <f>'R'!L37</f>
        <v>43597.944904315278</v>
      </c>
      <c r="G83">
        <f>'R'!O37</f>
        <v>43978</v>
      </c>
      <c r="H83">
        <f>'R'!R37</f>
        <v>42415</v>
      </c>
      <c r="I83" s="116">
        <f>'R'!Y85</f>
        <v>0</v>
      </c>
    </row>
    <row r="84" spans="1:9">
      <c r="A84">
        <f>'R'!A86</f>
        <v>0</v>
      </c>
      <c r="B84" t="s">
        <v>449</v>
      </c>
      <c r="C84">
        <f>'R'!C38</f>
        <v>41651.699999999997</v>
      </c>
      <c r="D84">
        <f>'R'!F38</f>
        <v>50819</v>
      </c>
      <c r="E84">
        <f>'R'!I38</f>
        <v>59549</v>
      </c>
      <c r="F84">
        <f>'R'!L38</f>
        <v>41608.473712680003</v>
      </c>
      <c r="G84">
        <f>'R'!O38</f>
        <v>41366</v>
      </c>
      <c r="H84">
        <f>'R'!R38</f>
        <v>41132</v>
      </c>
      <c r="I84" s="116">
        <f>'R'!Y86</f>
        <v>0</v>
      </c>
    </row>
    <row r="85" spans="1:9">
      <c r="A85">
        <f>'R'!A87</f>
        <v>0</v>
      </c>
      <c r="B85" t="s">
        <v>280</v>
      </c>
      <c r="C85">
        <f>'R'!C39</f>
        <v>32091.73</v>
      </c>
      <c r="D85">
        <f>'R'!F39</f>
        <v>31401</v>
      </c>
      <c r="E85">
        <f>'R'!I39</f>
        <v>31454</v>
      </c>
      <c r="F85">
        <f>'R'!L39</f>
        <v>33057.448725815004</v>
      </c>
      <c r="G85">
        <f>'R'!O39</f>
        <v>32502</v>
      </c>
      <c r="H85">
        <f>'R'!R39</f>
        <v>32077</v>
      </c>
      <c r="I85" s="116">
        <f>'R'!Y87</f>
        <v>0</v>
      </c>
    </row>
    <row r="86" spans="1:9">
      <c r="A86">
        <f>'R'!A88</f>
        <v>0</v>
      </c>
      <c r="B86" t="s">
        <v>281</v>
      </c>
      <c r="C86">
        <f>'R'!C40</f>
        <v>38857.160000000003</v>
      </c>
      <c r="D86">
        <f>'R'!F40</f>
        <v>40613</v>
      </c>
      <c r="E86">
        <f>'R'!I40</f>
        <v>41019</v>
      </c>
      <c r="F86">
        <f>'R'!L40</f>
        <v>38691.48626768306</v>
      </c>
      <c r="G86">
        <f>'R'!O40</f>
        <v>38322</v>
      </c>
      <c r="H86">
        <f>'R'!R40</f>
        <v>38451</v>
      </c>
      <c r="I86" s="116">
        <f>'R'!Y88</f>
        <v>0</v>
      </c>
    </row>
    <row r="87" spans="1:9">
      <c r="A87">
        <f>'R'!A89</f>
        <v>0</v>
      </c>
      <c r="B87" t="s">
        <v>291</v>
      </c>
      <c r="C87">
        <f>'R'!C41</f>
        <v>41178.6</v>
      </c>
      <c r="D87">
        <f>'R'!F41</f>
        <v>40543</v>
      </c>
      <c r="E87">
        <f>'R'!I41</f>
        <v>49838</v>
      </c>
      <c r="F87">
        <f>'R'!L41</f>
        <v>41112.205984313332</v>
      </c>
      <c r="G87">
        <f>'R'!O41</f>
        <v>0</v>
      </c>
      <c r="H87">
        <f>'R'!R41</f>
        <v>40774</v>
      </c>
      <c r="I87" s="116">
        <f>'R'!Y89</f>
        <v>0</v>
      </c>
    </row>
    <row r="88" spans="1:9">
      <c r="A88">
        <f>'R'!A90</f>
        <v>0</v>
      </c>
      <c r="B88" t="s">
        <v>288</v>
      </c>
      <c r="C88">
        <f>'R'!C42</f>
        <v>32091.73</v>
      </c>
      <c r="D88">
        <f>'R'!F42</f>
        <v>31401</v>
      </c>
      <c r="E88">
        <f>'R'!I42</f>
        <v>31455</v>
      </c>
      <c r="F88">
        <f>'R'!L42</f>
        <v>0</v>
      </c>
      <c r="G88">
        <f>'R'!O42</f>
        <v>0</v>
      </c>
      <c r="H88">
        <f>'R'!R42</f>
        <v>32073</v>
      </c>
      <c r="I88" s="116">
        <f>'R'!Y90</f>
        <v>0</v>
      </c>
    </row>
    <row r="89" spans="1:9">
      <c r="A89">
        <f>'R'!A91</f>
        <v>0</v>
      </c>
      <c r="B89" t="s">
        <v>289</v>
      </c>
      <c r="C89">
        <f>'R'!C43</f>
        <v>32174.05</v>
      </c>
      <c r="D89">
        <f>'R'!F43</f>
        <v>31401</v>
      </c>
      <c r="E89">
        <f>'R'!I43</f>
        <v>31455</v>
      </c>
      <c r="F89">
        <f>'R'!L43</f>
        <v>33057.473802984721</v>
      </c>
      <c r="G89">
        <f>'R'!O43</f>
        <v>0</v>
      </c>
      <c r="H89">
        <f>'R'!R43</f>
        <v>32072</v>
      </c>
      <c r="I89" s="116">
        <f>'R'!Y91</f>
        <v>0</v>
      </c>
    </row>
    <row r="90" spans="1:9">
      <c r="A90">
        <f>'R'!A92</f>
        <v>0</v>
      </c>
      <c r="B90" t="s">
        <v>292</v>
      </c>
      <c r="C90">
        <f>'R'!C44</f>
        <v>32174.05</v>
      </c>
      <c r="D90">
        <f>'R'!F44</f>
        <v>31401</v>
      </c>
      <c r="E90">
        <f>'R'!I44</f>
        <v>31455</v>
      </c>
      <c r="F90">
        <f>'R'!L44</f>
        <v>33057.473802984998</v>
      </c>
      <c r="G90">
        <f>'R'!O44</f>
        <v>0</v>
      </c>
      <c r="H90">
        <f>'R'!R44</f>
        <v>32072</v>
      </c>
      <c r="I90" s="116">
        <f>'R'!Y92</f>
        <v>0</v>
      </c>
    </row>
    <row r="91" spans="1:9">
      <c r="A91">
        <f>'R'!A93</f>
        <v>0</v>
      </c>
      <c r="B91" t="s">
        <v>290</v>
      </c>
      <c r="C91">
        <f>'R'!C45</f>
        <v>32174.05</v>
      </c>
      <c r="D91">
        <f>'R'!F45</f>
        <v>31401</v>
      </c>
      <c r="E91">
        <f>'R'!I45</f>
        <v>31455</v>
      </c>
      <c r="F91">
        <f>'R'!L45</f>
        <v>33057.473802984998</v>
      </c>
      <c r="G91">
        <f>'R'!O45</f>
        <v>0</v>
      </c>
      <c r="H91">
        <f>'R'!R45</f>
        <v>31777</v>
      </c>
      <c r="I91" s="116">
        <f>'R'!Y93</f>
        <v>0</v>
      </c>
    </row>
    <row r="92" spans="1:9">
      <c r="A92">
        <f>'R'!A94</f>
        <v>0</v>
      </c>
      <c r="B92" t="s">
        <v>282</v>
      </c>
      <c r="C92">
        <f>'R'!C46</f>
        <v>27485.51</v>
      </c>
      <c r="D92">
        <f>'R'!F46</f>
        <v>27707</v>
      </c>
      <c r="E92">
        <f>'R'!I46</f>
        <v>27706</v>
      </c>
      <c r="F92">
        <f>'R'!L46</f>
        <v>27656.420100725223</v>
      </c>
      <c r="G92">
        <f>'R'!O46</f>
        <v>26567</v>
      </c>
      <c r="H92">
        <f>'R'!R46</f>
        <v>27555</v>
      </c>
      <c r="I92" s="116">
        <f>'R'!Y94</f>
        <v>0</v>
      </c>
    </row>
    <row r="93" spans="1:9">
      <c r="A93">
        <f>'R'!A95</f>
        <v>0</v>
      </c>
      <c r="B93" t="s">
        <v>456</v>
      </c>
      <c r="C93">
        <f>'R'!C47</f>
        <v>30593.05</v>
      </c>
      <c r="D93">
        <f>'R'!F47</f>
        <v>31188</v>
      </c>
      <c r="E93">
        <f>'R'!I47</f>
        <v>31188</v>
      </c>
      <c r="F93">
        <f>'R'!L47</f>
        <v>31194.549336175001</v>
      </c>
      <c r="G93">
        <f>'R'!O47</f>
        <v>29948</v>
      </c>
      <c r="H93">
        <f>'R'!R47</f>
        <v>31097</v>
      </c>
      <c r="I93" s="116">
        <f>'R'!Y95</f>
        <v>0</v>
      </c>
    </row>
    <row r="94" spans="1:9">
      <c r="A94">
        <f>'R'!A96</f>
        <v>0</v>
      </c>
      <c r="B94" t="s">
        <v>284</v>
      </c>
      <c r="C94">
        <f>'R'!C48</f>
        <v>27329.599999999999</v>
      </c>
      <c r="D94">
        <f>'R'!F48</f>
        <v>27878</v>
      </c>
      <c r="E94">
        <f>'R'!I48</f>
        <v>27878</v>
      </c>
      <c r="F94">
        <f>'R'!L48</f>
        <v>27731.07105767736</v>
      </c>
      <c r="G94">
        <f>'R'!O48</f>
        <v>26675</v>
      </c>
      <c r="H94">
        <f>'R'!R48</f>
        <v>28343</v>
      </c>
      <c r="I94" s="116">
        <f>'R'!Y96</f>
        <v>0</v>
      </c>
    </row>
    <row r="95" spans="1:9">
      <c r="A95">
        <f>'R'!A97</f>
        <v>0</v>
      </c>
      <c r="B95" t="s">
        <v>285</v>
      </c>
      <c r="C95">
        <f>'R'!C49</f>
        <v>27383.59</v>
      </c>
      <c r="D95">
        <f>'R'!F49</f>
        <v>27868</v>
      </c>
      <c r="E95">
        <f>'R'!I49</f>
        <v>27866</v>
      </c>
      <c r="F95">
        <f>'R'!L49</f>
        <v>27698.162017040719</v>
      </c>
      <c r="G95">
        <f>'R'!O49</f>
        <v>26514</v>
      </c>
      <c r="H95">
        <f>'R'!R49</f>
        <v>27636</v>
      </c>
      <c r="I95" s="116">
        <f>'R'!Y97</f>
        <v>0</v>
      </c>
    </row>
    <row r="96" spans="1:9">
      <c r="A96">
        <f>'R'!A98</f>
        <v>0</v>
      </c>
      <c r="B96" t="s">
        <v>286</v>
      </c>
      <c r="C96">
        <f>'R'!C50</f>
        <v>27739.77</v>
      </c>
      <c r="D96">
        <f>'R'!F50</f>
        <v>27466</v>
      </c>
      <c r="E96">
        <f>'R'!I50</f>
        <v>27466</v>
      </c>
      <c r="F96">
        <f>'R'!L50</f>
        <v>27564.341467625833</v>
      </c>
      <c r="G96">
        <f>'R'!O50</f>
        <v>26683</v>
      </c>
      <c r="H96">
        <f>'R'!R50</f>
        <v>27462</v>
      </c>
      <c r="I96" s="116">
        <f>'R'!Y98</f>
        <v>0</v>
      </c>
    </row>
    <row r="97" spans="1:16">
      <c r="A97">
        <f>'R'!A99</f>
        <v>0</v>
      </c>
      <c r="B97" t="s">
        <v>287</v>
      </c>
      <c r="C97">
        <f>'R'!C51</f>
        <v>19834.099999999999</v>
      </c>
      <c r="D97">
        <f>'R'!F51</f>
        <v>19576</v>
      </c>
      <c r="E97">
        <f>'R'!I51</f>
        <v>19575</v>
      </c>
      <c r="F97">
        <f>'R'!L51</f>
        <v>19656.140169213584</v>
      </c>
      <c r="G97">
        <f>'R'!O51</f>
        <v>18776</v>
      </c>
      <c r="H97">
        <f>'R'!R51</f>
        <v>19626</v>
      </c>
      <c r="I97" s="116">
        <f>'R'!Y99</f>
        <v>0</v>
      </c>
    </row>
    <row r="98" spans="1:16">
      <c r="A98">
        <f>'R'!A100</f>
        <v>0</v>
      </c>
      <c r="B98" t="s">
        <v>293</v>
      </c>
      <c r="C98">
        <f>'R'!C52</f>
        <v>19575</v>
      </c>
      <c r="D98">
        <f>'R'!F52</f>
        <v>19766</v>
      </c>
      <c r="E98">
        <f>'R'!I52</f>
        <v>19766</v>
      </c>
      <c r="F98">
        <f>'R'!L52</f>
        <v>19812.465045646444</v>
      </c>
      <c r="G98">
        <f>'R'!O52</f>
        <v>18794</v>
      </c>
      <c r="H98">
        <f>'R'!R52</f>
        <v>19799</v>
      </c>
      <c r="I98" s="116">
        <f>'R'!Y100</f>
        <v>0</v>
      </c>
    </row>
    <row r="99" spans="1:16">
      <c r="A99">
        <f>'R'!A101</f>
        <v>0</v>
      </c>
      <c r="B99" t="s">
        <v>294</v>
      </c>
      <c r="C99">
        <f>'R'!C53</f>
        <v>20075.2</v>
      </c>
      <c r="D99">
        <f>'R'!F53</f>
        <v>19475</v>
      </c>
      <c r="E99">
        <f>'R'!I53</f>
        <v>19474</v>
      </c>
      <c r="F99">
        <f>'R'!L53</f>
        <v>19538.760936243307</v>
      </c>
      <c r="G99">
        <f>'R'!O53</f>
        <v>18764</v>
      </c>
      <c r="H99">
        <f>'R'!R53</f>
        <v>19497</v>
      </c>
      <c r="I99" s="116">
        <f>'R'!Y101</f>
        <v>0</v>
      </c>
    </row>
    <row r="100" spans="1:16">
      <c r="A100">
        <f>'R'!A102</f>
        <v>0</v>
      </c>
      <c r="B100">
        <f>'R'!B102</f>
        <v>0</v>
      </c>
      <c r="C100">
        <f>'R'!C102</f>
        <v>0</v>
      </c>
      <c r="D100">
        <f>'R'!F102</f>
        <v>0</v>
      </c>
      <c r="E100">
        <f>'R'!I102</f>
        <v>0</v>
      </c>
      <c r="F100">
        <f>'R'!L102</f>
        <v>0</v>
      </c>
      <c r="G100">
        <f>'R'!O102</f>
        <v>0</v>
      </c>
      <c r="H100">
        <f>'R'!R102</f>
        <v>0</v>
      </c>
      <c r="I100" s="116">
        <f>'R'!Y102</f>
        <v>0</v>
      </c>
    </row>
    <row r="101" spans="1:16">
      <c r="A101">
        <f>'R'!A103</f>
        <v>0</v>
      </c>
      <c r="B101">
        <f>'R'!B103</f>
        <v>0</v>
      </c>
      <c r="I101" s="116">
        <f>'R'!Y103</f>
        <v>0</v>
      </c>
      <c r="K101" s="497"/>
      <c r="L101" s="497"/>
      <c r="M101" s="497"/>
      <c r="N101" s="497"/>
      <c r="P101" s="120"/>
    </row>
    <row r="102" spans="1:16">
      <c r="A102">
        <f>'R'!A104</f>
        <v>0</v>
      </c>
      <c r="B102">
        <f>'R'!B104</f>
        <v>0</v>
      </c>
      <c r="I102" s="116">
        <f>'R'!Y104</f>
        <v>0</v>
      </c>
      <c r="K102" s="120"/>
      <c r="L102" s="120"/>
      <c r="M102" s="120"/>
      <c r="N102" s="120"/>
      <c r="O102" s="120"/>
      <c r="P102" s="498"/>
    </row>
    <row r="103" spans="1:16">
      <c r="A103">
        <f>'R'!A105</f>
        <v>0</v>
      </c>
      <c r="B103">
        <f>'R'!B105</f>
        <v>0</v>
      </c>
      <c r="I103" s="116">
        <f>'R'!Y105</f>
        <v>0</v>
      </c>
      <c r="K103" s="120"/>
      <c r="L103" s="120"/>
      <c r="M103" s="120"/>
      <c r="N103" s="120"/>
      <c r="O103" s="120"/>
      <c r="P103" s="498"/>
    </row>
    <row r="104" spans="1:16">
      <c r="A104" t="e">
        <f>'R'!#REF!</f>
        <v>#REF!</v>
      </c>
      <c r="B104" t="e">
        <f>'R'!#REF!</f>
        <v>#REF!</v>
      </c>
      <c r="I104" s="116" t="e">
        <f>'R'!#REF!</f>
        <v>#REF!</v>
      </c>
      <c r="K104" s="120"/>
      <c r="L104" s="120"/>
      <c r="M104" s="120"/>
      <c r="N104" s="120"/>
      <c r="O104" s="120"/>
      <c r="P104" s="499"/>
    </row>
    <row r="105" spans="1:16">
      <c r="A105" t="e">
        <f>'R'!#REF!</f>
        <v>#REF!</v>
      </c>
      <c r="B105" t="e">
        <f>'R'!#REF!</f>
        <v>#REF!</v>
      </c>
      <c r="I105" s="116" t="e">
        <f>'R'!#REF!</f>
        <v>#REF!</v>
      </c>
      <c r="K105" s="120"/>
      <c r="L105" s="120"/>
      <c r="M105" s="120"/>
      <c r="N105" s="120"/>
      <c r="O105" s="120"/>
      <c r="P105" s="499"/>
    </row>
    <row r="106" spans="1:16">
      <c r="A106">
        <f>'R'!A106</f>
        <v>0</v>
      </c>
      <c r="B106">
        <f>'R'!B106</f>
        <v>0</v>
      </c>
      <c r="I106" s="116">
        <f>'R'!Y106</f>
        <v>0</v>
      </c>
      <c r="K106" s="120"/>
      <c r="L106" s="120"/>
      <c r="M106" s="120"/>
      <c r="N106" s="120"/>
      <c r="O106" s="120"/>
      <c r="P106" s="498"/>
    </row>
    <row r="107" spans="1:16">
      <c r="A107">
        <f>'R'!A107</f>
        <v>0</v>
      </c>
      <c r="B107">
        <f>'R'!B107</f>
        <v>0</v>
      </c>
      <c r="I107" s="116">
        <f>'R'!Y107</f>
        <v>0</v>
      </c>
      <c r="K107" s="497"/>
      <c r="L107" s="497"/>
      <c r="M107" s="497"/>
      <c r="N107" s="497"/>
    </row>
    <row r="108" spans="1:16">
      <c r="A108">
        <f>'R'!A108</f>
        <v>0</v>
      </c>
      <c r="B108">
        <f>'R'!B108</f>
        <v>0</v>
      </c>
      <c r="I108" s="116">
        <f>'R'!Y108</f>
        <v>0</v>
      </c>
      <c r="K108" s="120"/>
      <c r="L108" s="120"/>
      <c r="M108" s="120"/>
      <c r="N108" s="120"/>
      <c r="O108" s="120"/>
      <c r="P108" s="498"/>
    </row>
    <row r="109" spans="1:16">
      <c r="A109">
        <f>'R'!A109</f>
        <v>0</v>
      </c>
      <c r="B109">
        <f>'R'!B109</f>
        <v>0</v>
      </c>
      <c r="I109" s="116">
        <f>'R'!Y109</f>
        <v>0</v>
      </c>
      <c r="K109" s="120"/>
      <c r="L109" s="120"/>
      <c r="M109" s="120"/>
      <c r="N109" s="120"/>
      <c r="O109" s="120"/>
      <c r="P109" s="498"/>
    </row>
    <row r="110" spans="1:16">
      <c r="A110">
        <f>'R'!A110</f>
        <v>0</v>
      </c>
      <c r="B110">
        <f>'R'!B110</f>
        <v>0</v>
      </c>
      <c r="I110" s="116">
        <f>'R'!Y110</f>
        <v>0</v>
      </c>
      <c r="P110" s="499"/>
    </row>
    <row r="111" spans="1:16">
      <c r="A111">
        <f>'R'!A111</f>
        <v>0</v>
      </c>
      <c r="B111" t="str">
        <f>'R'!B111</f>
        <v>Hourly Integrated Maxima and Minima (COP2)</v>
      </c>
      <c r="I111" s="116">
        <f>'R'!Y111</f>
        <v>0</v>
      </c>
      <c r="P111" s="498"/>
    </row>
    <row r="112" spans="1:16">
      <c r="A112">
        <f>'R'!A112</f>
        <v>0</v>
      </c>
      <c r="B112" t="str">
        <f>'R'!B112</f>
        <v>Maximum COP2</v>
      </c>
      <c r="C112">
        <f>'R'!J112</f>
        <v>0</v>
      </c>
      <c r="D112">
        <f>'R'!F112</f>
        <v>0</v>
      </c>
      <c r="E112">
        <f>'R'!I112</f>
        <v>0</v>
      </c>
      <c r="F112">
        <f>'R'!L112</f>
        <v>0</v>
      </c>
      <c r="G112">
        <f>'R'!O112</f>
        <v>0</v>
      </c>
      <c r="H112">
        <f>'R'!R112</f>
        <v>0</v>
      </c>
      <c r="I112" s="116">
        <f>'R'!Y112</f>
        <v>0</v>
      </c>
    </row>
    <row r="113" spans="1:9">
      <c r="A113">
        <f>'R'!A113</f>
        <v>0</v>
      </c>
      <c r="B113">
        <f>'R'!B113</f>
        <v>0</v>
      </c>
      <c r="C113" t="str">
        <f>'R'!C113</f>
        <v>TRNSYS</v>
      </c>
      <c r="D113" t="str">
        <f>'R'!F113</f>
        <v>DOE-2.2</v>
      </c>
      <c r="E113" t="str">
        <f>'R'!I113</f>
        <v>DOE21E-E</v>
      </c>
      <c r="F113" t="str">
        <f>'R'!L113</f>
        <v>Energy+</v>
      </c>
      <c r="G113" t="str">
        <f>'R'!O113</f>
        <v>CODYRUN</v>
      </c>
      <c r="H113" t="str">
        <f>'R'!R113</f>
        <v>HOT3000</v>
      </c>
      <c r="I113" s="116">
        <f>'R'!Y113</f>
        <v>0</v>
      </c>
    </row>
    <row r="114" spans="1:9">
      <c r="A114">
        <f>'R'!A114</f>
        <v>0</v>
      </c>
      <c r="B114">
        <f>'R'!B114</f>
        <v>0</v>
      </c>
      <c r="C114" t="s">
        <v>569</v>
      </c>
      <c r="D114" t="s">
        <v>570</v>
      </c>
      <c r="E114" t="s">
        <v>573</v>
      </c>
      <c r="F114" t="s">
        <v>617</v>
      </c>
      <c r="G114" t="s">
        <v>571</v>
      </c>
      <c r="H114" t="s">
        <v>572</v>
      </c>
      <c r="I114" s="116" t="str">
        <f>'R'!Y114</f>
        <v>Your Software</v>
      </c>
    </row>
    <row r="115" spans="1:9">
      <c r="A115">
        <f>'R'!A115</f>
        <v>0</v>
      </c>
      <c r="B115" t="s">
        <v>276</v>
      </c>
      <c r="C115">
        <f>'R'!C115</f>
        <v>4.1683375374401095</v>
      </c>
      <c r="D115">
        <f>'R'!F115</f>
        <v>3.8690000000000002</v>
      </c>
      <c r="E115">
        <f>'R'!I115</f>
        <v>3.8570000000000002</v>
      </c>
      <c r="F115">
        <f>'R'!L115</f>
        <v>3.9231737320058229</v>
      </c>
      <c r="G115">
        <f>'R'!O115</f>
        <v>3.8706106870229005</v>
      </c>
      <c r="H115">
        <f>'R'!R115</f>
        <v>3.88</v>
      </c>
      <c r="I115" s="116">
        <f>'R'!Y115</f>
        <v>0</v>
      </c>
    </row>
    <row r="116" spans="1:9">
      <c r="A116">
        <f>'R'!A116</f>
        <v>0</v>
      </c>
      <c r="B116" t="s">
        <v>277</v>
      </c>
      <c r="C116">
        <f>'R'!C116</f>
        <v>4.1433004323979068</v>
      </c>
      <c r="D116">
        <f>'R'!F116</f>
        <v>4.141</v>
      </c>
      <c r="E116">
        <f>'R'!I116</f>
        <v>4.1280000000000001</v>
      </c>
      <c r="F116">
        <f>'R'!L116</f>
        <v>4.195435399687848</v>
      </c>
      <c r="G116">
        <f>'R'!O116</f>
        <v>4.1276400367309449</v>
      </c>
      <c r="H116">
        <f>'R'!R116</f>
        <v>4.12</v>
      </c>
      <c r="I116" s="116">
        <f>'R'!Y116</f>
        <v>0</v>
      </c>
    </row>
    <row r="117" spans="1:9">
      <c r="A117">
        <f>'R'!A117</f>
        <v>0</v>
      </c>
      <c r="B117" t="s">
        <v>278</v>
      </c>
      <c r="C117">
        <f>'R'!C117</f>
        <v>4.1683375374401095</v>
      </c>
      <c r="D117">
        <f>'R'!F117</f>
        <v>5.1429999999999998</v>
      </c>
      <c r="E117">
        <f>'R'!I117</f>
        <v>4.9669999999999996</v>
      </c>
      <c r="F117">
        <f>'R'!L117</f>
        <v>3.9647699712209121</v>
      </c>
      <c r="G117">
        <f>'R'!O117</f>
        <v>3.9433046993431025</v>
      </c>
      <c r="H117">
        <f>'R'!R117</f>
        <v>4.38</v>
      </c>
      <c r="I117" s="116">
        <f>'R'!Y117</f>
        <v>0</v>
      </c>
    </row>
    <row r="118" spans="1:9">
      <c r="A118">
        <f>'R'!A118</f>
        <v>0</v>
      </c>
      <c r="B118" t="s">
        <v>279</v>
      </c>
      <c r="C118">
        <f>'R'!C118</f>
        <v>4.1683375374401095</v>
      </c>
      <c r="D118">
        <f>'R'!F118</f>
        <v>4.109</v>
      </c>
      <c r="E118">
        <f>'R'!I118</f>
        <v>5.5949999999999998</v>
      </c>
      <c r="F118">
        <f>'R'!L118</f>
        <v>4.0961621106407797</v>
      </c>
      <c r="G118">
        <f>'R'!O118</f>
        <v>4.1219461046450672</v>
      </c>
      <c r="H118">
        <f>'R'!R118</f>
        <v>4.05</v>
      </c>
      <c r="I118" s="116">
        <f>'R'!Y118</f>
        <v>0</v>
      </c>
    </row>
    <row r="119" spans="1:9">
      <c r="A119">
        <f>'R'!A119</f>
        <v>0</v>
      </c>
      <c r="B119" t="s">
        <v>449</v>
      </c>
      <c r="C119">
        <f>'R'!C119</f>
        <v>4.1683375374401095</v>
      </c>
      <c r="D119">
        <f>'R'!F119</f>
        <v>4.6210000000000004</v>
      </c>
      <c r="E119">
        <f>'R'!I119</f>
        <v>5.3390000000000004</v>
      </c>
      <c r="F119">
        <f>'R'!L119</f>
        <v>4.0146960787866481</v>
      </c>
      <c r="G119">
        <f>'R'!O119</f>
        <v>4.0171608448415927</v>
      </c>
      <c r="H119">
        <f>'R'!R119</f>
        <v>3.95</v>
      </c>
      <c r="I119" s="116">
        <f>'R'!Y119</f>
        <v>0</v>
      </c>
    </row>
    <row r="120" spans="1:9">
      <c r="A120">
        <f>'R'!A120</f>
        <v>0</v>
      </c>
      <c r="B120" t="s">
        <v>280</v>
      </c>
      <c r="C120">
        <f>'R'!C120</f>
        <v>4.1683375374401095</v>
      </c>
      <c r="D120">
        <f>'R'!F120</f>
        <v>3.8889999999999998</v>
      </c>
      <c r="E120">
        <f>'R'!I120</f>
        <v>3.863</v>
      </c>
      <c r="F120">
        <f>'R'!L120</f>
        <v>4.3453326669500596</v>
      </c>
      <c r="G120">
        <f>'R'!O120</f>
        <v>3.9320987654320994</v>
      </c>
      <c r="H120">
        <f>'R'!R120</f>
        <v>3.88</v>
      </c>
      <c r="I120" s="116">
        <f>'R'!Y120</f>
        <v>0</v>
      </c>
    </row>
    <row r="121" spans="1:9">
      <c r="A121">
        <f>'R'!A121</f>
        <v>0</v>
      </c>
      <c r="B121" t="s">
        <v>281</v>
      </c>
      <c r="C121">
        <f>'R'!C121</f>
        <v>4.4009649556697976</v>
      </c>
      <c r="D121">
        <f>'R'!F121</f>
        <v>4.4279999999999999</v>
      </c>
      <c r="E121">
        <f>'R'!I121</f>
        <v>4.4269999999999996</v>
      </c>
      <c r="F121">
        <f>'R'!L121</f>
        <v>4.4307544621454715</v>
      </c>
      <c r="G121">
        <f>'R'!O121</f>
        <v>4.4320100031259768</v>
      </c>
      <c r="H121">
        <f>'R'!R121</f>
        <v>4.4400000000000004</v>
      </c>
      <c r="I121" s="116">
        <f>'R'!Y121</f>
        <v>0</v>
      </c>
    </row>
    <row r="122" spans="1:9">
      <c r="A122">
        <f>'R'!A122</f>
        <v>0</v>
      </c>
      <c r="B122" t="s">
        <v>291</v>
      </c>
      <c r="C122">
        <f>'R'!C122</f>
        <v>4.0769395929961423</v>
      </c>
      <c r="D122">
        <f>'R'!F122</f>
        <v>4.0880000000000001</v>
      </c>
      <c r="E122">
        <f>'R'!I122</f>
        <v>4.7759999999999998</v>
      </c>
      <c r="F122">
        <f>'R'!L122</f>
        <v>4.0961436736490233</v>
      </c>
      <c r="G122">
        <f>'R'!O122</f>
        <v>0</v>
      </c>
      <c r="H122">
        <f>'R'!R122</f>
        <v>4.05</v>
      </c>
      <c r="I122" s="116">
        <f>'R'!Y122</f>
        <v>0</v>
      </c>
    </row>
    <row r="123" spans="1:9">
      <c r="A123">
        <f>'R'!A123</f>
        <v>0</v>
      </c>
      <c r="B123" t="s">
        <v>288</v>
      </c>
      <c r="C123">
        <f>'R'!C123</f>
        <v>3.8879096164892295</v>
      </c>
      <c r="D123">
        <f>'R'!F123</f>
        <v>3.903</v>
      </c>
      <c r="E123">
        <f>'R'!I123</f>
        <v>3.855</v>
      </c>
      <c r="F123">
        <f>'R'!L123</f>
        <v>0</v>
      </c>
      <c r="G123">
        <f>'R'!O123</f>
        <v>0</v>
      </c>
      <c r="H123">
        <f>'R'!R123</f>
        <v>3.84</v>
      </c>
      <c r="I123" s="116">
        <f>'R'!Y123</f>
        <v>0</v>
      </c>
    </row>
    <row r="124" spans="1:9">
      <c r="A124">
        <f>'R'!A124</f>
        <v>0</v>
      </c>
      <c r="B124" t="s">
        <v>289</v>
      </c>
      <c r="C124">
        <f>'R'!C124</f>
        <v>3.7812884390914867</v>
      </c>
      <c r="D124">
        <f>'R'!F124</f>
        <v>3.8069999999999999</v>
      </c>
      <c r="E124">
        <f>'R'!I124</f>
        <v>3.7589999999999999</v>
      </c>
      <c r="F124">
        <f>'R'!L124</f>
        <v>3.84461438738307</v>
      </c>
      <c r="G124">
        <f>'R'!O124</f>
        <v>0</v>
      </c>
      <c r="H124">
        <f>'R'!R124</f>
        <v>3.94</v>
      </c>
      <c r="I124" s="116">
        <f>'R'!Y124</f>
        <v>0</v>
      </c>
    </row>
    <row r="125" spans="1:9">
      <c r="A125">
        <f>'R'!A125</f>
        <v>0</v>
      </c>
      <c r="B125" t="s">
        <v>292</v>
      </c>
      <c r="C125">
        <f>'R'!C125</f>
        <v>3.7812884390914867</v>
      </c>
      <c r="D125">
        <f>'R'!F125</f>
        <v>3.8050000000000002</v>
      </c>
      <c r="E125">
        <f>'R'!I125</f>
        <v>3.7589999999999999</v>
      </c>
      <c r="F125">
        <f>'R'!L125</f>
        <v>3.8044053392820052</v>
      </c>
      <c r="G125">
        <f>'R'!O125</f>
        <v>0</v>
      </c>
      <c r="H125">
        <f>'R'!R125</f>
        <v>3.93</v>
      </c>
      <c r="I125" s="116">
        <f>'R'!Y125</f>
        <v>0</v>
      </c>
    </row>
    <row r="126" spans="1:9">
      <c r="A126">
        <f>'R'!A126</f>
        <v>0</v>
      </c>
      <c r="B126" t="s">
        <v>290</v>
      </c>
      <c r="C126">
        <f>'R'!C126</f>
        <v>3.8834748713994482</v>
      </c>
      <c r="D126">
        <f>'R'!F126</f>
        <v>3.774</v>
      </c>
      <c r="E126">
        <f>'R'!I126</f>
        <v>3.7589999999999999</v>
      </c>
      <c r="F126">
        <f>'R'!L126</f>
        <v>3.8044053392820021</v>
      </c>
      <c r="G126">
        <f>'R'!O126</f>
        <v>0</v>
      </c>
      <c r="H126">
        <f>'R'!R126</f>
        <v>3.81</v>
      </c>
      <c r="I126" s="116">
        <f>'R'!Y126</f>
        <v>0</v>
      </c>
    </row>
    <row r="127" spans="1:9">
      <c r="A127">
        <f>'R'!A127</f>
        <v>0</v>
      </c>
      <c r="B127" t="s">
        <v>282</v>
      </c>
      <c r="C127">
        <f>'R'!C127</f>
        <v>4.2751401713091282</v>
      </c>
      <c r="D127">
        <f>'R'!F127</f>
        <v>7.367</v>
      </c>
      <c r="E127">
        <f>'R'!I127</f>
        <v>5.3010000000000002</v>
      </c>
      <c r="F127">
        <f>'R'!L127</f>
        <v>4.2343046633347674</v>
      </c>
      <c r="G127">
        <f>'R'!O127</f>
        <v>4.1846218842416558</v>
      </c>
      <c r="H127">
        <f>'R'!R127</f>
        <v>4.1399999999999997</v>
      </c>
      <c r="I127" s="116">
        <f>'R'!Y127</f>
        <v>0</v>
      </c>
    </row>
    <row r="128" spans="1:9">
      <c r="A128">
        <f>'R'!A128</f>
        <v>0</v>
      </c>
      <c r="B128" t="s">
        <v>456</v>
      </c>
      <c r="C128">
        <f>'R'!C128</f>
        <v>4.6925417995477332</v>
      </c>
      <c r="D128">
        <f>'R'!F128</f>
        <v>7.367</v>
      </c>
      <c r="E128">
        <f>'R'!I128</f>
        <v>5.3010000000000002</v>
      </c>
      <c r="F128">
        <f>'R'!L128</f>
        <v>4.7068960244008551</v>
      </c>
      <c r="G128">
        <f>'R'!O128</f>
        <v>4.6895843211632684</v>
      </c>
      <c r="H128">
        <f>'R'!R128</f>
        <v>4.53</v>
      </c>
      <c r="I128" s="116">
        <f>'R'!Y128</f>
        <v>0</v>
      </c>
    </row>
    <row r="129" spans="1:9">
      <c r="A129">
        <f>'R'!A129</f>
        <v>0</v>
      </c>
      <c r="B129" t="s">
        <v>284</v>
      </c>
      <c r="C129">
        <f>'R'!C129</f>
        <v>3.8137362627521112</v>
      </c>
      <c r="D129">
        <f>'R'!F129</f>
        <v>4.8959999999999999</v>
      </c>
      <c r="E129">
        <f>'R'!I129</f>
        <v>4.6520000000000001</v>
      </c>
      <c r="F129">
        <f>'R'!L129</f>
        <v>3.8380322169715142</v>
      </c>
      <c r="G129">
        <f>'R'!O129</f>
        <v>3.8017291066282426</v>
      </c>
      <c r="H129">
        <f>'R'!R129</f>
        <v>3.84</v>
      </c>
      <c r="I129" s="116">
        <f>'R'!Y129</f>
        <v>0</v>
      </c>
    </row>
    <row r="130" spans="1:9">
      <c r="A130">
        <f>'R'!A130</f>
        <v>0</v>
      </c>
      <c r="B130" t="s">
        <v>285</v>
      </c>
      <c r="C130">
        <f>'R'!C130</f>
        <v>3.9855085757608739</v>
      </c>
      <c r="D130">
        <f>'R'!F130</f>
        <v>6.2329999999999997</v>
      </c>
      <c r="E130">
        <f>'R'!I130</f>
        <v>5.6779999999999999</v>
      </c>
      <c r="F130">
        <f>'R'!L130</f>
        <v>4.0073845360475628</v>
      </c>
      <c r="G130">
        <f>'R'!O130</f>
        <v>3.9857984589817197</v>
      </c>
      <c r="H130">
        <f>'R'!R130</f>
        <v>4</v>
      </c>
      <c r="I130" s="116">
        <f>'R'!Y130</f>
        <v>0</v>
      </c>
    </row>
    <row r="131" spans="1:9">
      <c r="A131">
        <f>'R'!A131</f>
        <v>0</v>
      </c>
      <c r="B131" t="s">
        <v>286</v>
      </c>
      <c r="C131">
        <f>'R'!C131</f>
        <v>4.7177562254396657</v>
      </c>
      <c r="D131">
        <f>'R'!F131</f>
        <v>6.3250000000000002</v>
      </c>
      <c r="E131">
        <f>'R'!I131</f>
        <v>6.0309999999999997</v>
      </c>
      <c r="F131">
        <f>'R'!L131</f>
        <v>4.677585150951554</v>
      </c>
      <c r="G131">
        <f>'R'!O131</f>
        <v>4.6380543633762521</v>
      </c>
      <c r="H131">
        <f>'R'!R131</f>
        <v>4.4000000000000004</v>
      </c>
      <c r="I131" s="116">
        <f>'R'!Y131</f>
        <v>0</v>
      </c>
    </row>
    <row r="132" spans="1:9">
      <c r="A132">
        <f>'R'!A132</f>
        <v>0</v>
      </c>
      <c r="B132" t="s">
        <v>287</v>
      </c>
      <c r="C132">
        <f>'R'!C132</f>
        <v>4.0060722426657005</v>
      </c>
      <c r="D132">
        <f>'R'!F132</f>
        <v>3.9809999999999999</v>
      </c>
      <c r="E132">
        <f>'R'!I132</f>
        <v>3.85</v>
      </c>
      <c r="F132">
        <f>'R'!L132</f>
        <v>3.9201773014371066</v>
      </c>
      <c r="G132">
        <f>'R'!O132</f>
        <v>3.8400447427293063</v>
      </c>
      <c r="H132">
        <f>'R'!R132</f>
        <v>3.88</v>
      </c>
      <c r="I132" s="116">
        <f>'R'!Y132</f>
        <v>0</v>
      </c>
    </row>
    <row r="133" spans="1:9">
      <c r="A133">
        <f>'R'!A133</f>
        <v>0</v>
      </c>
      <c r="B133" t="s">
        <v>293</v>
      </c>
      <c r="C133">
        <f>'R'!C133</f>
        <v>3.4559785684339444</v>
      </c>
      <c r="D133">
        <f>'R'!F133</f>
        <v>3.456</v>
      </c>
      <c r="E133">
        <f>'R'!I133</f>
        <v>3.4550000000000001</v>
      </c>
      <c r="F133">
        <f>'R'!L133</f>
        <v>3.5169385894725456</v>
      </c>
      <c r="G133">
        <f>'R'!O133</f>
        <v>3.6666666666666665</v>
      </c>
      <c r="H133">
        <f>'R'!R133</f>
        <v>3.69</v>
      </c>
      <c r="I133" s="116">
        <f>'R'!Y133</f>
        <v>0</v>
      </c>
    </row>
    <row r="134" spans="1:9">
      <c r="A134">
        <f>'R'!A134</f>
        <v>0</v>
      </c>
      <c r="B134" t="s">
        <v>294</v>
      </c>
      <c r="C134">
        <f>'R'!C134</f>
        <v>4.2504539844715268</v>
      </c>
      <c r="D134">
        <f>'R'!F134</f>
        <v>4.2750000000000004</v>
      </c>
      <c r="E134">
        <f>'R'!I134</f>
        <v>4.4279999999999999</v>
      </c>
      <c r="F134">
        <f>'R'!L134</f>
        <v>4.2156644359779252</v>
      </c>
      <c r="G134">
        <f>'R'!O134</f>
        <v>4.1564885496183201</v>
      </c>
      <c r="H134">
        <f>'R'!R134</f>
        <v>4.17</v>
      </c>
      <c r="I134" s="116">
        <f>'R'!Y134</f>
        <v>0</v>
      </c>
    </row>
    <row r="135" spans="1:9">
      <c r="A135">
        <f>'R'!A135</f>
        <v>0</v>
      </c>
      <c r="B135" t="str">
        <f>'R'!B135</f>
        <v>Minimum COP2</v>
      </c>
      <c r="C135">
        <f>'R'!C135</f>
        <v>0</v>
      </c>
      <c r="D135">
        <f>'R'!F135</f>
        <v>0</v>
      </c>
      <c r="E135">
        <f>'R'!I135</f>
        <v>0</v>
      </c>
      <c r="F135">
        <f>'R'!L135</f>
        <v>0</v>
      </c>
      <c r="G135">
        <f>'R'!O135</f>
        <v>0</v>
      </c>
      <c r="H135">
        <f>'R'!R135</f>
        <v>0</v>
      </c>
      <c r="I135" s="116">
        <f>'R'!Y135</f>
        <v>0</v>
      </c>
    </row>
    <row r="136" spans="1:9">
      <c r="A136">
        <f>'R'!A136</f>
        <v>0</v>
      </c>
      <c r="B136">
        <f>'R'!B136</f>
        <v>0</v>
      </c>
      <c r="C136" t="str">
        <f>'R'!C136</f>
        <v>TRNSYS</v>
      </c>
      <c r="D136" t="str">
        <f>'R'!F136</f>
        <v>DOE-2.2</v>
      </c>
      <c r="E136" t="str">
        <f>'R'!I136</f>
        <v>DOE21E-E</v>
      </c>
      <c r="F136" t="str">
        <f>'R'!L136</f>
        <v>Energy+</v>
      </c>
      <c r="G136" t="str">
        <f>'R'!O136</f>
        <v>CODYRUN</v>
      </c>
      <c r="H136" t="str">
        <f>'R'!R136</f>
        <v>HOT3000</v>
      </c>
      <c r="I136" s="116">
        <f>'R'!Y136</f>
        <v>0</v>
      </c>
    </row>
    <row r="137" spans="1:9">
      <c r="A137">
        <f>'R'!A137</f>
        <v>0</v>
      </c>
      <c r="B137">
        <f>'R'!B137</f>
        <v>0</v>
      </c>
      <c r="C137" t="s">
        <v>569</v>
      </c>
      <c r="D137" t="s">
        <v>570</v>
      </c>
      <c r="E137" t="s">
        <v>573</v>
      </c>
      <c r="F137" t="s">
        <v>617</v>
      </c>
      <c r="G137" t="s">
        <v>571</v>
      </c>
      <c r="H137" t="s">
        <v>572</v>
      </c>
      <c r="I137" s="116" t="str">
        <f>'R'!Y137</f>
        <v>Your Software</v>
      </c>
    </row>
    <row r="138" spans="1:9">
      <c r="A138">
        <f>'R'!A138</f>
        <v>0</v>
      </c>
      <c r="B138" t="s">
        <v>276</v>
      </c>
      <c r="C138">
        <f>'R'!C138</f>
        <v>2.7930660792870952</v>
      </c>
      <c r="D138">
        <f>'R'!F138</f>
        <v>2.798</v>
      </c>
      <c r="E138">
        <f>'R'!I138</f>
        <v>2.8010000000000002</v>
      </c>
      <c r="F138">
        <f>'R'!L138</f>
        <v>2.7743951632197765</v>
      </c>
      <c r="G138">
        <f>'R'!O138</f>
        <v>2.7856291503490547</v>
      </c>
      <c r="H138">
        <f>'R'!R138</f>
        <v>2.81</v>
      </c>
      <c r="I138" s="116">
        <f>'R'!Y138</f>
        <v>0</v>
      </c>
    </row>
    <row r="139" spans="1:9">
      <c r="A139">
        <f>'R'!A139</f>
        <v>0</v>
      </c>
      <c r="B139" t="s">
        <v>277</v>
      </c>
      <c r="C139">
        <f>'R'!C139</f>
        <v>2.8652350328328815</v>
      </c>
      <c r="D139">
        <f>'R'!F139</f>
        <v>2.85</v>
      </c>
      <c r="E139">
        <f>'R'!I139</f>
        <v>2.851</v>
      </c>
      <c r="F139">
        <f>'R'!L139</f>
        <v>2.8671282955036634</v>
      </c>
      <c r="G139">
        <f>'R'!O139</f>
        <v>2.8726445743989606</v>
      </c>
      <c r="H139">
        <f>'R'!R139</f>
        <v>2.87</v>
      </c>
      <c r="I139" s="116">
        <f>'R'!Y139</f>
        <v>0</v>
      </c>
    </row>
    <row r="140" spans="1:9">
      <c r="A140">
        <f>'R'!A140</f>
        <v>0</v>
      </c>
      <c r="B140" t="s">
        <v>278</v>
      </c>
      <c r="C140">
        <f>'R'!C140</f>
        <v>2.8252032267490548</v>
      </c>
      <c r="D140">
        <f>'R'!F140</f>
        <v>2.8010000000000002</v>
      </c>
      <c r="E140">
        <f>'R'!I140</f>
        <v>2.8050000000000002</v>
      </c>
      <c r="F140">
        <f>'R'!L140</f>
        <v>2.8230840440178455</v>
      </c>
      <c r="G140">
        <f>'R'!O140</f>
        <v>2.8145224940805051</v>
      </c>
      <c r="H140">
        <f>'R'!R140</f>
        <v>2.83</v>
      </c>
      <c r="I140" s="116">
        <f>'R'!Y140</f>
        <v>0</v>
      </c>
    </row>
    <row r="141" spans="1:9">
      <c r="A141">
        <f>'R'!A141</f>
        <v>0</v>
      </c>
      <c r="B141" t="s">
        <v>279</v>
      </c>
      <c r="C141">
        <f>'R'!C141</f>
        <v>2.8252032267490548</v>
      </c>
      <c r="D141">
        <f>'R'!F141</f>
        <v>2.798</v>
      </c>
      <c r="E141">
        <f>'R'!I141</f>
        <v>2.8010000000000002</v>
      </c>
      <c r="F141">
        <f>'R'!L141</f>
        <v>2.8285558394781116</v>
      </c>
      <c r="G141">
        <f>'R'!O141</f>
        <v>2.8233253269282095</v>
      </c>
      <c r="H141">
        <f>'R'!R141</f>
        <v>2.84</v>
      </c>
      <c r="I141" s="116">
        <f>'R'!Y141</f>
        <v>0</v>
      </c>
    </row>
    <row r="142" spans="1:9">
      <c r="A142">
        <f>'R'!A142</f>
        <v>0</v>
      </c>
      <c r="B142" t="s">
        <v>449</v>
      </c>
      <c r="C142">
        <f>'R'!C142</f>
        <v>2.8252032267490548</v>
      </c>
      <c r="D142">
        <f>'R'!F142</f>
        <v>2.798</v>
      </c>
      <c r="E142">
        <f>'R'!I142</f>
        <v>2.8010000000000002</v>
      </c>
      <c r="F142">
        <f>'R'!L142</f>
        <v>2.8285558394781116</v>
      </c>
      <c r="G142">
        <f>'R'!O142</f>
        <v>2.8233253269282095</v>
      </c>
      <c r="H142">
        <f>'R'!R142</f>
        <v>2.84</v>
      </c>
      <c r="I142" s="116">
        <f>'R'!Y142</f>
        <v>0</v>
      </c>
    </row>
    <row r="143" spans="1:9">
      <c r="A143">
        <f>'R'!A143</f>
        <v>0</v>
      </c>
      <c r="B143" t="s">
        <v>280</v>
      </c>
      <c r="C143">
        <f>'R'!C143</f>
        <v>2.7904288847524867</v>
      </c>
      <c r="D143">
        <f>'R'!F143</f>
        <v>2.798</v>
      </c>
      <c r="E143">
        <f>'R'!I143</f>
        <v>2.8010000000000002</v>
      </c>
      <c r="F143">
        <f>'R'!L143</f>
        <v>2.7743950798290444</v>
      </c>
      <c r="G143">
        <f>'R'!O143</f>
        <v>2.7859087814840033</v>
      </c>
      <c r="H143">
        <f>'R'!R143</f>
        <v>2.81</v>
      </c>
      <c r="I143" s="116">
        <f>'R'!Y143</f>
        <v>0</v>
      </c>
    </row>
    <row r="144" spans="1:9">
      <c r="A144">
        <f>'R'!A144</f>
        <v>0</v>
      </c>
      <c r="B144" t="s">
        <v>281</v>
      </c>
      <c r="C144">
        <f>'R'!C144</f>
        <v>2.8252032267490548</v>
      </c>
      <c r="D144">
        <f>'R'!F144</f>
        <v>2.7989999999999999</v>
      </c>
      <c r="E144">
        <f>'R'!I144</f>
        <v>2.8010000000000002</v>
      </c>
      <c r="F144">
        <f>'R'!L144</f>
        <v>2.8285581563625271</v>
      </c>
      <c r="G144">
        <f>'R'!O144</f>
        <v>2.8233253269282095</v>
      </c>
      <c r="H144">
        <f>'R'!R144</f>
        <v>2.84</v>
      </c>
      <c r="I144" s="116">
        <f>'R'!Y144</f>
        <v>0</v>
      </c>
    </row>
    <row r="145" spans="1:9">
      <c r="A145">
        <f>'R'!A145</f>
        <v>0</v>
      </c>
      <c r="B145" t="s">
        <v>291</v>
      </c>
      <c r="C145">
        <f>'R'!C145</f>
        <v>2.7819111679738864</v>
      </c>
      <c r="D145">
        <f>'R'!F145</f>
        <v>2.734</v>
      </c>
      <c r="E145">
        <f>'R'!I145</f>
        <v>2.7349999999999999</v>
      </c>
      <c r="F145">
        <f>'R'!L145</f>
        <v>2.7743947395698538</v>
      </c>
      <c r="G145">
        <f>'R'!O145</f>
        <v>0</v>
      </c>
      <c r="H145">
        <f>'R'!R145</f>
        <v>2.81</v>
      </c>
      <c r="I145" s="116">
        <f>'R'!Y145</f>
        <v>0</v>
      </c>
    </row>
    <row r="146" spans="1:9">
      <c r="A146">
        <f>'R'!A146</f>
        <v>0</v>
      </c>
      <c r="B146" t="s">
        <v>288</v>
      </c>
      <c r="C146">
        <f>'R'!C146</f>
        <v>2.7858321565014403</v>
      </c>
      <c r="D146">
        <f>'R'!F146</f>
        <v>2.798</v>
      </c>
      <c r="E146">
        <f>'R'!I146</f>
        <v>2.8010000000000002</v>
      </c>
      <c r="F146">
        <f>'R'!L146</f>
        <v>0</v>
      </c>
      <c r="G146">
        <f>'R'!O146</f>
        <v>0</v>
      </c>
      <c r="H146">
        <f>'R'!R146</f>
        <v>2.81</v>
      </c>
      <c r="I146" s="116">
        <f>'R'!Y146</f>
        <v>0</v>
      </c>
    </row>
    <row r="147" spans="1:9">
      <c r="A147">
        <f>'R'!A147</f>
        <v>0</v>
      </c>
      <c r="B147" t="s">
        <v>289</v>
      </c>
      <c r="C147">
        <f>'R'!C147</f>
        <v>2.7930660792870952</v>
      </c>
      <c r="D147">
        <f>'R'!F147</f>
        <v>2.798</v>
      </c>
      <c r="E147">
        <f>'R'!I147</f>
        <v>2.8010000000000002</v>
      </c>
      <c r="F147">
        <f>'R'!L147</f>
        <v>2.7743951632197765</v>
      </c>
      <c r="G147">
        <f>'R'!O147</f>
        <v>0</v>
      </c>
      <c r="H147">
        <f>'R'!R147</f>
        <v>2.81</v>
      </c>
      <c r="I147" s="116">
        <f>'R'!Y147</f>
        <v>0</v>
      </c>
    </row>
    <row r="148" spans="1:9">
      <c r="A148">
        <f>'R'!A148</f>
        <v>0</v>
      </c>
      <c r="B148" t="s">
        <v>292</v>
      </c>
      <c r="C148">
        <f>'R'!C148</f>
        <v>2.7711375787107482</v>
      </c>
      <c r="D148">
        <f>'R'!F148</f>
        <v>2.734</v>
      </c>
      <c r="E148">
        <f>'R'!I148</f>
        <v>2.7349999999999999</v>
      </c>
      <c r="F148">
        <f>'R'!L148</f>
        <v>2.7743951632197814</v>
      </c>
      <c r="G148">
        <f>'R'!O148</f>
        <v>0</v>
      </c>
      <c r="H148">
        <f>'R'!R148</f>
        <v>2.81</v>
      </c>
      <c r="I148" s="116">
        <f>'R'!Y148</f>
        <v>0</v>
      </c>
    </row>
    <row r="149" spans="1:9">
      <c r="A149">
        <f>'R'!A149</f>
        <v>0</v>
      </c>
      <c r="B149" t="s">
        <v>290</v>
      </c>
      <c r="C149">
        <f>'R'!C149</f>
        <v>2.7824815154757125</v>
      </c>
      <c r="D149">
        <f>'R'!F149</f>
        <v>2.734</v>
      </c>
      <c r="E149">
        <f>'R'!I149</f>
        <v>2.7349999999999999</v>
      </c>
      <c r="F149">
        <f>'R'!L149</f>
        <v>2.7743951632197761</v>
      </c>
      <c r="G149">
        <f>'R'!O149</f>
        <v>0</v>
      </c>
      <c r="H149">
        <f>'R'!R149</f>
        <v>2.81</v>
      </c>
      <c r="I149" s="116">
        <f>'R'!Y149</f>
        <v>0</v>
      </c>
    </row>
    <row r="150" spans="1:9">
      <c r="A150">
        <f>'R'!A150</f>
        <v>0</v>
      </c>
      <c r="B150" t="s">
        <v>282</v>
      </c>
      <c r="C150">
        <f>'R'!C150</f>
        <v>2.6851972253498229</v>
      </c>
      <c r="D150">
        <f>'R'!F150</f>
        <v>2.6930000000000001</v>
      </c>
      <c r="E150">
        <f>'R'!I150</f>
        <v>2.6520000000000001</v>
      </c>
      <c r="F150">
        <f>'R'!L150</f>
        <v>2.6947432549631598</v>
      </c>
      <c r="G150">
        <f>'R'!O150</f>
        <v>2.666464155528554</v>
      </c>
      <c r="H150">
        <f>'R'!R150</f>
        <v>2.71</v>
      </c>
      <c r="I150" s="116">
        <f>'R'!Y150</f>
        <v>0</v>
      </c>
    </row>
    <row r="151" spans="1:9">
      <c r="A151">
        <f>'R'!A151</f>
        <v>0</v>
      </c>
      <c r="B151" t="s">
        <v>456</v>
      </c>
      <c r="C151">
        <f>'R'!C151</f>
        <v>2.8879586954371632</v>
      </c>
      <c r="D151">
        <f>'R'!F151</f>
        <v>2.8170000000000002</v>
      </c>
      <c r="E151">
        <f>'R'!I151</f>
        <v>2.6520000000000001</v>
      </c>
      <c r="F151">
        <f>'R'!L151</f>
        <v>2.8992500078842682</v>
      </c>
      <c r="G151">
        <f>'R'!O151</f>
        <v>2.88173609088261</v>
      </c>
      <c r="H151">
        <f>'R'!R151</f>
        <v>2.9</v>
      </c>
      <c r="I151" s="116">
        <f>'R'!Y151</f>
        <v>0</v>
      </c>
    </row>
    <row r="152" spans="1:9">
      <c r="A152">
        <f>'R'!A152</f>
        <v>0</v>
      </c>
      <c r="B152" t="s">
        <v>284</v>
      </c>
      <c r="C152">
        <f>'R'!C152</f>
        <v>2.4416935229096444</v>
      </c>
      <c r="D152">
        <f>'R'!F152</f>
        <v>2.4630000000000001</v>
      </c>
      <c r="E152">
        <f>'R'!I152</f>
        <v>2.3940000000000001</v>
      </c>
      <c r="F152">
        <f>'R'!L152</f>
        <v>2.4618368235724657</v>
      </c>
      <c r="G152">
        <f>'R'!O152</f>
        <v>2.3333333333333335</v>
      </c>
      <c r="H152">
        <f>'R'!R152</f>
        <v>2.4700000000000002</v>
      </c>
      <c r="I152" s="116">
        <f>'R'!Y152</f>
        <v>0</v>
      </c>
    </row>
    <row r="153" spans="1:9">
      <c r="A153">
        <f>'R'!A153</f>
        <v>0</v>
      </c>
      <c r="B153" t="s">
        <v>285</v>
      </c>
      <c r="C153">
        <f>'R'!C153</f>
        <v>2.5689338070033001</v>
      </c>
      <c r="D153">
        <f>'R'!F153</f>
        <v>2.5720000000000001</v>
      </c>
      <c r="E153">
        <f>'R'!I153</f>
        <v>2.5619999999999998</v>
      </c>
      <c r="F153">
        <f>'R'!L153</f>
        <v>2.5776994604731649</v>
      </c>
      <c r="G153">
        <f>'R'!O153</f>
        <v>2.4285714285714288</v>
      </c>
      <c r="H153">
        <f>'R'!R153</f>
        <v>2.59</v>
      </c>
      <c r="I153" s="116">
        <f>'R'!Y153</f>
        <v>0</v>
      </c>
    </row>
    <row r="154" spans="1:9">
      <c r="A154">
        <f>'R'!A154</f>
        <v>0</v>
      </c>
      <c r="B154" t="s">
        <v>286</v>
      </c>
      <c r="C154">
        <f>'R'!C154</f>
        <v>2.9110802754338714</v>
      </c>
      <c r="D154">
        <f>'R'!F154</f>
        <v>2.9390000000000001</v>
      </c>
      <c r="E154">
        <f>'R'!I154</f>
        <v>2.8140000000000001</v>
      </c>
      <c r="F154">
        <f>'R'!L154</f>
        <v>2.9332871695007312</v>
      </c>
      <c r="G154">
        <f>'R'!O154</f>
        <v>2.8940734188412205</v>
      </c>
      <c r="H154">
        <f>'R'!R154</f>
        <v>2.9</v>
      </c>
      <c r="I154" s="116">
        <f>'R'!Y154</f>
        <v>0</v>
      </c>
    </row>
    <row r="155" spans="1:9">
      <c r="A155">
        <f>'R'!A155</f>
        <v>0</v>
      </c>
      <c r="B155" t="s">
        <v>287</v>
      </c>
      <c r="C155">
        <f>'R'!C155</f>
        <v>2.5012657327109995</v>
      </c>
      <c r="D155">
        <f>'R'!F155</f>
        <v>2.4950000000000001</v>
      </c>
      <c r="E155">
        <f>'R'!I155</f>
        <v>2.4980000000000002</v>
      </c>
      <c r="F155">
        <f>'R'!L155</f>
        <v>2.4944901409355742</v>
      </c>
      <c r="G155">
        <f>'R'!O155</f>
        <v>2.4732824427480917</v>
      </c>
      <c r="H155">
        <f>'R'!R155</f>
        <v>2.52</v>
      </c>
      <c r="I155" s="116">
        <f>'R'!Y155</f>
        <v>0</v>
      </c>
    </row>
    <row r="156" spans="1:9">
      <c r="A156">
        <f>'R'!A156</f>
        <v>0</v>
      </c>
      <c r="B156" t="s">
        <v>293</v>
      </c>
      <c r="C156">
        <f>'R'!C156</f>
        <v>2.2530468183317844</v>
      </c>
      <c r="D156">
        <f>'R'!F156</f>
        <v>2.2610000000000001</v>
      </c>
      <c r="E156">
        <f>'R'!I156</f>
        <v>2.262</v>
      </c>
      <c r="F156">
        <f>'R'!L156</f>
        <v>2.2793721478784792</v>
      </c>
      <c r="G156">
        <f>'R'!O156</f>
        <v>2.1428571428571428</v>
      </c>
      <c r="H156">
        <f>'R'!R156</f>
        <v>2.2799999999999998</v>
      </c>
      <c r="I156" s="116">
        <f>'R'!Y156</f>
        <v>0</v>
      </c>
    </row>
    <row r="157" spans="1:9">
      <c r="A157">
        <f>'R'!A157</f>
        <v>0</v>
      </c>
      <c r="B157" t="s">
        <v>294</v>
      </c>
      <c r="C157">
        <f>'R'!C157</f>
        <v>2.7325462089602159</v>
      </c>
      <c r="D157">
        <f>'R'!F157</f>
        <v>2.72</v>
      </c>
      <c r="E157">
        <f>'R'!I157</f>
        <v>2.722</v>
      </c>
      <c r="F157">
        <f>'R'!L157</f>
        <v>2.6585379708444119</v>
      </c>
      <c r="G157">
        <f>'R'!O157</f>
        <v>2.6920206659012629</v>
      </c>
      <c r="H157">
        <f>'R'!R157</f>
        <v>2.72</v>
      </c>
      <c r="I157" s="116">
        <f>'R'!Y157</f>
        <v>0</v>
      </c>
    </row>
    <row r="158" spans="1:9">
      <c r="A158">
        <f>'R'!A160</f>
        <v>0</v>
      </c>
      <c r="B158" t="str">
        <f>'R'!B160</f>
        <v>Maximum IDB (°C)</v>
      </c>
      <c r="C158">
        <f>'R'!C160</f>
        <v>0</v>
      </c>
      <c r="D158">
        <f>'R'!F160</f>
        <v>0</v>
      </c>
      <c r="E158">
        <f>'R'!I160</f>
        <v>0</v>
      </c>
      <c r="F158">
        <f>'R'!L160</f>
        <v>0</v>
      </c>
      <c r="G158">
        <f>'R'!O160</f>
        <v>0</v>
      </c>
      <c r="H158">
        <f>'R'!R160</f>
        <v>0</v>
      </c>
      <c r="I158" s="116">
        <f>'R'!Y160</f>
        <v>0</v>
      </c>
    </row>
    <row r="159" spans="1:9">
      <c r="A159">
        <f>'R'!A161</f>
        <v>0</v>
      </c>
      <c r="B159">
        <f>'R'!B161</f>
        <v>0</v>
      </c>
      <c r="C159" t="str">
        <f>'R'!C161</f>
        <v>TRNSYS</v>
      </c>
      <c r="D159" t="str">
        <f>'R'!F161</f>
        <v>DOE-2.2</v>
      </c>
      <c r="E159" t="str">
        <f>'R'!I161</f>
        <v>DOE21E-E</v>
      </c>
      <c r="F159" t="str">
        <f>'R'!L161</f>
        <v>Energy+</v>
      </c>
      <c r="G159" t="str">
        <f>'R'!O161</f>
        <v>CODYRUN</v>
      </c>
      <c r="H159" t="str">
        <f>'R'!R161</f>
        <v>HOT3000</v>
      </c>
      <c r="I159" s="116">
        <f>'R'!Y161</f>
        <v>0</v>
      </c>
    </row>
    <row r="160" spans="1:9">
      <c r="A160">
        <f>'R'!A162</f>
        <v>0</v>
      </c>
      <c r="B160">
        <f>'R'!B162</f>
        <v>0</v>
      </c>
      <c r="C160" t="s">
        <v>569</v>
      </c>
      <c r="D160" t="s">
        <v>570</v>
      </c>
      <c r="E160" t="s">
        <v>573</v>
      </c>
      <c r="F160" t="s">
        <v>617</v>
      </c>
      <c r="G160" t="s">
        <v>571</v>
      </c>
      <c r="H160" t="s">
        <v>572</v>
      </c>
      <c r="I160" s="116" t="str">
        <f>'R'!Y162</f>
        <v>Your Software</v>
      </c>
    </row>
    <row r="161" spans="1:9">
      <c r="A161">
        <f>'R'!A163</f>
        <v>0</v>
      </c>
      <c r="B161" t="s">
        <v>276</v>
      </c>
      <c r="C161">
        <f>'R'!C163</f>
        <v>26.1999</v>
      </c>
      <c r="D161">
        <f>'R'!F163</f>
        <v>25.11</v>
      </c>
      <c r="E161">
        <f>'R'!I163</f>
        <v>25.11</v>
      </c>
      <c r="F161">
        <f>'R'!L163</f>
        <v>25.003273115435601</v>
      </c>
      <c r="G161">
        <f>'R'!O163</f>
        <v>25.05</v>
      </c>
      <c r="H161">
        <f>'R'!R163</f>
        <v>26.19</v>
      </c>
      <c r="I161" s="116">
        <f>'R'!Y163</f>
        <v>0</v>
      </c>
    </row>
    <row r="162" spans="1:9">
      <c r="A162">
        <f>'R'!A164</f>
        <v>0</v>
      </c>
      <c r="B162" t="s">
        <v>277</v>
      </c>
      <c r="C162">
        <f>'R'!C164</f>
        <v>27.0778</v>
      </c>
      <c r="D162">
        <f>'R'!F164</f>
        <v>26.89</v>
      </c>
      <c r="E162">
        <f>'R'!I164</f>
        <v>26.72</v>
      </c>
      <c r="F162">
        <f>'R'!L164</f>
        <v>26.5567001865351</v>
      </c>
      <c r="G162">
        <f>'R'!O164</f>
        <v>26.62</v>
      </c>
      <c r="H162">
        <f>'R'!R164</f>
        <v>27.19</v>
      </c>
      <c r="I162" s="116">
        <f>'R'!Y164</f>
        <v>0</v>
      </c>
    </row>
    <row r="163" spans="1:9">
      <c r="A163">
        <f>'R'!A165</f>
        <v>0</v>
      </c>
      <c r="B163" t="s">
        <v>278</v>
      </c>
      <c r="C163">
        <f>'R'!C165</f>
        <v>32.360399999999998</v>
      </c>
      <c r="D163">
        <f>'R'!F165</f>
        <v>31.61</v>
      </c>
      <c r="E163">
        <f>'R'!I165</f>
        <v>31.5</v>
      </c>
      <c r="F163">
        <f>'R'!L165</f>
        <v>31.843961653966101</v>
      </c>
      <c r="G163">
        <f>'R'!O165</f>
        <v>32.32</v>
      </c>
      <c r="H163">
        <f>'R'!R165</f>
        <v>31.65</v>
      </c>
      <c r="I163" s="116">
        <f>'R'!Y165</f>
        <v>0</v>
      </c>
    </row>
    <row r="164" spans="1:9">
      <c r="A164">
        <f>'R'!A166</f>
        <v>0</v>
      </c>
      <c r="B164" t="s">
        <v>279</v>
      </c>
      <c r="C164">
        <f>'R'!C166</f>
        <v>32.232100000000003</v>
      </c>
      <c r="D164">
        <f>'R'!F166</f>
        <v>31.72</v>
      </c>
      <c r="E164">
        <f>'R'!I166</f>
        <v>32</v>
      </c>
      <c r="F164">
        <f>'R'!L166</f>
        <v>31.496252897193301</v>
      </c>
      <c r="G164">
        <f>'R'!O166</f>
        <v>31.9</v>
      </c>
      <c r="H164">
        <f>'R'!R166</f>
        <v>31.3</v>
      </c>
      <c r="I164" s="116">
        <f>'R'!Y166</f>
        <v>0</v>
      </c>
    </row>
    <row r="165" spans="1:9">
      <c r="A165">
        <f>'R'!A167</f>
        <v>0</v>
      </c>
      <c r="B165" t="s">
        <v>449</v>
      </c>
      <c r="C165">
        <f>'R'!C167</f>
        <v>32.306600000000003</v>
      </c>
      <c r="D165">
        <f>'R'!F167</f>
        <v>31.61</v>
      </c>
      <c r="E165">
        <f>'R'!I167</f>
        <v>31.56</v>
      </c>
      <c r="F165">
        <f>'R'!L167</f>
        <v>31.745142194222701</v>
      </c>
      <c r="G165">
        <f>'R'!O167</f>
        <v>32.15</v>
      </c>
      <c r="H165">
        <f>'R'!R167</f>
        <v>31.58</v>
      </c>
      <c r="I165" s="116">
        <f>'R'!Y167</f>
        <v>0</v>
      </c>
    </row>
    <row r="166" spans="1:9">
      <c r="A166">
        <f>'R'!A168</f>
        <v>0</v>
      </c>
      <c r="B166" t="s">
        <v>280</v>
      </c>
      <c r="C166">
        <f>'R'!C168</f>
        <v>34.584099999999999</v>
      </c>
      <c r="D166">
        <f>'R'!F168</f>
        <v>34.94</v>
      </c>
      <c r="E166">
        <f>'R'!I168</f>
        <v>34.94</v>
      </c>
      <c r="F166">
        <f>'R'!L168</f>
        <v>35.002090205560897</v>
      </c>
      <c r="G166">
        <f>'R'!O168</f>
        <v>35</v>
      </c>
      <c r="H166">
        <f>'R'!R168</f>
        <v>35</v>
      </c>
      <c r="I166" s="116">
        <f>'R'!Y168</f>
        <v>0</v>
      </c>
    </row>
    <row r="167" spans="1:9">
      <c r="A167">
        <f>'R'!A169</f>
        <v>0</v>
      </c>
      <c r="B167" t="s">
        <v>281</v>
      </c>
      <c r="C167">
        <f>'R'!C169</f>
        <v>33.758499999999998</v>
      </c>
      <c r="D167">
        <f>'R'!F169</f>
        <v>32.78</v>
      </c>
      <c r="E167">
        <f>'R'!I169</f>
        <v>32.56</v>
      </c>
      <c r="F167">
        <f>'R'!L169</f>
        <v>32.819769755938196</v>
      </c>
      <c r="G167">
        <f>'R'!O169</f>
        <v>33</v>
      </c>
      <c r="H167">
        <f>'R'!R169</f>
        <v>33.130000000000003</v>
      </c>
      <c r="I167" s="116">
        <f>'R'!Y169</f>
        <v>0</v>
      </c>
    </row>
    <row r="168" spans="1:9">
      <c r="A168">
        <f>'R'!A170</f>
        <v>0</v>
      </c>
      <c r="B168" t="s">
        <v>291</v>
      </c>
      <c r="C168">
        <f>'R'!C170</f>
        <v>27.114799999999999</v>
      </c>
      <c r="D168">
        <f>'R'!F170</f>
        <v>27.56</v>
      </c>
      <c r="E168">
        <f>'R'!I170</f>
        <v>28.83</v>
      </c>
      <c r="F168">
        <f>'R'!L170</f>
        <v>26.903217435662299</v>
      </c>
      <c r="G168">
        <f>'R'!O170</f>
        <v>0</v>
      </c>
      <c r="H168">
        <f>'R'!R170</f>
        <v>26.04</v>
      </c>
      <c r="I168" s="116">
        <f>'R'!Y170</f>
        <v>0</v>
      </c>
    </row>
    <row r="169" spans="1:9">
      <c r="A169">
        <f>'R'!A171</f>
        <v>0</v>
      </c>
      <c r="B169" t="s">
        <v>288</v>
      </c>
      <c r="C169">
        <f>'R'!C171</f>
        <v>26.825600000000001</v>
      </c>
      <c r="D169">
        <f>'R'!F171</f>
        <v>25.11</v>
      </c>
      <c r="E169">
        <f>'R'!I171</f>
        <v>25.11</v>
      </c>
      <c r="F169">
        <f>'R'!L171</f>
        <v>0</v>
      </c>
      <c r="G169">
        <f>'R'!O171</f>
        <v>0</v>
      </c>
      <c r="H169">
        <f>'R'!R171</f>
        <v>26.19</v>
      </c>
      <c r="I169" s="116">
        <f>'R'!Y171</f>
        <v>0</v>
      </c>
    </row>
    <row r="170" spans="1:9">
      <c r="A170">
        <f>'R'!A172</f>
        <v>0</v>
      </c>
      <c r="B170" t="s">
        <v>289</v>
      </c>
      <c r="C170">
        <f>'R'!C172</f>
        <v>26.1999</v>
      </c>
      <c r="D170">
        <f>'R'!F172</f>
        <v>25.11</v>
      </c>
      <c r="E170">
        <f>'R'!I172</f>
        <v>25.11</v>
      </c>
      <c r="F170">
        <f>'R'!L172</f>
        <v>25.003273115420001</v>
      </c>
      <c r="G170">
        <f>'R'!O172</f>
        <v>0</v>
      </c>
      <c r="H170">
        <f>'R'!R172</f>
        <v>26.23</v>
      </c>
      <c r="I170" s="116">
        <f>'R'!Y172</f>
        <v>0</v>
      </c>
    </row>
    <row r="171" spans="1:9">
      <c r="A171">
        <f>'R'!A173</f>
        <v>0</v>
      </c>
      <c r="B171" t="s">
        <v>292</v>
      </c>
      <c r="C171">
        <f>'R'!C173</f>
        <v>27.199200000000001</v>
      </c>
      <c r="D171">
        <f>'R'!F173</f>
        <v>25.11</v>
      </c>
      <c r="E171">
        <f>'R'!I173</f>
        <v>25.11</v>
      </c>
      <c r="F171">
        <f>'R'!L173</f>
        <v>25.003763076149301</v>
      </c>
      <c r="G171">
        <f>'R'!O173</f>
        <v>0</v>
      </c>
      <c r="H171">
        <f>'R'!R173</f>
        <v>26.45</v>
      </c>
      <c r="I171" s="116">
        <f>'R'!Y173</f>
        <v>0</v>
      </c>
    </row>
    <row r="172" spans="1:9">
      <c r="A172">
        <f>'R'!A174</f>
        <v>0</v>
      </c>
      <c r="B172" t="s">
        <v>290</v>
      </c>
      <c r="C172">
        <f>'R'!C174</f>
        <v>27.045200000000001</v>
      </c>
      <c r="D172">
        <f>'R'!F174</f>
        <v>25.11</v>
      </c>
      <c r="E172">
        <f>'R'!I174</f>
        <v>25.11</v>
      </c>
      <c r="F172">
        <f>'R'!L174</f>
        <v>25.0037630761495</v>
      </c>
      <c r="G172">
        <f>'R'!O174</f>
        <v>0</v>
      </c>
      <c r="H172">
        <f>'R'!R174</f>
        <v>26.26</v>
      </c>
      <c r="I172" s="116">
        <f>'R'!Y174</f>
        <v>0</v>
      </c>
    </row>
    <row r="173" spans="1:9">
      <c r="A173">
        <f>'R'!A175</f>
        <v>0</v>
      </c>
      <c r="B173" t="s">
        <v>282</v>
      </c>
      <c r="C173">
        <f>'R'!C175</f>
        <v>25.805399999999999</v>
      </c>
      <c r="D173">
        <f>'R'!F175</f>
        <v>25.11</v>
      </c>
      <c r="E173">
        <f>'R'!I175</f>
        <v>25.11</v>
      </c>
      <c r="F173">
        <f>'R'!L175</f>
        <v>25.001689073197401</v>
      </c>
      <c r="G173">
        <f>'R'!O175</f>
        <v>25.02</v>
      </c>
      <c r="H173">
        <f>'R'!R175</f>
        <v>25</v>
      </c>
      <c r="I173" s="116">
        <f>'R'!Y175</f>
        <v>0</v>
      </c>
    </row>
    <row r="174" spans="1:9">
      <c r="A174">
        <f>'R'!A176</f>
        <v>0</v>
      </c>
      <c r="B174" t="s">
        <v>456</v>
      </c>
      <c r="C174">
        <f>'R'!C176</f>
        <v>26.100300000000001</v>
      </c>
      <c r="D174">
        <f>'R'!F176</f>
        <v>25.11</v>
      </c>
      <c r="E174">
        <f>'R'!I176</f>
        <v>25.11</v>
      </c>
      <c r="F174">
        <f>'R'!L176</f>
        <v>25.001689922001699</v>
      </c>
      <c r="G174">
        <f>'R'!O176</f>
        <v>25.02</v>
      </c>
      <c r="H174">
        <f>'R'!R176</f>
        <v>25</v>
      </c>
      <c r="I174" s="116">
        <f>'R'!Y176</f>
        <v>0</v>
      </c>
    </row>
    <row r="175" spans="1:9">
      <c r="A175">
        <f>'R'!A177</f>
        <v>0</v>
      </c>
      <c r="B175" t="s">
        <v>284</v>
      </c>
      <c r="C175">
        <f>'R'!C177</f>
        <v>16.123200000000001</v>
      </c>
      <c r="D175">
        <f>'R'!F177</f>
        <v>16.11</v>
      </c>
      <c r="E175">
        <f>'R'!I177</f>
        <v>15.94</v>
      </c>
      <c r="F175">
        <f>'R'!L177</f>
        <v>15.2668573950669</v>
      </c>
      <c r="G175">
        <f>'R'!O177</f>
        <v>15.98</v>
      </c>
      <c r="H175">
        <f>'R'!R177</f>
        <v>18.62</v>
      </c>
      <c r="I175" s="116">
        <f>'R'!Y177</f>
        <v>0</v>
      </c>
    </row>
    <row r="176" spans="1:9">
      <c r="A176">
        <f>'R'!A178</f>
        <v>0</v>
      </c>
      <c r="B176" t="s">
        <v>285</v>
      </c>
      <c r="C176">
        <f>'R'!C178</f>
        <v>21.0091</v>
      </c>
      <c r="D176">
        <f>'R'!F178</f>
        <v>20.11</v>
      </c>
      <c r="E176">
        <f>'R'!I178</f>
        <v>20.11</v>
      </c>
      <c r="F176">
        <f>'R'!L178</f>
        <v>20.0027164194105</v>
      </c>
      <c r="G176">
        <f>'R'!O178</f>
        <v>20.05</v>
      </c>
      <c r="H176">
        <f>'R'!R178</f>
        <v>20.93</v>
      </c>
      <c r="I176" s="116">
        <f>'R'!Y178</f>
        <v>0</v>
      </c>
    </row>
    <row r="177" spans="1:9">
      <c r="A177">
        <f>'R'!A179</f>
        <v>0</v>
      </c>
      <c r="B177" t="s">
        <v>286</v>
      </c>
      <c r="C177">
        <f>'R'!C179</f>
        <v>36.08</v>
      </c>
      <c r="D177">
        <f>'R'!F179</f>
        <v>35.06</v>
      </c>
      <c r="E177">
        <f>'R'!I179</f>
        <v>35.06</v>
      </c>
      <c r="F177">
        <f>'R'!L179</f>
        <v>34.996432269762302</v>
      </c>
      <c r="G177">
        <f>'R'!O179</f>
        <v>35</v>
      </c>
      <c r="H177">
        <f>'R'!R179</f>
        <v>35</v>
      </c>
      <c r="I177" s="116">
        <f>'R'!Y179</f>
        <v>0</v>
      </c>
    </row>
    <row r="178" spans="1:9">
      <c r="A178">
        <f>'R'!A180</f>
        <v>0</v>
      </c>
      <c r="B178" t="s">
        <v>287</v>
      </c>
      <c r="C178">
        <f>'R'!C180</f>
        <v>26.116</v>
      </c>
      <c r="D178">
        <f>'R'!F180</f>
        <v>25.06</v>
      </c>
      <c r="E178">
        <f>'R'!I180</f>
        <v>25.06</v>
      </c>
      <c r="F178">
        <f>'R'!L180</f>
        <v>25.002719853187202</v>
      </c>
      <c r="G178">
        <f>'R'!O180</f>
        <v>25.02</v>
      </c>
      <c r="H178">
        <f>'R'!R180</f>
        <v>25</v>
      </c>
      <c r="I178" s="116">
        <f>'R'!Y180</f>
        <v>0</v>
      </c>
    </row>
    <row r="179" spans="1:9">
      <c r="A179">
        <f>'R'!A181</f>
        <v>0</v>
      </c>
      <c r="B179" t="s">
        <v>293</v>
      </c>
      <c r="C179">
        <f>'R'!C181</f>
        <v>16.1465</v>
      </c>
      <c r="D179">
        <f>'R'!F181</f>
        <v>15.11</v>
      </c>
      <c r="E179">
        <f>'R'!I181</f>
        <v>15.11</v>
      </c>
      <c r="F179">
        <f>'R'!L181</f>
        <v>15.002773741177499</v>
      </c>
      <c r="G179">
        <f>'R'!O181</f>
        <v>15.05</v>
      </c>
      <c r="H179">
        <f>'R'!R181</f>
        <v>15</v>
      </c>
      <c r="I179" s="116">
        <f>'R'!Y181</f>
        <v>0</v>
      </c>
    </row>
    <row r="180" spans="1:9">
      <c r="A180">
        <f>'R'!A182</f>
        <v>0</v>
      </c>
      <c r="B180" t="s">
        <v>294</v>
      </c>
      <c r="C180">
        <f>'R'!C182</f>
        <v>35.671500000000002</v>
      </c>
      <c r="D180">
        <f>'R'!F182</f>
        <v>35</v>
      </c>
      <c r="E180">
        <f>'R'!I182</f>
        <v>35</v>
      </c>
      <c r="F180">
        <f>'R'!L182</f>
        <v>35.0002964572694</v>
      </c>
      <c r="G180">
        <f>'R'!O182</f>
        <v>35</v>
      </c>
      <c r="H180">
        <f>'R'!R182</f>
        <v>35</v>
      </c>
      <c r="I180" s="116">
        <f>'R'!Y182</f>
        <v>0</v>
      </c>
    </row>
    <row r="181" spans="1:9">
      <c r="A181">
        <f>'R'!A183</f>
        <v>0</v>
      </c>
      <c r="B181" t="str">
        <f>'R'!B183</f>
        <v>Minimum IDB (°C)</v>
      </c>
      <c r="C181">
        <f>'R'!C183</f>
        <v>0</v>
      </c>
      <c r="D181">
        <f>'R'!F183</f>
        <v>0</v>
      </c>
      <c r="E181">
        <f>'R'!I183</f>
        <v>0</v>
      </c>
      <c r="F181">
        <f>'R'!L183</f>
        <v>0</v>
      </c>
      <c r="G181">
        <f>'R'!O183</f>
        <v>0</v>
      </c>
      <c r="H181">
        <f>'R'!R183</f>
        <v>0</v>
      </c>
      <c r="I181" s="116">
        <f>'R'!Y183</f>
        <v>0</v>
      </c>
    </row>
    <row r="182" spans="1:9">
      <c r="A182">
        <f>'R'!A184</f>
        <v>0</v>
      </c>
      <c r="B182">
        <f>'R'!B184</f>
        <v>0</v>
      </c>
      <c r="C182" t="str">
        <f>'R'!C184</f>
        <v>TRNSYS</v>
      </c>
      <c r="D182" t="str">
        <f>'R'!F184</f>
        <v>DOE-2.2</v>
      </c>
      <c r="E182" t="str">
        <f>'R'!I184</f>
        <v>DOE21E-E</v>
      </c>
      <c r="F182" t="str">
        <f>'R'!L184</f>
        <v>Energy+</v>
      </c>
      <c r="G182" t="str">
        <f>'R'!O184</f>
        <v>CODYRUN</v>
      </c>
      <c r="H182" t="str">
        <f>'R'!R184</f>
        <v>HOT3000</v>
      </c>
      <c r="I182" s="116">
        <f>'R'!Y184</f>
        <v>0</v>
      </c>
    </row>
    <row r="183" spans="1:9">
      <c r="A183">
        <f>'R'!A185</f>
        <v>0</v>
      </c>
      <c r="B183">
        <f>'R'!B185</f>
        <v>0</v>
      </c>
      <c r="C183" t="s">
        <v>569</v>
      </c>
      <c r="D183" t="s">
        <v>570</v>
      </c>
      <c r="E183" t="s">
        <v>573</v>
      </c>
      <c r="F183" t="s">
        <v>617</v>
      </c>
      <c r="G183" t="s">
        <v>571</v>
      </c>
      <c r="H183" t="s">
        <v>572</v>
      </c>
      <c r="I183" s="116" t="str">
        <f>'R'!Y185</f>
        <v>Your Software</v>
      </c>
    </row>
    <row r="184" spans="1:9">
      <c r="A184">
        <f>'R'!A186</f>
        <v>0</v>
      </c>
      <c r="B184" t="s">
        <v>276</v>
      </c>
      <c r="C184">
        <f>'R'!C186</f>
        <v>7.9299799999999996</v>
      </c>
      <c r="D184">
        <f>'R'!F186</f>
        <v>8.89</v>
      </c>
      <c r="E184">
        <f>'R'!I186</f>
        <v>8.83</v>
      </c>
      <c r="F184">
        <f>'R'!L186</f>
        <v>8.7262833957235895</v>
      </c>
      <c r="G184">
        <f>'R'!O186</f>
        <v>8</v>
      </c>
      <c r="H184">
        <f>'R'!R186</f>
        <v>6.99</v>
      </c>
      <c r="I184" s="116">
        <f>'R'!Y186</f>
        <v>0</v>
      </c>
    </row>
    <row r="185" spans="1:9">
      <c r="A185">
        <f>'R'!A187</f>
        <v>0</v>
      </c>
      <c r="B185" t="s">
        <v>277</v>
      </c>
      <c r="C185">
        <f>'R'!C187</f>
        <v>7.9299799999999996</v>
      </c>
      <c r="D185">
        <f>'R'!F187</f>
        <v>8.89</v>
      </c>
      <c r="E185">
        <f>'R'!I187</f>
        <v>8.83</v>
      </c>
      <c r="F185">
        <f>'R'!L187</f>
        <v>8.7262065186768094</v>
      </c>
      <c r="G185">
        <f>'R'!O187</f>
        <v>8</v>
      </c>
      <c r="H185">
        <f>'R'!R187</f>
        <v>6.99</v>
      </c>
      <c r="I185" s="116">
        <f>'R'!Y187</f>
        <v>0</v>
      </c>
    </row>
    <row r="186" spans="1:9">
      <c r="A186">
        <f>'R'!A188</f>
        <v>0</v>
      </c>
      <c r="B186" t="s">
        <v>278</v>
      </c>
      <c r="C186">
        <f>'R'!C188</f>
        <v>7.9299799999999996</v>
      </c>
      <c r="D186">
        <f>'R'!F188</f>
        <v>10.83</v>
      </c>
      <c r="E186">
        <f>'R'!I188</f>
        <v>10.78</v>
      </c>
      <c r="F186">
        <f>'R'!L188</f>
        <v>7.7562262531981503</v>
      </c>
      <c r="G186">
        <f>'R'!O188</f>
        <v>8</v>
      </c>
      <c r="H186">
        <f>'R'!R188</f>
        <v>6.99</v>
      </c>
      <c r="I186" s="116">
        <f>'R'!Y188</f>
        <v>0</v>
      </c>
    </row>
    <row r="187" spans="1:9">
      <c r="A187">
        <f>'R'!A189</f>
        <v>0</v>
      </c>
      <c r="B187" t="s">
        <v>279</v>
      </c>
      <c r="C187">
        <f>'R'!C189</f>
        <v>7.9299799999999996</v>
      </c>
      <c r="D187">
        <f>'R'!F189</f>
        <v>8.89</v>
      </c>
      <c r="E187">
        <f>'R'!I189</f>
        <v>8.83</v>
      </c>
      <c r="F187">
        <f>'R'!L189</f>
        <v>8.7247196659979505</v>
      </c>
      <c r="G187">
        <f>'R'!O189</f>
        <v>8</v>
      </c>
      <c r="H187">
        <f>'R'!R189</f>
        <v>6.99</v>
      </c>
      <c r="I187" s="116">
        <f>'R'!Y189</f>
        <v>0</v>
      </c>
    </row>
    <row r="188" spans="1:9">
      <c r="A188">
        <f>'R'!A190</f>
        <v>0</v>
      </c>
      <c r="B188" t="s">
        <v>449</v>
      </c>
      <c r="C188">
        <f>'R'!C190</f>
        <v>7.9299799999999996</v>
      </c>
      <c r="D188">
        <f>'R'!F190</f>
        <v>8.89</v>
      </c>
      <c r="E188">
        <f>'R'!I190</f>
        <v>8.83</v>
      </c>
      <c r="F188">
        <f>'R'!L190</f>
        <v>8.7247196659979505</v>
      </c>
      <c r="G188">
        <f>'R'!O190</f>
        <v>8</v>
      </c>
      <c r="H188">
        <f>'R'!R190</f>
        <v>6.99</v>
      </c>
      <c r="I188" s="116">
        <f>'R'!Y190</f>
        <v>0</v>
      </c>
    </row>
    <row r="189" spans="1:9">
      <c r="A189">
        <f>'R'!A191</f>
        <v>0</v>
      </c>
      <c r="B189" t="s">
        <v>280</v>
      </c>
      <c r="C189">
        <f>'R'!C191</f>
        <v>7.9299799999999996</v>
      </c>
      <c r="D189">
        <f>'R'!F191</f>
        <v>8.89</v>
      </c>
      <c r="E189">
        <f>'R'!I191</f>
        <v>8.83</v>
      </c>
      <c r="F189">
        <f>'R'!L191</f>
        <v>8.7262833957235895</v>
      </c>
      <c r="G189">
        <f>'R'!O191</f>
        <v>8</v>
      </c>
      <c r="H189">
        <f>'R'!R191</f>
        <v>6.99</v>
      </c>
      <c r="I189" s="116">
        <f>'R'!Y191</f>
        <v>0</v>
      </c>
    </row>
    <row r="190" spans="1:9">
      <c r="A190">
        <f>'R'!A192</f>
        <v>0</v>
      </c>
      <c r="B190" t="s">
        <v>281</v>
      </c>
      <c r="C190">
        <f>'R'!C192</f>
        <v>7.9299799999999996</v>
      </c>
      <c r="D190">
        <f>'R'!F192</f>
        <v>8.89</v>
      </c>
      <c r="E190">
        <f>'R'!I192</f>
        <v>8.83</v>
      </c>
      <c r="F190">
        <f>'R'!L192</f>
        <v>8.7264633127036095</v>
      </c>
      <c r="G190">
        <f>'R'!O192</f>
        <v>8</v>
      </c>
      <c r="H190">
        <f>'R'!R192</f>
        <v>6.99</v>
      </c>
      <c r="I190" s="116">
        <f>'R'!Y192</f>
        <v>0</v>
      </c>
    </row>
    <row r="191" spans="1:9">
      <c r="A191">
        <f>'R'!A193</f>
        <v>0</v>
      </c>
      <c r="B191" t="s">
        <v>291</v>
      </c>
      <c r="C191">
        <f>'R'!C193</f>
        <v>7.9299799999999996</v>
      </c>
      <c r="D191">
        <f>'R'!F193</f>
        <v>8.89</v>
      </c>
      <c r="E191">
        <f>'R'!I193</f>
        <v>8.83</v>
      </c>
      <c r="F191">
        <f>'R'!L193</f>
        <v>8.7262833957235593</v>
      </c>
      <c r="G191">
        <f>'R'!O193</f>
        <v>0</v>
      </c>
      <c r="H191">
        <f>'R'!R193</f>
        <v>6.99</v>
      </c>
      <c r="I191" s="116">
        <f>'R'!Y193</f>
        <v>0</v>
      </c>
    </row>
    <row r="192" spans="1:9">
      <c r="A192">
        <f>'R'!A194</f>
        <v>0</v>
      </c>
      <c r="B192" t="s">
        <v>288</v>
      </c>
      <c r="C192">
        <f>'R'!C194</f>
        <v>7.9299799999999996</v>
      </c>
      <c r="D192">
        <f>'R'!F194</f>
        <v>8.89</v>
      </c>
      <c r="E192">
        <f>'R'!I194</f>
        <v>8.83</v>
      </c>
      <c r="F192">
        <f>'R'!L194</f>
        <v>0</v>
      </c>
      <c r="G192">
        <f>'R'!O194</f>
        <v>0</v>
      </c>
      <c r="H192">
        <f>'R'!R194</f>
        <v>6.99</v>
      </c>
      <c r="I192" s="116">
        <f>'R'!Y194</f>
        <v>0</v>
      </c>
    </row>
    <row r="193" spans="1:9">
      <c r="A193">
        <f>'R'!A195</f>
        <v>0</v>
      </c>
      <c r="B193" t="s">
        <v>289</v>
      </c>
      <c r="C193">
        <f>'R'!C195</f>
        <v>7.9299799999999996</v>
      </c>
      <c r="D193">
        <f>'R'!F195</f>
        <v>8.89</v>
      </c>
      <c r="E193">
        <f>'R'!I195</f>
        <v>8.83</v>
      </c>
      <c r="F193">
        <f>'R'!L195</f>
        <v>8.7262833957235593</v>
      </c>
      <c r="G193">
        <f>'R'!O195</f>
        <v>0</v>
      </c>
      <c r="H193">
        <f>'R'!R195</f>
        <v>6.99</v>
      </c>
      <c r="I193" s="116">
        <f>'R'!Y195</f>
        <v>0</v>
      </c>
    </row>
    <row r="194" spans="1:9">
      <c r="A194">
        <f>'R'!A196</f>
        <v>0</v>
      </c>
      <c r="B194" t="s">
        <v>292</v>
      </c>
      <c r="C194">
        <f>'R'!C196</f>
        <v>7.9299799999999996</v>
      </c>
      <c r="D194">
        <f>'R'!F196</f>
        <v>8.89</v>
      </c>
      <c r="E194">
        <f>'R'!I196</f>
        <v>8.83</v>
      </c>
      <c r="F194">
        <f>'R'!L196</f>
        <v>8.7262833957235593</v>
      </c>
      <c r="G194">
        <f>'R'!O196</f>
        <v>0</v>
      </c>
      <c r="H194">
        <f>'R'!R196</f>
        <v>6.99</v>
      </c>
      <c r="I194" s="116">
        <f>'R'!Y196</f>
        <v>0</v>
      </c>
    </row>
    <row r="195" spans="1:9">
      <c r="A195">
        <f>'R'!A197</f>
        <v>0</v>
      </c>
      <c r="B195" t="s">
        <v>290</v>
      </c>
      <c r="C195">
        <f>'R'!C197</f>
        <v>7.9299799999999996</v>
      </c>
      <c r="D195">
        <f>'R'!F197</f>
        <v>8.89</v>
      </c>
      <c r="E195">
        <f>'R'!I197</f>
        <v>8.83</v>
      </c>
      <c r="F195">
        <f>'R'!L197</f>
        <v>8.7262833957235593</v>
      </c>
      <c r="G195">
        <f>'R'!O197</f>
        <v>0</v>
      </c>
      <c r="H195">
        <f>'R'!R197</f>
        <v>7</v>
      </c>
      <c r="I195" s="116">
        <f>'R'!Y197</f>
        <v>0</v>
      </c>
    </row>
    <row r="196" spans="1:9">
      <c r="A196">
        <f>'R'!A198</f>
        <v>0</v>
      </c>
      <c r="B196" t="s">
        <v>282</v>
      </c>
      <c r="C196">
        <f>'R'!C198</f>
        <v>8.4270099999999992</v>
      </c>
      <c r="D196">
        <f>'R'!F198</f>
        <v>8.17</v>
      </c>
      <c r="E196">
        <f>'R'!I198</f>
        <v>7.94</v>
      </c>
      <c r="F196">
        <f>'R'!L198</f>
        <v>8.8363228331094898</v>
      </c>
      <c r="G196">
        <f>'R'!O198</f>
        <v>8.5399999999999991</v>
      </c>
      <c r="H196">
        <f>'R'!R198</f>
        <v>24.04</v>
      </c>
      <c r="I196" s="116">
        <f>'R'!Y198</f>
        <v>0</v>
      </c>
    </row>
    <row r="197" spans="1:9">
      <c r="A197">
        <f>'R'!A199</f>
        <v>0</v>
      </c>
      <c r="B197" t="s">
        <v>456</v>
      </c>
      <c r="C197">
        <f>'R'!C199</f>
        <v>8.4270099999999992</v>
      </c>
      <c r="D197">
        <f>'R'!F199</f>
        <v>8.17</v>
      </c>
      <c r="E197">
        <f>'R'!I199</f>
        <v>7.94</v>
      </c>
      <c r="F197">
        <f>'R'!L199</f>
        <v>8.8363228424112794</v>
      </c>
      <c r="G197">
        <f>'R'!O199</f>
        <v>8.5399999999999991</v>
      </c>
      <c r="H197">
        <f>'R'!R199</f>
        <v>24.04</v>
      </c>
      <c r="I197" s="116">
        <f>'R'!Y199</f>
        <v>0</v>
      </c>
    </row>
    <row r="198" spans="1:9">
      <c r="A198">
        <f>'R'!A200</f>
        <v>0</v>
      </c>
      <c r="B198" t="s">
        <v>284</v>
      </c>
      <c r="C198">
        <f>'R'!C200</f>
        <v>8.3052600000000005</v>
      </c>
      <c r="D198">
        <f>'R'!F200</f>
        <v>8.11</v>
      </c>
      <c r="E198">
        <f>'R'!I200</f>
        <v>7.89</v>
      </c>
      <c r="F198">
        <f>'R'!L200</f>
        <v>8.7329520948337294</v>
      </c>
      <c r="G198">
        <f>'R'!O200</f>
        <v>8.51</v>
      </c>
      <c r="H198">
        <f>'R'!R200</f>
        <v>13.57</v>
      </c>
      <c r="I198" s="116">
        <f>'R'!Y200</f>
        <v>0</v>
      </c>
    </row>
    <row r="199" spans="1:9">
      <c r="A199">
        <f>'R'!A201</f>
        <v>0</v>
      </c>
      <c r="B199" t="s">
        <v>285</v>
      </c>
      <c r="C199">
        <f>'R'!C201</f>
        <v>8.4140999999999995</v>
      </c>
      <c r="D199">
        <f>'R'!F201</f>
        <v>8.17</v>
      </c>
      <c r="E199">
        <f>'R'!I201</f>
        <v>7.94</v>
      </c>
      <c r="F199">
        <f>'R'!L201</f>
        <v>8.7910868675373006</v>
      </c>
      <c r="G199">
        <f>'R'!O201</f>
        <v>8.5399999999999991</v>
      </c>
      <c r="H199">
        <f>'R'!R201</f>
        <v>15.98</v>
      </c>
      <c r="I199" s="116">
        <f>'R'!Y201</f>
        <v>0</v>
      </c>
    </row>
    <row r="200" spans="1:9">
      <c r="A200">
        <f>'R'!A202</f>
        <v>0</v>
      </c>
      <c r="B200" t="s">
        <v>286</v>
      </c>
      <c r="C200">
        <f>'R'!C202</f>
        <v>8.4441500000000005</v>
      </c>
      <c r="D200">
        <f>'R'!F202</f>
        <v>8.17</v>
      </c>
      <c r="E200">
        <f>'R'!I202</f>
        <v>7.94</v>
      </c>
      <c r="F200">
        <f>'R'!L202</f>
        <v>8.9123428144218799</v>
      </c>
      <c r="G200">
        <f>'R'!O202</f>
        <v>8.5399999999999991</v>
      </c>
      <c r="H200">
        <f>'R'!R202</f>
        <v>33.01</v>
      </c>
      <c r="I200" s="116">
        <f>'R'!Y202</f>
        <v>0</v>
      </c>
    </row>
    <row r="201" spans="1:9">
      <c r="A201">
        <f>'R'!A203</f>
        <v>0</v>
      </c>
      <c r="B201" t="s">
        <v>287</v>
      </c>
      <c r="C201">
        <f>'R'!C203</f>
        <v>8.4215</v>
      </c>
      <c r="D201">
        <f>'R'!F203</f>
        <v>8.17</v>
      </c>
      <c r="E201">
        <f>'R'!I203</f>
        <v>7.94</v>
      </c>
      <c r="F201">
        <f>'R'!L203</f>
        <v>8.9817083115594407</v>
      </c>
      <c r="G201">
        <f>'R'!O203</f>
        <v>8.5399999999999991</v>
      </c>
      <c r="H201">
        <f>'R'!R203</f>
        <v>24.04</v>
      </c>
      <c r="I201" s="116">
        <f>'R'!Y203</f>
        <v>0</v>
      </c>
    </row>
    <row r="202" spans="1:9">
      <c r="A202">
        <f>'R'!A204</f>
        <v>0</v>
      </c>
      <c r="B202" t="s">
        <v>293</v>
      </c>
      <c r="C202">
        <f>'R'!C204</f>
        <v>8.2277799999999992</v>
      </c>
      <c r="D202">
        <f>'R'!F204</f>
        <v>8.11</v>
      </c>
      <c r="E202">
        <f>'R'!I204</f>
        <v>7.89</v>
      </c>
      <c r="F202">
        <f>'R'!L204</f>
        <v>8.8774926192274499</v>
      </c>
      <c r="G202">
        <f>'R'!O204</f>
        <v>8.51</v>
      </c>
      <c r="H202">
        <f>'R'!R204</f>
        <v>14.95</v>
      </c>
      <c r="I202" s="116">
        <f>'R'!Y204</f>
        <v>0</v>
      </c>
    </row>
    <row r="203" spans="1:9">
      <c r="A203">
        <f>'R'!A205</f>
        <v>0</v>
      </c>
      <c r="B203" t="s">
        <v>294</v>
      </c>
      <c r="C203">
        <f>'R'!C205</f>
        <v>8.4485600000000005</v>
      </c>
      <c r="D203">
        <f>'R'!F205</f>
        <v>8.17</v>
      </c>
      <c r="E203">
        <f>'R'!I205</f>
        <v>7.94</v>
      </c>
      <c r="F203">
        <f>'R'!L205</f>
        <v>9.0584269973109208</v>
      </c>
      <c r="G203">
        <f>'R'!O205</f>
        <v>8.5399999999999991</v>
      </c>
      <c r="H203">
        <f>'R'!R205</f>
        <v>33.01</v>
      </c>
      <c r="I203" s="116">
        <f>'R'!Y205</f>
        <v>0</v>
      </c>
    </row>
    <row r="204" spans="1:9">
      <c r="A204">
        <f>'R'!A206</f>
        <v>0</v>
      </c>
      <c r="B204">
        <f>'R'!B206</f>
        <v>0</v>
      </c>
      <c r="C204">
        <f>'R'!C206</f>
        <v>0</v>
      </c>
      <c r="D204">
        <f>'R'!F206</f>
        <v>0</v>
      </c>
      <c r="E204">
        <f>'R'!I206</f>
        <v>0</v>
      </c>
      <c r="F204">
        <f>'R'!L206</f>
        <v>0</v>
      </c>
      <c r="G204">
        <f>'R'!O206</f>
        <v>0</v>
      </c>
      <c r="H204">
        <f>'R'!R206</f>
        <v>0</v>
      </c>
      <c r="I204" s="116">
        <f>'R'!Y206</f>
        <v>0</v>
      </c>
    </row>
    <row r="205" spans="1:9">
      <c r="A205">
        <f>'R'!A207</f>
        <v>0</v>
      </c>
      <c r="B205">
        <f>'R'!B207</f>
        <v>0</v>
      </c>
      <c r="C205">
        <f>'R'!C207</f>
        <v>0</v>
      </c>
      <c r="D205">
        <f>'R'!F207</f>
        <v>0</v>
      </c>
      <c r="E205">
        <f>'R'!I207</f>
        <v>0</v>
      </c>
      <c r="F205">
        <f>'R'!L207</f>
        <v>0</v>
      </c>
      <c r="G205">
        <f>'R'!O207</f>
        <v>0</v>
      </c>
      <c r="H205">
        <f>'R'!R207</f>
        <v>0</v>
      </c>
      <c r="I205" s="116">
        <f>'R'!Y207</f>
        <v>0</v>
      </c>
    </row>
    <row r="206" spans="1:9">
      <c r="A206">
        <f>'R'!A208</f>
        <v>0</v>
      </c>
      <c r="B206">
        <f>'R'!B208</f>
        <v>0</v>
      </c>
      <c r="C206">
        <f>'R'!C208</f>
        <v>0</v>
      </c>
      <c r="D206">
        <f>'R'!F208</f>
        <v>0</v>
      </c>
      <c r="E206">
        <f>'R'!I208</f>
        <v>0</v>
      </c>
      <c r="F206">
        <f>'R'!L208</f>
        <v>0</v>
      </c>
      <c r="G206">
        <f>'R'!O208</f>
        <v>0</v>
      </c>
      <c r="H206">
        <f>'R'!R208</f>
        <v>0</v>
      </c>
      <c r="I206" s="116">
        <f>'R'!Y208</f>
        <v>0</v>
      </c>
    </row>
    <row r="207" spans="1:9">
      <c r="A207">
        <f>'R'!A209</f>
        <v>0</v>
      </c>
      <c r="B207">
        <f>'R'!B209</f>
        <v>0</v>
      </c>
      <c r="C207">
        <f>'R'!C209</f>
        <v>0</v>
      </c>
      <c r="D207">
        <f>'R'!F209</f>
        <v>0</v>
      </c>
      <c r="E207">
        <f>'R'!I209</f>
        <v>0</v>
      </c>
      <c r="F207">
        <f>'R'!L209</f>
        <v>0</v>
      </c>
      <c r="G207">
        <f>'R'!O209</f>
        <v>0</v>
      </c>
      <c r="H207">
        <f>'R'!R209</f>
        <v>0</v>
      </c>
      <c r="I207" s="116">
        <f>'R'!Y209</f>
        <v>0</v>
      </c>
    </row>
    <row r="208" spans="1:9">
      <c r="A208" t="e">
        <f>'R'!#REF!</f>
        <v>#REF!</v>
      </c>
      <c r="B208" t="e">
        <f>'R'!#REF!</f>
        <v>#REF!</v>
      </c>
      <c r="C208" t="e">
        <f>'R'!#REF!</f>
        <v>#REF!</v>
      </c>
      <c r="D208" t="e">
        <f>'R'!#REF!</f>
        <v>#REF!</v>
      </c>
      <c r="E208" t="e">
        <f>'R'!#REF!</f>
        <v>#REF!</v>
      </c>
      <c r="F208" t="e">
        <f>'R'!#REF!</f>
        <v>#REF!</v>
      </c>
      <c r="G208" t="e">
        <f>'R'!#REF!</f>
        <v>#REF!</v>
      </c>
      <c r="H208" t="e">
        <f>'R'!#REF!</f>
        <v>#REF!</v>
      </c>
      <c r="I208" s="116" t="e">
        <f>'R'!#REF!</f>
        <v>#REF!</v>
      </c>
    </row>
    <row r="209" spans="1:9">
      <c r="A209" t="e">
        <f>'R'!#REF!</f>
        <v>#REF!</v>
      </c>
      <c r="B209" t="e">
        <f>'R'!#REF!</f>
        <v>#REF!</v>
      </c>
      <c r="C209" t="e">
        <f>'R'!#REF!</f>
        <v>#REF!</v>
      </c>
      <c r="D209" t="e">
        <f>'R'!#REF!</f>
        <v>#REF!</v>
      </c>
      <c r="E209" t="e">
        <f>'R'!#REF!</f>
        <v>#REF!</v>
      </c>
      <c r="F209" t="e">
        <f>'R'!#REF!</f>
        <v>#REF!</v>
      </c>
      <c r="G209" t="e">
        <f>'R'!#REF!</f>
        <v>#REF!</v>
      </c>
      <c r="H209" t="e">
        <f>'R'!#REF!</f>
        <v>#REF!</v>
      </c>
      <c r="I209" s="116" t="e">
        <f>'R'!#REF!</f>
        <v>#REF!</v>
      </c>
    </row>
    <row r="210" spans="1:9">
      <c r="A210">
        <f>'R'!A210</f>
        <v>0</v>
      </c>
      <c r="B210">
        <f>'R'!B210</f>
        <v>0</v>
      </c>
      <c r="C210">
        <f>'R'!C210</f>
        <v>0</v>
      </c>
      <c r="D210">
        <f>'R'!F210</f>
        <v>0</v>
      </c>
      <c r="E210">
        <f>'R'!I210</f>
        <v>0</v>
      </c>
      <c r="F210">
        <f>'R'!L210</f>
        <v>0</v>
      </c>
      <c r="G210">
        <f>'R'!O210</f>
        <v>0</v>
      </c>
      <c r="H210">
        <f>'R'!R210</f>
        <v>0</v>
      </c>
      <c r="I210" s="116">
        <f>'R'!Y210</f>
        <v>0</v>
      </c>
    </row>
    <row r="211" spans="1:9">
      <c r="A211">
        <f>'R'!A211</f>
        <v>0</v>
      </c>
      <c r="B211">
        <f>'R'!B211</f>
        <v>0</v>
      </c>
      <c r="C211">
        <f>'R'!C211</f>
        <v>0</v>
      </c>
      <c r="D211">
        <f>'R'!F211</f>
        <v>0</v>
      </c>
      <c r="E211">
        <f>'R'!I211</f>
        <v>0</v>
      </c>
      <c r="F211">
        <f>'R'!L211</f>
        <v>0</v>
      </c>
      <c r="G211">
        <f>'R'!O211</f>
        <v>0</v>
      </c>
      <c r="H211">
        <f>'R'!R211</f>
        <v>0</v>
      </c>
      <c r="I211" s="116">
        <f>'R'!Y211</f>
        <v>0</v>
      </c>
    </row>
    <row r="212" spans="1:9">
      <c r="A212">
        <f>'R'!A212</f>
        <v>0</v>
      </c>
      <c r="B212">
        <f>'R'!B212</f>
        <v>0</v>
      </c>
      <c r="C212">
        <f>'R'!C212</f>
        <v>0</v>
      </c>
      <c r="D212">
        <f>'R'!F212</f>
        <v>0</v>
      </c>
      <c r="E212">
        <f>'R'!I212</f>
        <v>0</v>
      </c>
      <c r="F212">
        <f>'R'!L212</f>
        <v>0</v>
      </c>
      <c r="G212">
        <f>'R'!O212</f>
        <v>0</v>
      </c>
      <c r="H212">
        <f>'R'!R212</f>
        <v>0</v>
      </c>
      <c r="I212" s="116">
        <f>'R'!Y212</f>
        <v>0</v>
      </c>
    </row>
    <row r="213" spans="1:9">
      <c r="A213">
        <f>'R'!A213</f>
        <v>0</v>
      </c>
      <c r="B213">
        <f>'R'!B213</f>
        <v>0</v>
      </c>
      <c r="C213">
        <f>'R'!C213</f>
        <v>0</v>
      </c>
      <c r="D213">
        <f>'R'!F213</f>
        <v>0</v>
      </c>
      <c r="E213">
        <f>'R'!I213</f>
        <v>0</v>
      </c>
      <c r="F213">
        <f>'R'!L213</f>
        <v>0</v>
      </c>
      <c r="G213">
        <f>'R'!O213</f>
        <v>0</v>
      </c>
      <c r="H213">
        <f>'R'!R213</f>
        <v>0</v>
      </c>
      <c r="I213" s="116">
        <f>'R'!Y213</f>
        <v>0</v>
      </c>
    </row>
    <row r="214" spans="1:9">
      <c r="A214">
        <f>'R'!A214</f>
        <v>0</v>
      </c>
      <c r="B214">
        <f>'R'!B214</f>
        <v>0</v>
      </c>
      <c r="C214">
        <f>'R'!C214</f>
        <v>0</v>
      </c>
      <c r="D214">
        <f>'R'!F214</f>
        <v>0</v>
      </c>
      <c r="E214">
        <f>'R'!I214</f>
        <v>0</v>
      </c>
      <c r="F214">
        <f>'R'!L214</f>
        <v>0</v>
      </c>
      <c r="G214">
        <f>'R'!O214</f>
        <v>0</v>
      </c>
      <c r="H214">
        <f>'R'!R214</f>
        <v>0</v>
      </c>
      <c r="I214" s="116">
        <f>'R'!Y214</f>
        <v>0</v>
      </c>
    </row>
    <row r="215" spans="1:9">
      <c r="A215">
        <f>'R'!A215</f>
        <v>0</v>
      </c>
      <c r="B215" t="str">
        <f>'R'!B215</f>
        <v>Hourly Integrated Maxima and Minima (Zone Humidity Ratio)</v>
      </c>
      <c r="C215">
        <f>'R'!C215</f>
        <v>0</v>
      </c>
      <c r="D215">
        <f>'R'!F215</f>
        <v>0</v>
      </c>
      <c r="E215">
        <f>'R'!I215</f>
        <v>0</v>
      </c>
      <c r="F215">
        <f>'R'!L215</f>
        <v>0</v>
      </c>
      <c r="G215">
        <f>'R'!O215</f>
        <v>0</v>
      </c>
      <c r="H215">
        <f>'R'!R215</f>
        <v>0</v>
      </c>
      <c r="I215" s="116">
        <f>'R'!Y215</f>
        <v>0</v>
      </c>
    </row>
    <row r="216" spans="1:9">
      <c r="A216">
        <f>'R'!A216</f>
        <v>0</v>
      </c>
      <c r="B216" t="str">
        <f>'R'!B216</f>
        <v>Maximum Humidity Ratio</v>
      </c>
      <c r="C216">
        <f>'R'!C216</f>
        <v>0</v>
      </c>
      <c r="D216">
        <f>'R'!F216</f>
        <v>0</v>
      </c>
      <c r="E216">
        <f>'R'!I216</f>
        <v>0</v>
      </c>
      <c r="F216">
        <f>'R'!L216</f>
        <v>0</v>
      </c>
      <c r="G216">
        <f>'R'!O216</f>
        <v>0</v>
      </c>
      <c r="H216">
        <f>'R'!R216</f>
        <v>0</v>
      </c>
      <c r="I216" s="116">
        <f>'R'!Y216</f>
        <v>0</v>
      </c>
    </row>
    <row r="217" spans="1:9">
      <c r="A217">
        <f>'R'!A217</f>
        <v>0</v>
      </c>
      <c r="B217">
        <f>'R'!B217</f>
        <v>0</v>
      </c>
      <c r="C217" t="str">
        <f>'R'!C217</f>
        <v>TRNSYS</v>
      </c>
      <c r="D217" t="str">
        <f>'R'!F217</f>
        <v>DOE-2.2</v>
      </c>
      <c r="E217" t="str">
        <f>'R'!I217</f>
        <v>DOE21E-E</v>
      </c>
      <c r="F217" t="str">
        <f>'R'!L217</f>
        <v>Energy+</v>
      </c>
      <c r="G217" t="str">
        <f>'R'!O217</f>
        <v>CODYRUN</v>
      </c>
      <c r="H217" t="str">
        <f>'R'!R217</f>
        <v>HOT3000</v>
      </c>
      <c r="I217" s="116">
        <f>'R'!Y217</f>
        <v>0</v>
      </c>
    </row>
    <row r="218" spans="1:9">
      <c r="A218">
        <f>'R'!A218</f>
        <v>0</v>
      </c>
      <c r="B218">
        <f>'R'!B218</f>
        <v>0</v>
      </c>
      <c r="C218" t="s">
        <v>569</v>
      </c>
      <c r="D218" t="s">
        <v>570</v>
      </c>
      <c r="E218" t="s">
        <v>573</v>
      </c>
      <c r="F218" t="s">
        <v>617</v>
      </c>
      <c r="G218" t="s">
        <v>571</v>
      </c>
      <c r="H218" t="s">
        <v>572</v>
      </c>
      <c r="I218" s="116" t="str">
        <f>'R'!Y218</f>
        <v>Your Software</v>
      </c>
    </row>
    <row r="219" spans="1:9">
      <c r="A219">
        <f>'R'!A219</f>
        <v>0</v>
      </c>
      <c r="B219" t="s">
        <v>276</v>
      </c>
      <c r="C219">
        <f>'R'!C219</f>
        <v>1.3284300000000001E-2</v>
      </c>
      <c r="D219">
        <f>'R'!F219</f>
        <v>1.38E-2</v>
      </c>
      <c r="E219">
        <f>'R'!I219</f>
        <v>1.37E-2</v>
      </c>
      <c r="F219">
        <f>'R'!L219</f>
        <v>1.3520493309229401E-2</v>
      </c>
      <c r="G219">
        <f>'R'!O219</f>
        <v>1.3457E-2</v>
      </c>
      <c r="H219">
        <f>'R'!R219</f>
        <v>1.34E-2</v>
      </c>
      <c r="I219" s="116">
        <f>'R'!Y219</f>
        <v>0</v>
      </c>
    </row>
    <row r="220" spans="1:9">
      <c r="A220">
        <f>'R'!A220</f>
        <v>0</v>
      </c>
      <c r="B220" t="s">
        <v>277</v>
      </c>
      <c r="C220">
        <f>'R'!C220</f>
        <v>1.57501E-2</v>
      </c>
      <c r="D220">
        <f>'R'!F220</f>
        <v>1.8800000000000001E-2</v>
      </c>
      <c r="E220">
        <f>'R'!I220</f>
        <v>1.89E-2</v>
      </c>
      <c r="F220">
        <f>'R'!L220</f>
        <v>1.5501679513224099E-2</v>
      </c>
      <c r="G220">
        <f>'R'!O220</f>
        <v>1.5432E-2</v>
      </c>
      <c r="H220">
        <f>'R'!R220</f>
        <v>1.5699999999999999E-2</v>
      </c>
      <c r="I220" s="116">
        <f>'R'!Y220</f>
        <v>0</v>
      </c>
    </row>
    <row r="221" spans="1:9">
      <c r="A221">
        <f>'R'!A221</f>
        <v>0</v>
      </c>
      <c r="B221" t="s">
        <v>278</v>
      </c>
      <c r="C221">
        <f>'R'!C221</f>
        <v>1.8016899999999999E-2</v>
      </c>
      <c r="D221">
        <f>'R'!F221</f>
        <v>1.77E-2</v>
      </c>
      <c r="E221">
        <f>'R'!I221</f>
        <v>1.7600000000000001E-2</v>
      </c>
      <c r="F221">
        <f>'R'!L221</f>
        <v>1.7702793120556701E-2</v>
      </c>
      <c r="G221">
        <f>'R'!O221</f>
        <v>1.7547E-2</v>
      </c>
      <c r="H221">
        <f>'R'!R221</f>
        <v>1.77E-2</v>
      </c>
      <c r="I221" s="116">
        <f>'R'!Y221</f>
        <v>0</v>
      </c>
    </row>
    <row r="222" spans="1:9">
      <c r="A222">
        <f>'R'!A222</f>
        <v>0</v>
      </c>
      <c r="B222" t="s">
        <v>279</v>
      </c>
      <c r="C222">
        <f>'R'!C222</f>
        <v>1.7651400000000001E-2</v>
      </c>
      <c r="D222">
        <f>'R'!F222</f>
        <v>1.78E-2</v>
      </c>
      <c r="E222">
        <f>'R'!I222</f>
        <v>1.77E-2</v>
      </c>
      <c r="F222">
        <f>'R'!L222</f>
        <v>1.7823450757128899E-2</v>
      </c>
      <c r="G222">
        <f>'R'!O222</f>
        <v>1.7045000000000001E-2</v>
      </c>
      <c r="H222">
        <f>'R'!R222</f>
        <v>1.77E-2</v>
      </c>
      <c r="I222" s="116">
        <f>'R'!Y222</f>
        <v>0</v>
      </c>
    </row>
    <row r="223" spans="1:9">
      <c r="A223">
        <f>'R'!A223</f>
        <v>0</v>
      </c>
      <c r="B223" t="s">
        <v>449</v>
      </c>
      <c r="C223">
        <f>'R'!C223</f>
        <v>1.7871399999999999E-2</v>
      </c>
      <c r="D223">
        <f>'R'!F223</f>
        <v>1.77E-2</v>
      </c>
      <c r="E223">
        <f>'R'!I223</f>
        <v>1.7399999999999999E-2</v>
      </c>
      <c r="F223">
        <f>'R'!L223</f>
        <v>1.77073946781496E-2</v>
      </c>
      <c r="G223">
        <f>'R'!O223</f>
        <v>1.7271999999999999E-2</v>
      </c>
      <c r="H223">
        <f>'R'!R223</f>
        <v>1.77E-2</v>
      </c>
      <c r="I223" s="116">
        <f>'R'!Y223</f>
        <v>0</v>
      </c>
    </row>
    <row r="224" spans="1:9">
      <c r="A224">
        <f>'R'!A224</f>
        <v>0</v>
      </c>
      <c r="B224" t="s">
        <v>280</v>
      </c>
      <c r="C224">
        <f>'R'!C224</f>
        <v>1.6758200000000001E-2</v>
      </c>
      <c r="D224">
        <f>'R'!F224</f>
        <v>1.9900000000000001E-2</v>
      </c>
      <c r="E224">
        <f>'R'!I224</f>
        <v>1.9900000000000001E-2</v>
      </c>
      <c r="F224">
        <f>'R'!L224</f>
        <v>1.6944945323193399E-2</v>
      </c>
      <c r="G224">
        <f>'R'!O224</f>
        <v>1.6479000000000001E-2</v>
      </c>
      <c r="H224">
        <f>'R'!R224</f>
        <v>1.66E-2</v>
      </c>
      <c r="I224" s="116">
        <f>'R'!Y224</f>
        <v>0</v>
      </c>
    </row>
    <row r="225" spans="1:9">
      <c r="A225">
        <f>'R'!A225</f>
        <v>0</v>
      </c>
      <c r="B225" t="s">
        <v>281</v>
      </c>
      <c r="C225">
        <f>'R'!C225</f>
        <v>1.34334E-2</v>
      </c>
      <c r="D225">
        <f>'R'!F225</f>
        <v>1.38E-2</v>
      </c>
      <c r="E225">
        <f>'R'!I225</f>
        <v>1.37E-2</v>
      </c>
      <c r="F225">
        <f>'R'!L225</f>
        <v>1.35204580758931E-2</v>
      </c>
      <c r="G225">
        <f>'R'!O225</f>
        <v>1.3457E-2</v>
      </c>
      <c r="H225">
        <f>'R'!R225</f>
        <v>1.34E-2</v>
      </c>
      <c r="I225" s="116">
        <f>'R'!Y225</f>
        <v>0</v>
      </c>
    </row>
    <row r="226" spans="1:9">
      <c r="A226">
        <f>'R'!A226</f>
        <v>0</v>
      </c>
      <c r="B226" t="s">
        <v>291</v>
      </c>
      <c r="C226">
        <f>'R'!C226</f>
        <v>1.69436E-2</v>
      </c>
      <c r="D226">
        <f>'R'!F226</f>
        <v>1.7000000000000001E-2</v>
      </c>
      <c r="E226">
        <f>'R'!I226</f>
        <v>1.7000000000000001E-2</v>
      </c>
      <c r="F226">
        <f>'R'!L226</f>
        <v>1.6893284106592101E-2</v>
      </c>
      <c r="G226">
        <f>'R'!O226</f>
        <v>0</v>
      </c>
      <c r="H226">
        <f>'R'!R226</f>
        <v>1.7299999999999999E-2</v>
      </c>
      <c r="I226" s="116">
        <f>'R'!Y226</f>
        <v>0</v>
      </c>
    </row>
    <row r="227" spans="1:9">
      <c r="A227">
        <f>'R'!A227</f>
        <v>0</v>
      </c>
      <c r="B227" t="s">
        <v>288</v>
      </c>
      <c r="C227">
        <f>'R'!C227</f>
        <v>1.68355E-2</v>
      </c>
      <c r="D227">
        <f>'R'!F227</f>
        <v>1.6899999999999998E-2</v>
      </c>
      <c r="E227">
        <f>'R'!I227</f>
        <v>1.6899999999999998E-2</v>
      </c>
      <c r="F227">
        <f>'R'!L227</f>
        <v>0</v>
      </c>
      <c r="G227">
        <f>'R'!O227</f>
        <v>0</v>
      </c>
      <c r="H227">
        <f>'R'!R227</f>
        <v>1.7299999999999999E-2</v>
      </c>
      <c r="I227" s="116">
        <f>'R'!Y227</f>
        <v>0</v>
      </c>
    </row>
    <row r="228" spans="1:9">
      <c r="A228">
        <f>'R'!A228</f>
        <v>0</v>
      </c>
      <c r="B228" t="s">
        <v>289</v>
      </c>
      <c r="C228">
        <f>'R'!C228</f>
        <v>1.42968E-2</v>
      </c>
      <c r="D228">
        <f>'R'!F228</f>
        <v>1.47E-2</v>
      </c>
      <c r="E228">
        <f>'R'!I228</f>
        <v>1.41E-2</v>
      </c>
      <c r="F228">
        <f>'R'!L228</f>
        <v>1.46066109554102E-2</v>
      </c>
      <c r="G228">
        <f>'R'!O228</f>
        <v>0</v>
      </c>
      <c r="H228">
        <f>'R'!R228</f>
        <v>1.47E-2</v>
      </c>
      <c r="I228" s="116">
        <f>'R'!Y228</f>
        <v>0</v>
      </c>
    </row>
    <row r="229" spans="1:9">
      <c r="A229">
        <f>'R'!A229</f>
        <v>0</v>
      </c>
      <c r="B229" t="s">
        <v>292</v>
      </c>
      <c r="C229">
        <f>'R'!C229</f>
        <v>1.6230600000000001E-2</v>
      </c>
      <c r="D229">
        <f>'R'!F229</f>
        <v>1.5599999999999999E-2</v>
      </c>
      <c r="E229">
        <f>'R'!I229</f>
        <v>1.5599999999999999E-2</v>
      </c>
      <c r="F229">
        <f>'R'!L229</f>
        <v>1.6146153506642301E-2</v>
      </c>
      <c r="G229">
        <f>'R'!O229</f>
        <v>0</v>
      </c>
      <c r="H229">
        <f>'R'!R229</f>
        <v>1.5800000000000002E-2</v>
      </c>
      <c r="I229" s="116">
        <f>'R'!Y229</f>
        <v>0</v>
      </c>
    </row>
    <row r="230" spans="1:9">
      <c r="A230">
        <f>'R'!A230</f>
        <v>0</v>
      </c>
      <c r="B230" t="s">
        <v>290</v>
      </c>
      <c r="C230">
        <f>'R'!C230</f>
        <v>1.33128E-2</v>
      </c>
      <c r="D230">
        <f>'R'!F230</f>
        <v>1.38E-2</v>
      </c>
      <c r="E230">
        <f>'R'!I230</f>
        <v>1.37E-2</v>
      </c>
      <c r="F230">
        <f>'R'!L230</f>
        <v>1.35204933108933E-2</v>
      </c>
      <c r="G230">
        <f>'R'!O230</f>
        <v>0</v>
      </c>
      <c r="H230">
        <f>'R'!R230</f>
        <v>1.34E-2</v>
      </c>
      <c r="I230" s="116">
        <f>'R'!Y230</f>
        <v>0</v>
      </c>
    </row>
    <row r="231" spans="1:9">
      <c r="A231">
        <f>'R'!A231</f>
        <v>0</v>
      </c>
      <c r="B231" t="s">
        <v>282</v>
      </c>
      <c r="C231">
        <f>'R'!C231</f>
        <v>1.17197E-2</v>
      </c>
      <c r="D231">
        <f>'R'!F231</f>
        <v>1.1900000000000001E-2</v>
      </c>
      <c r="E231">
        <f>'R'!I231</f>
        <v>1.18E-2</v>
      </c>
      <c r="F231">
        <f>'R'!L231</f>
        <v>1.1379725785156501E-2</v>
      </c>
      <c r="G231">
        <f>'R'!O231</f>
        <v>1.1712999999999999E-2</v>
      </c>
      <c r="H231">
        <f>'R'!R231</f>
        <v>1.15E-2</v>
      </c>
      <c r="I231" s="116">
        <f>'R'!Y231</f>
        <v>0</v>
      </c>
    </row>
    <row r="232" spans="1:9">
      <c r="A232">
        <f>'R'!A232</f>
        <v>0</v>
      </c>
      <c r="B232" t="s">
        <v>456</v>
      </c>
      <c r="C232">
        <f>'R'!C232</f>
        <v>1.1871400000000001E-2</v>
      </c>
      <c r="D232">
        <f>'R'!F232</f>
        <v>1.1900000000000001E-2</v>
      </c>
      <c r="E232">
        <f>'R'!I232</f>
        <v>1.1900000000000001E-2</v>
      </c>
      <c r="F232">
        <f>'R'!L232</f>
        <v>1.1389731906607199E-2</v>
      </c>
      <c r="G232">
        <f>'R'!O232</f>
        <v>1.1716000000000001E-2</v>
      </c>
      <c r="H232">
        <f>'R'!R232</f>
        <v>1.15E-2</v>
      </c>
      <c r="I232" s="116">
        <f>'R'!Y232</f>
        <v>0</v>
      </c>
    </row>
    <row r="233" spans="1:9">
      <c r="A233">
        <f>'R'!A233</f>
        <v>0</v>
      </c>
      <c r="B233" t="s">
        <v>284</v>
      </c>
      <c r="C233">
        <f>'R'!C233</f>
        <v>7.5403099999999997E-3</v>
      </c>
      <c r="D233">
        <f>'R'!F233</f>
        <v>7.7000000000000002E-3</v>
      </c>
      <c r="E233">
        <f>'R'!I233</f>
        <v>7.7999999999999996E-3</v>
      </c>
      <c r="F233">
        <f>'R'!L233</f>
        <v>7.1039765582544398E-3</v>
      </c>
      <c r="G233">
        <f>'R'!O233</f>
        <v>7.5659999999999998E-3</v>
      </c>
      <c r="H233">
        <f>'R'!R233</f>
        <v>1.06E-2</v>
      </c>
      <c r="I233" s="116">
        <f>'R'!Y233</f>
        <v>0</v>
      </c>
    </row>
    <row r="234" spans="1:9">
      <c r="A234">
        <f>'R'!A234</f>
        <v>0</v>
      </c>
      <c r="B234" t="s">
        <v>285</v>
      </c>
      <c r="C234">
        <f>'R'!C234</f>
        <v>9.42635E-3</v>
      </c>
      <c r="D234">
        <f>'R'!F234</f>
        <v>9.4999999999999998E-3</v>
      </c>
      <c r="E234">
        <f>'R'!I234</f>
        <v>1.38E-2</v>
      </c>
      <c r="F234">
        <f>'R'!L234</f>
        <v>8.9745117656923005E-3</v>
      </c>
      <c r="G234">
        <f>'R'!O234</f>
        <v>9.3980000000000001E-3</v>
      </c>
      <c r="H234">
        <f>'R'!R234</f>
        <v>1.0699999999999999E-2</v>
      </c>
      <c r="I234" s="116">
        <f>'R'!Y234</f>
        <v>0</v>
      </c>
    </row>
    <row r="235" spans="1:9">
      <c r="A235">
        <f>'R'!A235</f>
        <v>0</v>
      </c>
      <c r="B235" t="s">
        <v>286</v>
      </c>
      <c r="C235">
        <f>'R'!C235</f>
        <v>1.7932400000000001E-2</v>
      </c>
      <c r="D235">
        <f>'R'!F235</f>
        <v>1.7999999999999999E-2</v>
      </c>
      <c r="E235">
        <f>'R'!I235</f>
        <v>1.7999999999999999E-2</v>
      </c>
      <c r="F235">
        <f>'R'!L235</f>
        <v>1.78484256691855E-2</v>
      </c>
      <c r="G235">
        <f>'R'!O235</f>
        <v>1.7625999999999999E-2</v>
      </c>
      <c r="H235">
        <f>'R'!R235</f>
        <v>1.7299999999999999E-2</v>
      </c>
      <c r="I235" s="116">
        <f>'R'!Y235</f>
        <v>0</v>
      </c>
    </row>
    <row r="236" spans="1:9">
      <c r="A236">
        <f>'R'!A236</f>
        <v>0</v>
      </c>
      <c r="B236" t="s">
        <v>287</v>
      </c>
      <c r="C236">
        <f>'R'!C236</f>
        <v>6.9891500000000004E-3</v>
      </c>
      <c r="D236">
        <f>'R'!F236</f>
        <v>8.0999999999999996E-3</v>
      </c>
      <c r="E236">
        <f>'R'!I236</f>
        <v>8.0999999999999996E-3</v>
      </c>
      <c r="F236">
        <f>'R'!L236</f>
        <v>6.7903925251216E-3</v>
      </c>
      <c r="G236">
        <f>'R'!O236</f>
        <v>5.4910000000000002E-3</v>
      </c>
      <c r="H236">
        <f>'R'!R236</f>
        <v>6.77E-3</v>
      </c>
      <c r="I236" s="116">
        <f>'R'!Y236</f>
        <v>0</v>
      </c>
    </row>
    <row r="237" spans="1:9">
      <c r="A237">
        <f>'R'!A237</f>
        <v>0</v>
      </c>
      <c r="B237" t="s">
        <v>293</v>
      </c>
      <c r="C237">
        <f>'R'!C237</f>
        <v>6.0840499999999997E-3</v>
      </c>
      <c r="D237">
        <f>'R'!F237</f>
        <v>5.0000000000000001E-3</v>
      </c>
      <c r="E237">
        <f>'R'!I237</f>
        <v>6.3E-3</v>
      </c>
      <c r="F237">
        <f>'R'!L237</f>
        <v>6.7903925251215401E-3</v>
      </c>
      <c r="G237">
        <f>'R'!O237</f>
        <v>3.2560000000000002E-3</v>
      </c>
      <c r="H237">
        <f>'R'!R237</f>
        <v>6.3400000000000001E-3</v>
      </c>
      <c r="I237" s="116">
        <f>'R'!Y237</f>
        <v>0</v>
      </c>
    </row>
    <row r="238" spans="1:9">
      <c r="A238">
        <f>'R'!A238</f>
        <v>0</v>
      </c>
      <c r="B238" t="s">
        <v>294</v>
      </c>
      <c r="C238">
        <f>'R'!C238</f>
        <v>6.9891500000000004E-3</v>
      </c>
      <c r="D238">
        <f>'R'!F238</f>
        <v>1.2200000000000001E-2</v>
      </c>
      <c r="E238">
        <f>'R'!I238</f>
        <v>1.2200000000000001E-2</v>
      </c>
      <c r="F238">
        <f>'R'!L238</f>
        <v>6.7903925251259298E-3</v>
      </c>
      <c r="G238">
        <f>'R'!O238</f>
        <v>6.6889999999999996E-3</v>
      </c>
      <c r="H238">
        <f>'R'!R238</f>
        <v>7.6299999999999996E-3</v>
      </c>
      <c r="I238" s="116">
        <f>'R'!Y238</f>
        <v>0</v>
      </c>
    </row>
    <row r="239" spans="1:9">
      <c r="A239">
        <f>'R'!A239</f>
        <v>0</v>
      </c>
      <c r="B239" t="str">
        <f>'R'!B239</f>
        <v>Minimum Humidity Ratio</v>
      </c>
      <c r="C239">
        <f>'R'!C239</f>
        <v>0</v>
      </c>
      <c r="D239">
        <f>'R'!F239</f>
        <v>0</v>
      </c>
      <c r="E239">
        <f>'R'!I239</f>
        <v>0</v>
      </c>
      <c r="F239">
        <f>'R'!L239</f>
        <v>0</v>
      </c>
      <c r="G239">
        <f>'R'!O239</f>
        <v>0</v>
      </c>
      <c r="H239">
        <f>'R'!R239</f>
        <v>0</v>
      </c>
      <c r="I239" s="116">
        <f>'R'!Y239</f>
        <v>0</v>
      </c>
    </row>
    <row r="240" spans="1:9">
      <c r="A240">
        <f>'R'!A240</f>
        <v>0</v>
      </c>
      <c r="B240">
        <f>'R'!B240</f>
        <v>0</v>
      </c>
      <c r="C240" t="str">
        <f>'R'!C240</f>
        <v>TRNSYS</v>
      </c>
      <c r="D240" t="str">
        <f>'R'!F240</f>
        <v>DOE-2.2</v>
      </c>
      <c r="E240" t="str">
        <f>'R'!I240</f>
        <v>DOE21E-E</v>
      </c>
      <c r="F240" t="str">
        <f>'R'!L240</f>
        <v>Energy+</v>
      </c>
      <c r="G240" t="str">
        <f>'R'!O240</f>
        <v>CODYRUN</v>
      </c>
      <c r="H240" t="str">
        <f>'R'!R240</f>
        <v>HOT3000</v>
      </c>
      <c r="I240" s="116">
        <f>'R'!Y240</f>
        <v>0</v>
      </c>
    </row>
    <row r="241" spans="1:9">
      <c r="A241">
        <f>'R'!A241</f>
        <v>0</v>
      </c>
      <c r="B241">
        <f>'R'!B241</f>
        <v>0</v>
      </c>
      <c r="C241" t="s">
        <v>569</v>
      </c>
      <c r="D241" t="s">
        <v>570</v>
      </c>
      <c r="E241" t="s">
        <v>573</v>
      </c>
      <c r="F241" t="s">
        <v>617</v>
      </c>
      <c r="G241" t="s">
        <v>571</v>
      </c>
      <c r="H241" t="s">
        <v>572</v>
      </c>
      <c r="I241" s="116" t="str">
        <f>'R'!Y241</f>
        <v>Your Software</v>
      </c>
    </row>
    <row r="242" spans="1:9">
      <c r="A242">
        <f>'R'!A242</f>
        <v>0</v>
      </c>
      <c r="B242" t="s">
        <v>276</v>
      </c>
      <c r="C242">
        <f>'R'!C242</f>
        <v>1.87685E-3</v>
      </c>
      <c r="D242">
        <f>'R'!F242</f>
        <v>1.6999999999999999E-3</v>
      </c>
      <c r="E242">
        <f>'R'!I242</f>
        <v>1.6999999999999999E-3</v>
      </c>
      <c r="F242">
        <f>'R'!L242</f>
        <v>1.9292157767827299E-3</v>
      </c>
      <c r="G242">
        <f>'R'!O242</f>
        <v>1.9680000000000001E-3</v>
      </c>
      <c r="H242">
        <f>'R'!R242</f>
        <v>1.97E-3</v>
      </c>
      <c r="I242" s="116">
        <f>'R'!Y242</f>
        <v>0</v>
      </c>
    </row>
    <row r="243" spans="1:9">
      <c r="A243">
        <f>'R'!A243</f>
        <v>0</v>
      </c>
      <c r="B243" t="s">
        <v>277</v>
      </c>
      <c r="C243">
        <f>'R'!C243</f>
        <v>1.8768599999999999E-3</v>
      </c>
      <c r="D243">
        <f>'R'!F243</f>
        <v>1.6999999999999999E-3</v>
      </c>
      <c r="E243">
        <f>'R'!I243</f>
        <v>1.6999999999999999E-3</v>
      </c>
      <c r="F243">
        <f>'R'!L243</f>
        <v>1.94348508990299E-3</v>
      </c>
      <c r="G243">
        <f>'R'!O243</f>
        <v>2.019E-3</v>
      </c>
      <c r="H243">
        <f>'R'!R243</f>
        <v>1.9599999999999999E-3</v>
      </c>
      <c r="I243" s="116">
        <f>'R'!Y243</f>
        <v>0</v>
      </c>
    </row>
    <row r="244" spans="1:9">
      <c r="A244">
        <f>'R'!A244</f>
        <v>0</v>
      </c>
      <c r="B244" t="s">
        <v>278</v>
      </c>
      <c r="C244">
        <f>'R'!C244</f>
        <v>1.87685E-3</v>
      </c>
      <c r="D244">
        <f>'R'!F244</f>
        <v>1.6999999999999999E-3</v>
      </c>
      <c r="E244">
        <f>'R'!I244</f>
        <v>1.6999999999999999E-3</v>
      </c>
      <c r="F244">
        <f>'R'!L244</f>
        <v>1.9350936123160301E-3</v>
      </c>
      <c r="G244">
        <f>'R'!O244</f>
        <v>1.9680000000000001E-3</v>
      </c>
      <c r="H244">
        <f>'R'!R244</f>
        <v>1.97E-3</v>
      </c>
      <c r="I244" s="116">
        <f>'R'!Y244</f>
        <v>0</v>
      </c>
    </row>
    <row r="245" spans="1:9">
      <c r="A245">
        <f>'R'!A245</f>
        <v>0</v>
      </c>
      <c r="B245" t="s">
        <v>279</v>
      </c>
      <c r="C245">
        <f>'R'!C245</f>
        <v>1.87685E-3</v>
      </c>
      <c r="D245">
        <f>'R'!F245</f>
        <v>1.6999999999999999E-3</v>
      </c>
      <c r="E245">
        <f>'R'!I245</f>
        <v>1.6999999999999999E-3</v>
      </c>
      <c r="F245">
        <f>'R'!L245</f>
        <v>1.92919867778698E-3</v>
      </c>
      <c r="G245">
        <f>'R'!O245</f>
        <v>1.9680000000000001E-3</v>
      </c>
      <c r="H245">
        <f>'R'!R245</f>
        <v>1.97E-3</v>
      </c>
      <c r="I245" s="116">
        <f>'R'!Y245</f>
        <v>0</v>
      </c>
    </row>
    <row r="246" spans="1:9">
      <c r="A246">
        <f>'R'!A246</f>
        <v>0</v>
      </c>
      <c r="B246" t="s">
        <v>449</v>
      </c>
      <c r="C246">
        <f>'R'!C246</f>
        <v>1.87685E-3</v>
      </c>
      <c r="D246">
        <f>'R'!F246</f>
        <v>1.6999999999999999E-3</v>
      </c>
      <c r="E246">
        <f>'R'!I246</f>
        <v>1.6999999999999999E-3</v>
      </c>
      <c r="F246">
        <f>'R'!L246</f>
        <v>1.92919867778698E-3</v>
      </c>
      <c r="G246">
        <f>'R'!O246</f>
        <v>1.9680000000000001E-3</v>
      </c>
      <c r="H246">
        <f>'R'!R246</f>
        <v>1.97E-3</v>
      </c>
      <c r="I246" s="116">
        <f>'R'!Y246</f>
        <v>0</v>
      </c>
    </row>
    <row r="247" spans="1:9">
      <c r="A247">
        <f>'R'!A247</f>
        <v>0</v>
      </c>
      <c r="B247" t="s">
        <v>280</v>
      </c>
      <c r="C247">
        <f>'R'!C247</f>
        <v>1.87685E-3</v>
      </c>
      <c r="D247">
        <f>'R'!F247</f>
        <v>1.6999999999999999E-3</v>
      </c>
      <c r="E247">
        <f>'R'!I247</f>
        <v>1.6999999999999999E-3</v>
      </c>
      <c r="F247">
        <f>'R'!L247</f>
        <v>1.9292157767827299E-3</v>
      </c>
      <c r="G247">
        <f>'R'!O247</f>
        <v>1.9680000000000001E-3</v>
      </c>
      <c r="H247">
        <f>'R'!R247</f>
        <v>1.97E-3</v>
      </c>
      <c r="I247" s="116">
        <f>'R'!Y247</f>
        <v>0</v>
      </c>
    </row>
    <row r="248" spans="1:9">
      <c r="A248">
        <f>'R'!A248</f>
        <v>0</v>
      </c>
      <c r="B248" t="s">
        <v>281</v>
      </c>
      <c r="C248">
        <f>'R'!C248</f>
        <v>1.87685E-3</v>
      </c>
      <c r="D248">
        <f>'R'!F248</f>
        <v>1.6999999999999999E-3</v>
      </c>
      <c r="E248">
        <f>'R'!I248</f>
        <v>1.6999999999999999E-3</v>
      </c>
      <c r="F248">
        <f>'R'!L248</f>
        <v>1.9292157545680701E-3</v>
      </c>
      <c r="G248">
        <f>'R'!O248</f>
        <v>1.9680000000000001E-3</v>
      </c>
      <c r="H248">
        <f>'R'!R248</f>
        <v>1.97E-3</v>
      </c>
      <c r="I248" s="116">
        <f>'R'!Y248</f>
        <v>0</v>
      </c>
    </row>
    <row r="249" spans="1:9">
      <c r="A249">
        <f>'R'!A249</f>
        <v>0</v>
      </c>
      <c r="B249" t="s">
        <v>291</v>
      </c>
      <c r="C249">
        <f>'R'!C249</f>
        <v>1.87685E-3</v>
      </c>
      <c r="D249">
        <f>'R'!F249</f>
        <v>1.6999999999999999E-3</v>
      </c>
      <c r="E249">
        <f>'R'!I249</f>
        <v>1.6999999999999999E-3</v>
      </c>
      <c r="F249">
        <f>'R'!L249</f>
        <v>1.9292157798758199E-3</v>
      </c>
      <c r="G249">
        <f>'R'!O249</f>
        <v>0</v>
      </c>
      <c r="H249">
        <f>'R'!R249</f>
        <v>1.97E-3</v>
      </c>
      <c r="I249" s="116">
        <f>'R'!Y249</f>
        <v>0</v>
      </c>
    </row>
    <row r="250" spans="1:9">
      <c r="A250">
        <f>'R'!A250</f>
        <v>0</v>
      </c>
      <c r="B250" t="s">
        <v>288</v>
      </c>
      <c r="C250">
        <f>'R'!C250</f>
        <v>1.87685E-3</v>
      </c>
      <c r="D250">
        <f>'R'!F250</f>
        <v>1.6999999999999999E-3</v>
      </c>
      <c r="E250">
        <f>'R'!I250</f>
        <v>1.6999999999999999E-3</v>
      </c>
      <c r="F250">
        <f>'R'!L250</f>
        <v>0</v>
      </c>
      <c r="G250">
        <f>'R'!O250</f>
        <v>0</v>
      </c>
      <c r="H250">
        <f>'R'!R250</f>
        <v>1.97E-3</v>
      </c>
      <c r="I250" s="116">
        <f>'R'!Y250</f>
        <v>0</v>
      </c>
    </row>
    <row r="251" spans="1:9">
      <c r="A251">
        <f>'R'!A251</f>
        <v>0</v>
      </c>
      <c r="B251" t="s">
        <v>289</v>
      </c>
      <c r="C251">
        <f>'R'!C251</f>
        <v>1.87685E-3</v>
      </c>
      <c r="D251">
        <f>'R'!F251</f>
        <v>1.6999999999999999E-3</v>
      </c>
      <c r="E251">
        <f>'R'!I251</f>
        <v>1.6999999999999999E-3</v>
      </c>
      <c r="F251">
        <f>'R'!L251</f>
        <v>1.9292157760132599E-3</v>
      </c>
      <c r="G251">
        <f>'R'!O251</f>
        <v>0</v>
      </c>
      <c r="H251">
        <f>'R'!R251</f>
        <v>1.97E-3</v>
      </c>
      <c r="I251" s="116">
        <f>'R'!Y251</f>
        <v>0</v>
      </c>
    </row>
    <row r="252" spans="1:9">
      <c r="A252">
        <f>'R'!A252</f>
        <v>0</v>
      </c>
      <c r="B252" t="s">
        <v>292</v>
      </c>
      <c r="C252">
        <f>'R'!C252</f>
        <v>1.87685E-3</v>
      </c>
      <c r="D252">
        <f>'R'!F252</f>
        <v>1.6999999999999999E-3</v>
      </c>
      <c r="E252">
        <f>'R'!I252</f>
        <v>1.6999999999999999E-3</v>
      </c>
      <c r="F252">
        <f>'R'!L252</f>
        <v>1.9292157798758199E-3</v>
      </c>
      <c r="G252">
        <f>'R'!O252</f>
        <v>0</v>
      </c>
      <c r="H252">
        <f>'R'!R252</f>
        <v>1.97E-3</v>
      </c>
      <c r="I252" s="116">
        <f>'R'!Y252</f>
        <v>0</v>
      </c>
    </row>
    <row r="253" spans="1:9">
      <c r="A253">
        <f>'R'!A253</f>
        <v>0</v>
      </c>
      <c r="B253" t="s">
        <v>290</v>
      </c>
      <c r="C253">
        <f>'R'!C253</f>
        <v>1.87685E-3</v>
      </c>
      <c r="D253">
        <f>'R'!F253</f>
        <v>1.6999999999999999E-3</v>
      </c>
      <c r="E253">
        <f>'R'!I253</f>
        <v>1.6999999999999999E-3</v>
      </c>
      <c r="F253">
        <f>'R'!L253</f>
        <v>1.9292157758506901E-3</v>
      </c>
      <c r="G253">
        <f>'R'!O253</f>
        <v>0</v>
      </c>
      <c r="H253">
        <f>'R'!R253</f>
        <v>1.97E-3</v>
      </c>
      <c r="I253" s="116">
        <f>'R'!Y253</f>
        <v>0</v>
      </c>
    </row>
    <row r="254" spans="1:9">
      <c r="A254">
        <f>'R'!A254</f>
        <v>0</v>
      </c>
      <c r="B254" t="s">
        <v>282</v>
      </c>
      <c r="C254">
        <f>'R'!C254</f>
        <v>6.8275599999999999E-3</v>
      </c>
      <c r="D254">
        <f>'R'!F254</f>
        <v>0</v>
      </c>
      <c r="E254">
        <f>'R'!I254</f>
        <v>0</v>
      </c>
      <c r="F254">
        <f>'R'!L254</f>
        <v>6.9608057741923903E-3</v>
      </c>
      <c r="G254">
        <f>'R'!O254</f>
        <v>6.9080000000000001E-3</v>
      </c>
      <c r="H254">
        <f>'R'!R254</f>
        <v>1.03E-2</v>
      </c>
      <c r="I254" s="116">
        <f>'R'!Y254</f>
        <v>0</v>
      </c>
    </row>
    <row r="255" spans="1:9">
      <c r="A255">
        <f>'R'!A255</f>
        <v>0</v>
      </c>
      <c r="B255" t="s">
        <v>456</v>
      </c>
      <c r="C255">
        <f>'R'!C255</f>
        <v>6.8275599999999999E-3</v>
      </c>
      <c r="D255">
        <f>'R'!F255</f>
        <v>0</v>
      </c>
      <c r="E255">
        <f>'R'!I255</f>
        <v>0</v>
      </c>
      <c r="F255">
        <f>'R'!L255</f>
        <v>6.9608057741923903E-3</v>
      </c>
      <c r="G255">
        <f>'R'!O255</f>
        <v>6.9080000000000001E-3</v>
      </c>
      <c r="H255">
        <f>'R'!R255</f>
        <v>1.0500000000000001E-2</v>
      </c>
      <c r="I255" s="116">
        <f>'R'!Y255</f>
        <v>0</v>
      </c>
    </row>
    <row r="256" spans="1:9">
      <c r="A256">
        <f>'R'!A256</f>
        <v>0</v>
      </c>
      <c r="B256" t="s">
        <v>284</v>
      </c>
      <c r="C256">
        <f>'R'!C256</f>
        <v>6.1029600000000002E-3</v>
      </c>
      <c r="D256">
        <f>'R'!F256</f>
        <v>0</v>
      </c>
      <c r="E256">
        <f>'R'!I256</f>
        <v>0</v>
      </c>
      <c r="F256">
        <f>'R'!L256</f>
        <v>6.4660207705716996E-3</v>
      </c>
      <c r="G256">
        <f>'R'!O256</f>
        <v>6.5250000000000004E-3</v>
      </c>
      <c r="H256">
        <f>'R'!R256</f>
        <v>6.5700000000000003E-3</v>
      </c>
      <c r="I256" s="116">
        <f>'R'!Y256</f>
        <v>0</v>
      </c>
    </row>
    <row r="257" spans="1:9">
      <c r="A257">
        <f>'R'!A257</f>
        <v>0</v>
      </c>
      <c r="B257" t="s">
        <v>285</v>
      </c>
      <c r="C257">
        <f>'R'!C257</f>
        <v>6.8214900000000004E-3</v>
      </c>
      <c r="D257">
        <f>'R'!F257</f>
        <v>0</v>
      </c>
      <c r="E257">
        <f>'R'!I257</f>
        <v>0</v>
      </c>
      <c r="F257">
        <f>'R'!L257</f>
        <v>6.9387995884298099E-3</v>
      </c>
      <c r="G257">
        <f>'R'!O257</f>
        <v>6.9080000000000001E-3</v>
      </c>
      <c r="H257">
        <f>'R'!R257</f>
        <v>7.8300000000000002E-3</v>
      </c>
      <c r="I257" s="116">
        <f>'R'!Y257</f>
        <v>0</v>
      </c>
    </row>
    <row r="258" spans="1:9">
      <c r="A258">
        <f>'R'!A258</f>
        <v>0</v>
      </c>
      <c r="B258" t="s">
        <v>286</v>
      </c>
      <c r="C258">
        <f>'R'!C258</f>
        <v>6.8356199999999997E-3</v>
      </c>
      <c r="D258">
        <f>'R'!F258</f>
        <v>0</v>
      </c>
      <c r="E258">
        <f>'R'!I258</f>
        <v>0</v>
      </c>
      <c r="F258">
        <f>'R'!L258</f>
        <v>6.9980062607424599E-3</v>
      </c>
      <c r="G258">
        <f>'R'!O258</f>
        <v>6.9090000000000002E-3</v>
      </c>
      <c r="H258">
        <f>'R'!R258</f>
        <v>1.54E-2</v>
      </c>
      <c r="I258" s="116">
        <f>'R'!Y258</f>
        <v>0</v>
      </c>
    </row>
    <row r="259" spans="1:9">
      <c r="A259">
        <f>'R'!A259</f>
        <v>0</v>
      </c>
      <c r="B259" t="s">
        <v>287</v>
      </c>
      <c r="C259">
        <f>'R'!C259</f>
        <v>6.2079700000000002E-3</v>
      </c>
      <c r="D259">
        <f>'R'!F259</f>
        <v>0</v>
      </c>
      <c r="E259">
        <f>'R'!I259</f>
        <v>0</v>
      </c>
      <c r="F259">
        <f>'R'!L259</f>
        <v>6.4432480936546903E-3</v>
      </c>
      <c r="G259">
        <f>'R'!O259</f>
        <v>5.4539999999999996E-3</v>
      </c>
      <c r="H259">
        <f>'R'!R259</f>
        <v>6.6299999999999996E-3</v>
      </c>
      <c r="I259" s="116">
        <f>'R'!Y259</f>
        <v>0</v>
      </c>
    </row>
    <row r="260" spans="1:9">
      <c r="A260">
        <f>'R'!A260</f>
        <v>0</v>
      </c>
      <c r="B260" t="s">
        <v>293</v>
      </c>
      <c r="C260">
        <f>'R'!C260</f>
        <v>4.1096300000000004E-3</v>
      </c>
      <c r="D260">
        <f>'R'!F260</f>
        <v>0</v>
      </c>
      <c r="E260">
        <f>'R'!I260</f>
        <v>0</v>
      </c>
      <c r="F260">
        <f>'R'!L260</f>
        <v>3.8106394744408601E-3</v>
      </c>
      <c r="G260">
        <f>'R'!O260</f>
        <v>3.2529999999999998E-3</v>
      </c>
      <c r="H260">
        <f>'R'!R260</f>
        <v>4.1999999999999997E-3</v>
      </c>
      <c r="I260" s="116">
        <f>'R'!Y260</f>
        <v>0</v>
      </c>
    </row>
    <row r="261" spans="1:9">
      <c r="A261">
        <f>'R'!A261</f>
        <v>0</v>
      </c>
      <c r="B261" t="s">
        <v>294</v>
      </c>
      <c r="C261">
        <f>'R'!C261</f>
        <v>6.2079700000000002E-3</v>
      </c>
      <c r="D261">
        <f>'R'!F261</f>
        <v>0</v>
      </c>
      <c r="E261">
        <f>'R'!I261</f>
        <v>0</v>
      </c>
      <c r="F261">
        <f>'R'!L261</f>
        <v>6.7903925251219504E-3</v>
      </c>
      <c r="G261">
        <f>'R'!O261</f>
        <v>6.685E-3</v>
      </c>
      <c r="H261">
        <f>'R'!R261</f>
        <v>7.0000000000000001E-3</v>
      </c>
      <c r="I261" s="116">
        <f>'R'!Y261</f>
        <v>0</v>
      </c>
    </row>
    <row r="262" spans="1:9">
      <c r="A262">
        <f>'R'!A264</f>
        <v>0</v>
      </c>
      <c r="B262" t="str">
        <f>'R'!B264</f>
        <v>Maximum Relative Humidity</v>
      </c>
      <c r="C262">
        <f>'R'!C264</f>
        <v>0</v>
      </c>
      <c r="D262">
        <f>'R'!F264</f>
        <v>0</v>
      </c>
      <c r="E262">
        <f>'R'!I264</f>
        <v>0</v>
      </c>
      <c r="F262">
        <f>'R'!L264</f>
        <v>0</v>
      </c>
      <c r="G262">
        <f>'R'!O264</f>
        <v>0</v>
      </c>
      <c r="H262">
        <f>'R'!R264</f>
        <v>0</v>
      </c>
      <c r="I262" s="116">
        <f>'R'!Y264</f>
        <v>0</v>
      </c>
    </row>
    <row r="263" spans="1:9">
      <c r="A263">
        <f>'R'!A265</f>
        <v>0</v>
      </c>
      <c r="B263">
        <f>'R'!B265</f>
        <v>0</v>
      </c>
      <c r="C263" t="str">
        <f>'R'!C265</f>
        <v>TRNSYS</v>
      </c>
      <c r="D263" t="str">
        <f>'R'!F265</f>
        <v>DOE-2.2</v>
      </c>
      <c r="E263" t="str">
        <f>'R'!I265</f>
        <v>DOE21E-E</v>
      </c>
      <c r="F263" t="str">
        <f>'R'!L265</f>
        <v>Energy+</v>
      </c>
      <c r="G263" t="str">
        <f>'R'!O265</f>
        <v>CODYRUN</v>
      </c>
      <c r="H263" t="str">
        <f>'R'!R265</f>
        <v>HOT3000</v>
      </c>
      <c r="I263" s="116">
        <f>'R'!Y265</f>
        <v>0</v>
      </c>
    </row>
    <row r="264" spans="1:9">
      <c r="A264">
        <f>'R'!A266</f>
        <v>0</v>
      </c>
      <c r="B264">
        <f>'R'!B266</f>
        <v>0</v>
      </c>
      <c r="C264" t="s">
        <v>569</v>
      </c>
      <c r="D264" t="s">
        <v>570</v>
      </c>
      <c r="E264" t="s">
        <v>573</v>
      </c>
      <c r="F264" t="s">
        <v>617</v>
      </c>
      <c r="G264" t="s">
        <v>571</v>
      </c>
      <c r="H264" t="s">
        <v>572</v>
      </c>
      <c r="I264" s="116" t="str">
        <f>'R'!Y266</f>
        <v>Your Software</v>
      </c>
    </row>
    <row r="265" spans="1:9">
      <c r="A265">
        <f>'R'!A267</f>
        <v>0</v>
      </c>
      <c r="B265" t="s">
        <v>276</v>
      </c>
      <c r="C265">
        <f>'R'!C267</f>
        <v>68.789199999999994</v>
      </c>
      <c r="D265">
        <f>'R'!F267</f>
        <v>69.349999999999994</v>
      </c>
      <c r="E265">
        <f>'R'!I267</f>
        <v>68.849999999999994</v>
      </c>
      <c r="F265">
        <f>'R'!L267</f>
        <v>67.776165484930999</v>
      </c>
      <c r="G265">
        <f>'R'!O267</f>
        <v>68</v>
      </c>
      <c r="H265">
        <f>'R'!R267</f>
        <v>67.44</v>
      </c>
      <c r="I265" s="116">
        <f>'R'!Y267</f>
        <v>0</v>
      </c>
    </row>
    <row r="266" spans="1:9">
      <c r="A266">
        <f>'R'!A268</f>
        <v>0</v>
      </c>
      <c r="B266" t="s">
        <v>277</v>
      </c>
      <c r="C266">
        <f>'R'!C268</f>
        <v>77.7029</v>
      </c>
      <c r="D266">
        <f>'R'!F268</f>
        <v>100.18</v>
      </c>
      <c r="E266">
        <f>'R'!I268</f>
        <v>100.7</v>
      </c>
      <c r="F266">
        <f>'R'!L268</f>
        <v>77.925478398181497</v>
      </c>
      <c r="G266">
        <f>'R'!O268</f>
        <v>77</v>
      </c>
      <c r="H266">
        <f>'R'!R268</f>
        <v>78.19</v>
      </c>
      <c r="I266" s="116">
        <f>'R'!Y268</f>
        <v>0</v>
      </c>
    </row>
    <row r="267" spans="1:9">
      <c r="A267">
        <f>'R'!A269</f>
        <v>0</v>
      </c>
      <c r="B267" t="s">
        <v>278</v>
      </c>
      <c r="C267">
        <f>'R'!C269</f>
        <v>81.835800000000006</v>
      </c>
      <c r="D267">
        <f>'R'!F269</f>
        <v>83.41</v>
      </c>
      <c r="E267">
        <f>'R'!I269</f>
        <v>83.67</v>
      </c>
      <c r="F267">
        <f>'R'!L269</f>
        <v>82.714930820301504</v>
      </c>
      <c r="G267">
        <f>'R'!O269</f>
        <v>83</v>
      </c>
      <c r="H267">
        <f>'R'!R269</f>
        <v>81.88</v>
      </c>
      <c r="I267" s="116">
        <f>'R'!Y269</f>
        <v>0</v>
      </c>
    </row>
    <row r="268" spans="1:9">
      <c r="A268">
        <f>'R'!A270</f>
        <v>0</v>
      </c>
      <c r="B268" t="s">
        <v>279</v>
      </c>
      <c r="C268">
        <f>'R'!C270</f>
        <v>76.659099999999995</v>
      </c>
      <c r="D268">
        <f>'R'!F270</f>
        <v>78.459999999999994</v>
      </c>
      <c r="E268">
        <f>'R'!I270</f>
        <v>77.94</v>
      </c>
      <c r="F268">
        <f>'R'!L270</f>
        <v>76.638631048181793</v>
      </c>
      <c r="G268">
        <f>'R'!O270</f>
        <v>76</v>
      </c>
      <c r="H268">
        <f>'R'!R270</f>
        <v>78.7</v>
      </c>
      <c r="I268" s="116">
        <f>'R'!Y270</f>
        <v>0</v>
      </c>
    </row>
    <row r="269" spans="1:9">
      <c r="A269">
        <f>'R'!A271</f>
        <v>0</v>
      </c>
      <c r="B269" t="s">
        <v>449</v>
      </c>
      <c r="C269">
        <f>'R'!C271</f>
        <v>79.929299999999998</v>
      </c>
      <c r="D269">
        <f>'R'!F271</f>
        <v>81.37</v>
      </c>
      <c r="E269">
        <f>'R'!I271</f>
        <v>81.260000000000005</v>
      </c>
      <c r="F269">
        <f>'R'!L271</f>
        <v>80.545245540903295</v>
      </c>
      <c r="G269">
        <f>'R'!O271</f>
        <v>80</v>
      </c>
      <c r="H269">
        <f>'R'!R271</f>
        <v>80.25</v>
      </c>
      <c r="I269" s="116">
        <f>'R'!Y271</f>
        <v>0</v>
      </c>
    </row>
    <row r="270" spans="1:9">
      <c r="A270">
        <f>'R'!A272</f>
        <v>0</v>
      </c>
      <c r="B270" t="s">
        <v>280</v>
      </c>
      <c r="C270">
        <f>'R'!C272</f>
        <v>68.789199999999994</v>
      </c>
      <c r="D270">
        <f>'R'!F272</f>
        <v>81.12</v>
      </c>
      <c r="E270">
        <f>'R'!I272</f>
        <v>81.12</v>
      </c>
      <c r="F270">
        <f>'R'!L272</f>
        <v>67.7761654849309</v>
      </c>
      <c r="G270">
        <f>'R'!O272</f>
        <v>70</v>
      </c>
      <c r="H270">
        <f>'R'!R272</f>
        <v>72.650000000000006</v>
      </c>
      <c r="I270" s="116">
        <f>'R'!Y272</f>
        <v>0</v>
      </c>
    </row>
    <row r="271" spans="1:9">
      <c r="A271">
        <f>'R'!A273</f>
        <v>0</v>
      </c>
      <c r="B271" t="s">
        <v>281</v>
      </c>
      <c r="C271">
        <f>'R'!C273</f>
        <v>68.789199999999994</v>
      </c>
      <c r="D271">
        <f>'R'!F273</f>
        <v>69.349999999999994</v>
      </c>
      <c r="E271">
        <f>'R'!I273</f>
        <v>68.849999999999994</v>
      </c>
      <c r="F271">
        <f>'R'!L273</f>
        <v>67.775992622175806</v>
      </c>
      <c r="G271">
        <f>'R'!O273</f>
        <v>68</v>
      </c>
      <c r="H271">
        <f>'R'!R273</f>
        <v>67.44</v>
      </c>
      <c r="I271" s="116">
        <f>'R'!Y273</f>
        <v>0</v>
      </c>
    </row>
    <row r="272" spans="1:9">
      <c r="A272">
        <f>'R'!A274</f>
        <v>0</v>
      </c>
      <c r="B272" t="s">
        <v>291</v>
      </c>
      <c r="C272">
        <f>'R'!C274</f>
        <v>83.753399999999999</v>
      </c>
      <c r="D272">
        <f>'R'!F274</f>
        <v>85.57</v>
      </c>
      <c r="E272">
        <f>'R'!I274</f>
        <v>85.57</v>
      </c>
      <c r="F272">
        <f>'R'!L274</f>
        <v>84.632127983594401</v>
      </c>
      <c r="G272">
        <f>'R'!O274</f>
        <v>0</v>
      </c>
      <c r="H272">
        <f>'R'!R274</f>
        <v>86.31</v>
      </c>
      <c r="I272" s="116">
        <f>'R'!Y274</f>
        <v>0</v>
      </c>
    </row>
    <row r="273" spans="1:9">
      <c r="A273">
        <f>'R'!A275</f>
        <v>0</v>
      </c>
      <c r="B273" t="s">
        <v>288</v>
      </c>
      <c r="C273">
        <f>'R'!C275</f>
        <v>83.224699999999999</v>
      </c>
      <c r="D273">
        <f>'R'!F275</f>
        <v>84.79</v>
      </c>
      <c r="E273">
        <f>'R'!I275</f>
        <v>84.79</v>
      </c>
      <c r="F273">
        <f>'R'!L275</f>
        <v>0</v>
      </c>
      <c r="G273">
        <f>'R'!O275</f>
        <v>0</v>
      </c>
      <c r="H273">
        <f>'R'!R275</f>
        <v>86.18</v>
      </c>
      <c r="I273" s="116">
        <f>'R'!Y275</f>
        <v>0</v>
      </c>
    </row>
    <row r="274" spans="1:9">
      <c r="A274">
        <f>'R'!A276</f>
        <v>0</v>
      </c>
      <c r="B274" t="s">
        <v>289</v>
      </c>
      <c r="C274">
        <f>'R'!C276</f>
        <v>70.841099999999997</v>
      </c>
      <c r="D274">
        <f>'R'!F276</f>
        <v>74.510000000000005</v>
      </c>
      <c r="E274">
        <f>'R'!I276</f>
        <v>71.53</v>
      </c>
      <c r="F274">
        <f>'R'!L276</f>
        <v>73.277079977751598</v>
      </c>
      <c r="G274">
        <f>'R'!O276</f>
        <v>0</v>
      </c>
      <c r="H274">
        <f>'R'!R276</f>
        <v>73.849999999999994</v>
      </c>
      <c r="I274" s="116">
        <f>'R'!Y276</f>
        <v>0</v>
      </c>
    </row>
    <row r="275" spans="1:9">
      <c r="A275">
        <f>'R'!A277</f>
        <v>0</v>
      </c>
      <c r="B275" t="s">
        <v>292</v>
      </c>
      <c r="C275">
        <f>'R'!C277</f>
        <v>80.708699999999993</v>
      </c>
      <c r="D275">
        <f>'R'!F277</f>
        <v>78.430000000000007</v>
      </c>
      <c r="E275">
        <f>'R'!I277</f>
        <v>78.430000000000007</v>
      </c>
      <c r="F275">
        <f>'R'!L277</f>
        <v>80.715987045991596</v>
      </c>
      <c r="G275">
        <f>'R'!O277</f>
        <v>0</v>
      </c>
      <c r="H275">
        <f>'R'!R277</f>
        <v>78.94</v>
      </c>
      <c r="I275" s="116">
        <f>'R'!Y277</f>
        <v>0</v>
      </c>
    </row>
    <row r="276" spans="1:9">
      <c r="A276">
        <f>'R'!A278</f>
        <v>0</v>
      </c>
      <c r="B276" t="s">
        <v>290</v>
      </c>
      <c r="C276">
        <f>'R'!C278</f>
        <v>68.724199999999996</v>
      </c>
      <c r="D276">
        <f>'R'!F278</f>
        <v>69.349999999999994</v>
      </c>
      <c r="E276">
        <f>'R'!I278</f>
        <v>68.849999999999994</v>
      </c>
      <c r="F276">
        <f>'R'!L278</f>
        <v>67.776165493094396</v>
      </c>
      <c r="G276">
        <f>'R'!O278</f>
        <v>0</v>
      </c>
      <c r="H276">
        <f>'R'!R278</f>
        <v>67.510000000000005</v>
      </c>
      <c r="I276" s="116">
        <f>'R'!Y278</f>
        <v>0</v>
      </c>
    </row>
    <row r="277" spans="1:9">
      <c r="A277">
        <f>'R'!A279</f>
        <v>0</v>
      </c>
      <c r="B277" t="s">
        <v>282</v>
      </c>
      <c r="C277">
        <f>'R'!C279</f>
        <v>100</v>
      </c>
      <c r="D277">
        <f>'R'!F279</f>
        <v>0</v>
      </c>
      <c r="E277">
        <f>'R'!I279</f>
        <v>0</v>
      </c>
      <c r="F277">
        <f>'R'!L279</f>
        <v>100</v>
      </c>
      <c r="G277">
        <f>'R'!O279</f>
        <v>100</v>
      </c>
      <c r="H277">
        <f>'R'!R279</f>
        <v>60.08</v>
      </c>
      <c r="I277" s="116">
        <f>'R'!Y279</f>
        <v>0</v>
      </c>
    </row>
    <row r="278" spans="1:9">
      <c r="A278">
        <f>'R'!A280</f>
        <v>0</v>
      </c>
      <c r="B278" t="s">
        <v>456</v>
      </c>
      <c r="C278">
        <f>'R'!C280</f>
        <v>100</v>
      </c>
      <c r="D278">
        <f>'R'!F280</f>
        <v>0</v>
      </c>
      <c r="E278">
        <f>'R'!I280</f>
        <v>0</v>
      </c>
      <c r="F278">
        <f>'R'!L280</f>
        <v>100</v>
      </c>
      <c r="G278">
        <f>'R'!O280</f>
        <v>100</v>
      </c>
      <c r="H278">
        <f>'R'!R280</f>
        <v>57.51</v>
      </c>
      <c r="I278" s="116">
        <f>'R'!Y280</f>
        <v>0</v>
      </c>
    </row>
    <row r="279" spans="1:9">
      <c r="A279">
        <f>'R'!A281</f>
        <v>0</v>
      </c>
      <c r="B279" t="s">
        <v>284</v>
      </c>
      <c r="C279">
        <f>'R'!C281</f>
        <v>90.229900000000001</v>
      </c>
      <c r="D279">
        <f>'R'!F281</f>
        <v>0</v>
      </c>
      <c r="E279">
        <f>'R'!I281</f>
        <v>0</v>
      </c>
      <c r="F279">
        <f>'R'!L281</f>
        <v>93.604172645267894</v>
      </c>
      <c r="G279">
        <f>'R'!O281</f>
        <v>95</v>
      </c>
      <c r="H279">
        <f>'R'!R281</f>
        <v>71.77</v>
      </c>
      <c r="I279" s="116">
        <f>'R'!Y281</f>
        <v>0</v>
      </c>
    </row>
    <row r="280" spans="1:9">
      <c r="A280">
        <f>'R'!A282</f>
        <v>0</v>
      </c>
      <c r="B280" t="s">
        <v>285</v>
      </c>
      <c r="C280">
        <f>'R'!C282</f>
        <v>100</v>
      </c>
      <c r="D280">
        <f>'R'!F282</f>
        <v>0</v>
      </c>
      <c r="E280">
        <f>'R'!I282</f>
        <v>0</v>
      </c>
      <c r="F280">
        <f>'R'!L282</f>
        <v>100</v>
      </c>
      <c r="G280">
        <f>'R'!O282</f>
        <v>100</v>
      </c>
      <c r="H280">
        <f>'R'!R282</f>
        <v>71.319999999999993</v>
      </c>
      <c r="I280" s="116">
        <f>'R'!Y282</f>
        <v>0</v>
      </c>
    </row>
    <row r="281" spans="1:9">
      <c r="A281">
        <f>'R'!A283</f>
        <v>0</v>
      </c>
      <c r="B281" t="s">
        <v>286</v>
      </c>
      <c r="C281">
        <f>'R'!C283</f>
        <v>100</v>
      </c>
      <c r="D281">
        <f>'R'!F283</f>
        <v>0</v>
      </c>
      <c r="E281">
        <f>'R'!I283</f>
        <v>0</v>
      </c>
      <c r="F281">
        <f>'R'!L283</f>
        <v>100</v>
      </c>
      <c r="G281">
        <f>'R'!O283</f>
        <v>100</v>
      </c>
      <c r="H281">
        <f>'R'!R283</f>
        <v>51.12</v>
      </c>
      <c r="I281" s="116">
        <f>'R'!Y283</f>
        <v>0</v>
      </c>
    </row>
    <row r="282" spans="1:9">
      <c r="A282">
        <f>'R'!A284</f>
        <v>0</v>
      </c>
      <c r="B282" t="s">
        <v>287</v>
      </c>
      <c r="C282">
        <f>'R'!C284</f>
        <v>91.044499999999999</v>
      </c>
      <c r="D282">
        <f>'R'!F284</f>
        <v>0</v>
      </c>
      <c r="E282">
        <f>'R'!I284</f>
        <v>0</v>
      </c>
      <c r="F282">
        <f>'R'!L284</f>
        <v>91.698039888738407</v>
      </c>
      <c r="G282">
        <f>'R'!O284</f>
        <v>79</v>
      </c>
      <c r="H282">
        <f>'R'!R284</f>
        <v>36.01</v>
      </c>
      <c r="I282" s="116">
        <f>'R'!Y284</f>
        <v>0</v>
      </c>
    </row>
    <row r="283" spans="1:9">
      <c r="A283">
        <f>'R'!A285</f>
        <v>0</v>
      </c>
      <c r="B283" t="s">
        <v>293</v>
      </c>
      <c r="C283">
        <f>'R'!C285</f>
        <v>61.274999999999999</v>
      </c>
      <c r="D283">
        <f>'R'!F285</f>
        <v>0</v>
      </c>
      <c r="E283">
        <f>'R'!I285</f>
        <v>0</v>
      </c>
      <c r="F283">
        <f>'R'!L285</f>
        <v>54.855733541417997</v>
      </c>
      <c r="G283">
        <f>'R'!O285</f>
        <v>47</v>
      </c>
      <c r="H283">
        <f>'R'!R285</f>
        <v>39.96</v>
      </c>
      <c r="I283" s="116">
        <f>'R'!Y285</f>
        <v>0</v>
      </c>
    </row>
    <row r="284" spans="1:9">
      <c r="A284">
        <f>'R'!A286</f>
        <v>0</v>
      </c>
      <c r="B284" t="s">
        <v>294</v>
      </c>
      <c r="C284">
        <f>'R'!C286</f>
        <v>90.877200000000002</v>
      </c>
      <c r="D284">
        <f>'R'!F286</f>
        <v>0</v>
      </c>
      <c r="E284">
        <f>'R'!I286</f>
        <v>0</v>
      </c>
      <c r="F284">
        <f>'R'!L286</f>
        <v>96.073979938067893</v>
      </c>
      <c r="G284">
        <f>'R'!O286</f>
        <v>97</v>
      </c>
      <c r="H284">
        <f>'R'!R286</f>
        <v>24.14</v>
      </c>
      <c r="I284" s="116">
        <f>'R'!Y286</f>
        <v>0</v>
      </c>
    </row>
    <row r="285" spans="1:9">
      <c r="A285">
        <f>'R'!A287</f>
        <v>0</v>
      </c>
      <c r="B285" t="str">
        <f>'R'!B287</f>
        <v>Minimum Relative Humidity</v>
      </c>
      <c r="C285">
        <f>'R'!C287</f>
        <v>0</v>
      </c>
      <c r="D285">
        <f>'R'!F287</f>
        <v>0</v>
      </c>
      <c r="E285">
        <f>'R'!I287</f>
        <v>0</v>
      </c>
      <c r="F285">
        <f>'R'!L287</f>
        <v>0</v>
      </c>
      <c r="G285">
        <f>'R'!O287</f>
        <v>0</v>
      </c>
      <c r="H285">
        <f>'R'!R287</f>
        <v>0</v>
      </c>
      <c r="I285" s="116">
        <f>'R'!Y287</f>
        <v>0</v>
      </c>
    </row>
    <row r="286" spans="1:9">
      <c r="A286">
        <f>'R'!A288</f>
        <v>0</v>
      </c>
      <c r="B286">
        <f>'R'!B288</f>
        <v>0</v>
      </c>
      <c r="C286" t="str">
        <f>'R'!C288</f>
        <v>TRNSYS</v>
      </c>
      <c r="D286" t="str">
        <f>'R'!F288</f>
        <v>DOE-2.2</v>
      </c>
      <c r="E286" t="str">
        <f>'R'!I288</f>
        <v>DOE21E-E</v>
      </c>
      <c r="F286" t="str">
        <f>'R'!L288</f>
        <v>Energy+</v>
      </c>
      <c r="G286" t="str">
        <f>'R'!O288</f>
        <v>CODYRUN</v>
      </c>
      <c r="H286" t="str">
        <f>'R'!R288</f>
        <v>HOT3000</v>
      </c>
      <c r="I286" s="116">
        <f>'R'!Y288</f>
        <v>0</v>
      </c>
    </row>
    <row r="287" spans="1:9">
      <c r="A287">
        <f>'R'!A289</f>
        <v>0</v>
      </c>
      <c r="B287">
        <f>'R'!B289</f>
        <v>0</v>
      </c>
      <c r="C287" t="s">
        <v>569</v>
      </c>
      <c r="D287" t="s">
        <v>570</v>
      </c>
      <c r="E287" t="s">
        <v>573</v>
      </c>
      <c r="F287" t="s">
        <v>617</v>
      </c>
      <c r="G287" t="s">
        <v>571</v>
      </c>
      <c r="H287" t="s">
        <v>572</v>
      </c>
      <c r="I287" s="116" t="str">
        <f>'R'!Y289</f>
        <v>Your Software</v>
      </c>
    </row>
    <row r="288" spans="1:9">
      <c r="A288">
        <f>'R'!A290</f>
        <v>0</v>
      </c>
      <c r="B288" t="s">
        <v>276</v>
      </c>
      <c r="C288">
        <f>'R'!C290</f>
        <v>13.331200000000001</v>
      </c>
      <c r="D288">
        <f>'R'!F290</f>
        <v>11.97</v>
      </c>
      <c r="E288">
        <f>'R'!I290</f>
        <v>11.97</v>
      </c>
      <c r="F288">
        <f>'R'!L290</f>
        <v>14.387833084585999</v>
      </c>
      <c r="G288">
        <f>'R'!O290</f>
        <v>15</v>
      </c>
      <c r="H288">
        <f>'R'!R290</f>
        <v>14.94</v>
      </c>
      <c r="I288" s="116">
        <f>'R'!Y290</f>
        <v>0</v>
      </c>
    </row>
    <row r="289" spans="1:9">
      <c r="A289">
        <f>'R'!A291</f>
        <v>0</v>
      </c>
      <c r="B289" t="s">
        <v>277</v>
      </c>
      <c r="C289">
        <f>'R'!C291</f>
        <v>13.389799999999999</v>
      </c>
      <c r="D289">
        <f>'R'!F291</f>
        <v>11.97</v>
      </c>
      <c r="E289">
        <f>'R'!I291</f>
        <v>11.97</v>
      </c>
      <c r="F289">
        <f>'R'!L291</f>
        <v>15.4710269468499</v>
      </c>
      <c r="G289">
        <f>'R'!O291</f>
        <v>16</v>
      </c>
      <c r="H289">
        <f>'R'!R291</f>
        <v>15.93</v>
      </c>
      <c r="I289" s="116">
        <f>'R'!Y291</f>
        <v>0</v>
      </c>
    </row>
    <row r="290" spans="1:9">
      <c r="A290">
        <f>'R'!A292</f>
        <v>0</v>
      </c>
      <c r="B290" t="s">
        <v>278</v>
      </c>
      <c r="C290">
        <f>'R'!C292</f>
        <v>13.331200000000001</v>
      </c>
      <c r="D290">
        <f>'R'!F292</f>
        <v>11.97</v>
      </c>
      <c r="E290">
        <f>'R'!I292</f>
        <v>11.97</v>
      </c>
      <c r="F290">
        <f>'R'!L292</f>
        <v>14.7974211025104</v>
      </c>
      <c r="G290">
        <f>'R'!O292</f>
        <v>15</v>
      </c>
      <c r="H290">
        <f>'R'!R292</f>
        <v>12.92</v>
      </c>
      <c r="I290" s="116">
        <f>'R'!Y292</f>
        <v>0</v>
      </c>
    </row>
    <row r="291" spans="1:9">
      <c r="A291">
        <f>'R'!A293</f>
        <v>0</v>
      </c>
      <c r="B291" t="s">
        <v>279</v>
      </c>
      <c r="C291">
        <f>'R'!C293</f>
        <v>13.331200000000001</v>
      </c>
      <c r="D291">
        <f>'R'!F293</f>
        <v>11.97</v>
      </c>
      <c r="E291">
        <f>'R'!I293</f>
        <v>11.97</v>
      </c>
      <c r="F291">
        <f>'R'!L293</f>
        <v>14.3879483171511</v>
      </c>
      <c r="G291">
        <f>'R'!O293</f>
        <v>15</v>
      </c>
      <c r="H291">
        <f>'R'!R293</f>
        <v>14.94</v>
      </c>
      <c r="I291" s="116">
        <f>'R'!Y293</f>
        <v>0</v>
      </c>
    </row>
    <row r="292" spans="1:9">
      <c r="A292">
        <f>'R'!A294</f>
        <v>0</v>
      </c>
      <c r="B292" t="s">
        <v>449</v>
      </c>
      <c r="C292">
        <f>'R'!C294</f>
        <v>13.331200000000001</v>
      </c>
      <c r="D292">
        <f>'R'!F294</f>
        <v>11.97</v>
      </c>
      <c r="E292">
        <f>'R'!I294</f>
        <v>11.97</v>
      </c>
      <c r="F292">
        <f>'R'!L294</f>
        <v>14.3879483171511</v>
      </c>
      <c r="G292">
        <f>'R'!O294</f>
        <v>15</v>
      </c>
      <c r="H292">
        <f>'R'!R294</f>
        <v>14.94</v>
      </c>
      <c r="I292" s="116">
        <f>'R'!Y294</f>
        <v>0</v>
      </c>
    </row>
    <row r="293" spans="1:9">
      <c r="A293">
        <f>'R'!A295</f>
        <v>0</v>
      </c>
      <c r="B293" t="s">
        <v>280</v>
      </c>
      <c r="C293">
        <f>'R'!C295</f>
        <v>13.331200000000001</v>
      </c>
      <c r="D293">
        <f>'R'!F295</f>
        <v>11.97</v>
      </c>
      <c r="E293">
        <f>'R'!I295</f>
        <v>11.97</v>
      </c>
      <c r="F293">
        <f>'R'!L295</f>
        <v>14.387833084585999</v>
      </c>
      <c r="G293">
        <f>'R'!O295</f>
        <v>15</v>
      </c>
      <c r="H293">
        <f>'R'!R295</f>
        <v>14.94</v>
      </c>
      <c r="I293" s="116">
        <f>'R'!Y295</f>
        <v>0</v>
      </c>
    </row>
    <row r="294" spans="1:9">
      <c r="A294">
        <f>'R'!A296</f>
        <v>0</v>
      </c>
      <c r="B294" t="s">
        <v>281</v>
      </c>
      <c r="C294">
        <f>'R'!C296</f>
        <v>13.331200000000001</v>
      </c>
      <c r="D294">
        <f>'R'!F296</f>
        <v>11.97</v>
      </c>
      <c r="E294">
        <f>'R'!I296</f>
        <v>11.97</v>
      </c>
      <c r="F294">
        <f>'R'!L296</f>
        <v>14.387776106684401</v>
      </c>
      <c r="G294">
        <f>'R'!O296</f>
        <v>15</v>
      </c>
      <c r="H294">
        <f>'R'!R296</f>
        <v>14.94</v>
      </c>
      <c r="I294" s="116">
        <f>'R'!Y296</f>
        <v>0</v>
      </c>
    </row>
    <row r="295" spans="1:9">
      <c r="A295">
        <f>'R'!A297</f>
        <v>0</v>
      </c>
      <c r="B295" t="s">
        <v>291</v>
      </c>
      <c r="C295">
        <f>'R'!C297</f>
        <v>13.209</v>
      </c>
      <c r="D295">
        <f>'R'!F297</f>
        <v>11.97</v>
      </c>
      <c r="E295">
        <f>'R'!I297</f>
        <v>11.97</v>
      </c>
      <c r="F295">
        <f>'R'!L297</f>
        <v>13.925488142731099</v>
      </c>
      <c r="G295">
        <f>'R'!O297</f>
        <v>0</v>
      </c>
      <c r="H295">
        <f>'R'!R297</f>
        <v>14.57</v>
      </c>
      <c r="I295" s="116">
        <f>'R'!Y297</f>
        <v>0</v>
      </c>
    </row>
    <row r="296" spans="1:9">
      <c r="A296">
        <f>'R'!A298</f>
        <v>0</v>
      </c>
      <c r="B296" t="s">
        <v>288</v>
      </c>
      <c r="C296">
        <f>'R'!C298</f>
        <v>13.209099999999999</v>
      </c>
      <c r="D296">
        <f>'R'!F298</f>
        <v>11.97</v>
      </c>
      <c r="E296">
        <f>'R'!I298</f>
        <v>11.97</v>
      </c>
      <c r="F296">
        <f>'R'!L298</f>
        <v>0</v>
      </c>
      <c r="G296">
        <f>'R'!O298</f>
        <v>0</v>
      </c>
      <c r="H296">
        <f>'R'!R298</f>
        <v>14.58</v>
      </c>
      <c r="I296" s="116">
        <f>'R'!Y298</f>
        <v>0</v>
      </c>
    </row>
    <row r="297" spans="1:9">
      <c r="A297">
        <f>'R'!A299</f>
        <v>0</v>
      </c>
      <c r="B297" t="s">
        <v>289</v>
      </c>
      <c r="C297">
        <f>'R'!C299</f>
        <v>13.209899999999999</v>
      </c>
      <c r="D297">
        <f>'R'!F299</f>
        <v>11.97</v>
      </c>
      <c r="E297">
        <f>'R'!I299</f>
        <v>11.97</v>
      </c>
      <c r="F297">
        <f>'R'!L299</f>
        <v>13.925595564136099</v>
      </c>
      <c r="G297">
        <f>'R'!O299</f>
        <v>0</v>
      </c>
      <c r="H297">
        <f>'R'!R299</f>
        <v>14.59</v>
      </c>
      <c r="I297" s="116">
        <f>'R'!Y299</f>
        <v>0</v>
      </c>
    </row>
    <row r="298" spans="1:9">
      <c r="A298">
        <f>'R'!A300</f>
        <v>0</v>
      </c>
      <c r="B298" t="s">
        <v>292</v>
      </c>
      <c r="C298">
        <f>'R'!C300</f>
        <v>13.207800000000001</v>
      </c>
      <c r="D298">
        <f>'R'!F300</f>
        <v>11.97</v>
      </c>
      <c r="E298">
        <f>'R'!I300</f>
        <v>11.97</v>
      </c>
      <c r="F298">
        <f>'R'!L300</f>
        <v>13.925487967371801</v>
      </c>
      <c r="G298">
        <f>'R'!O300</f>
        <v>0</v>
      </c>
      <c r="H298">
        <f>'R'!R300</f>
        <v>14.58</v>
      </c>
      <c r="I298" s="116">
        <f>'R'!Y300</f>
        <v>0</v>
      </c>
    </row>
    <row r="299" spans="1:9">
      <c r="A299">
        <f>'R'!A301</f>
        <v>0</v>
      </c>
      <c r="B299" t="s">
        <v>290</v>
      </c>
      <c r="C299">
        <f>'R'!C301</f>
        <v>13.206899999999999</v>
      </c>
      <c r="D299">
        <f>'R'!F301</f>
        <v>11.97</v>
      </c>
      <c r="E299">
        <f>'R'!I301</f>
        <v>11.97</v>
      </c>
      <c r="F299">
        <f>'R'!L301</f>
        <v>13.9254858350014</v>
      </c>
      <c r="G299">
        <f>'R'!O301</f>
        <v>0</v>
      </c>
      <c r="H299">
        <f>'R'!R301</f>
        <v>14.54</v>
      </c>
      <c r="I299" s="116">
        <f>'R'!Y301</f>
        <v>0</v>
      </c>
    </row>
    <row r="300" spans="1:9">
      <c r="A300">
        <f>'R'!A302</f>
        <v>0</v>
      </c>
      <c r="B300" t="s">
        <v>282</v>
      </c>
      <c r="C300">
        <f>'R'!C302</f>
        <v>53.4054</v>
      </c>
      <c r="D300">
        <f>'R'!F302</f>
        <v>0</v>
      </c>
      <c r="E300">
        <f>'R'!I302</f>
        <v>0</v>
      </c>
      <c r="F300">
        <f>'R'!L302</f>
        <v>53.425645627470601</v>
      </c>
      <c r="G300">
        <f>'R'!O302</f>
        <v>54</v>
      </c>
      <c r="H300">
        <f>'R'!R302</f>
        <v>52.83</v>
      </c>
      <c r="I300" s="116">
        <f>'R'!Y302</f>
        <v>0</v>
      </c>
    </row>
    <row r="301" spans="1:9">
      <c r="A301">
        <f>'R'!A303</f>
        <v>0</v>
      </c>
      <c r="B301" t="s">
        <v>456</v>
      </c>
      <c r="C301">
        <f>'R'!C303</f>
        <v>52.087899999999998</v>
      </c>
      <c r="D301">
        <f>'R'!F303</f>
        <v>0</v>
      </c>
      <c r="E301">
        <f>'R'!I303</f>
        <v>0</v>
      </c>
      <c r="F301">
        <f>'R'!L303</f>
        <v>53.532308617819197</v>
      </c>
      <c r="G301">
        <f>'R'!O303</f>
        <v>54</v>
      </c>
      <c r="H301">
        <f>'R'!R303</f>
        <v>53.15</v>
      </c>
      <c r="I301" s="116">
        <f>'R'!Y303</f>
        <v>0</v>
      </c>
    </row>
    <row r="302" spans="1:9">
      <c r="A302">
        <f>'R'!A304</f>
        <v>0</v>
      </c>
      <c r="B302" t="s">
        <v>284</v>
      </c>
      <c r="C302">
        <f>'R'!C304</f>
        <v>61.267899999999997</v>
      </c>
      <c r="D302">
        <f>'R'!F304</f>
        <v>0</v>
      </c>
      <c r="E302">
        <f>'R'!I304</f>
        <v>0</v>
      </c>
      <c r="F302">
        <f>'R'!L304</f>
        <v>61.193828890151202</v>
      </c>
      <c r="G302">
        <f>'R'!O304</f>
        <v>61</v>
      </c>
      <c r="H302">
        <f>'R'!R304</f>
        <v>61.9</v>
      </c>
      <c r="I302" s="116">
        <f>'R'!Y304</f>
        <v>0</v>
      </c>
    </row>
    <row r="303" spans="1:9">
      <c r="A303">
        <f>'R'!A305</f>
        <v>0</v>
      </c>
      <c r="B303" t="s">
        <v>285</v>
      </c>
      <c r="C303">
        <f>'R'!C305</f>
        <v>58.505400000000002</v>
      </c>
      <c r="D303">
        <f>'R'!F305</f>
        <v>0</v>
      </c>
      <c r="E303">
        <f>'R'!I305</f>
        <v>0</v>
      </c>
      <c r="F303">
        <f>'R'!L305</f>
        <v>57.830846720422201</v>
      </c>
      <c r="G303">
        <f>'R'!O305</f>
        <v>60</v>
      </c>
      <c r="H303">
        <f>'R'!R305</f>
        <v>57.97</v>
      </c>
      <c r="I303" s="116">
        <f>'R'!Y305</f>
        <v>0</v>
      </c>
    </row>
    <row r="304" spans="1:9">
      <c r="A304">
        <f>'R'!A306</f>
        <v>0</v>
      </c>
      <c r="B304" t="s">
        <v>286</v>
      </c>
      <c r="C304">
        <f>'R'!C306</f>
        <v>45.528399999999998</v>
      </c>
      <c r="D304">
        <f>'R'!F306</f>
        <v>0</v>
      </c>
      <c r="E304">
        <f>'R'!I306</f>
        <v>0</v>
      </c>
      <c r="F304">
        <f>'R'!L306</f>
        <v>46.106284792351403</v>
      </c>
      <c r="G304">
        <f>'R'!O306</f>
        <v>44</v>
      </c>
      <c r="H304">
        <f>'R'!R306</f>
        <v>44.4</v>
      </c>
      <c r="I304" s="116">
        <f>'R'!Y306</f>
        <v>0</v>
      </c>
    </row>
    <row r="305" spans="1:9">
      <c r="A305">
        <f>'R'!A307</f>
        <v>0</v>
      </c>
      <c r="B305" t="s">
        <v>287</v>
      </c>
      <c r="C305">
        <f>'R'!C307</f>
        <v>29.593399999999999</v>
      </c>
      <c r="D305">
        <f>'R'!F307</f>
        <v>0</v>
      </c>
      <c r="E305">
        <f>'R'!I307</f>
        <v>0</v>
      </c>
      <c r="F305">
        <f>'R'!L307</f>
        <v>32.561286935521203</v>
      </c>
      <c r="G305">
        <f>'R'!O307</f>
        <v>28</v>
      </c>
      <c r="H305">
        <f>'R'!R307</f>
        <v>33.68</v>
      </c>
      <c r="I305" s="116">
        <f>'R'!Y307</f>
        <v>0</v>
      </c>
    </row>
    <row r="306" spans="1:9">
      <c r="A306">
        <f>'R'!A308</f>
        <v>0</v>
      </c>
      <c r="B306" t="s">
        <v>293</v>
      </c>
      <c r="C306">
        <f>'R'!C308</f>
        <v>36.474899999999998</v>
      </c>
      <c r="D306">
        <f>'R'!F308</f>
        <v>0</v>
      </c>
      <c r="E306">
        <f>'R'!I308</f>
        <v>0</v>
      </c>
      <c r="F306">
        <f>'R'!L308</f>
        <v>35.847455780388898</v>
      </c>
      <c r="G306">
        <f>'R'!O308</f>
        <v>31</v>
      </c>
      <c r="H306">
        <f>'R'!R308</f>
        <v>39.74</v>
      </c>
      <c r="I306" s="116">
        <f>'R'!Y308</f>
        <v>0</v>
      </c>
    </row>
    <row r="307" spans="1:9">
      <c r="A307">
        <f>'R'!A309</f>
        <v>0</v>
      </c>
      <c r="B307" t="s">
        <v>294</v>
      </c>
      <c r="C307">
        <f>'R'!C309</f>
        <v>17.124400000000001</v>
      </c>
      <c r="D307">
        <f>'R'!F309</f>
        <v>0</v>
      </c>
      <c r="E307">
        <f>'R'!I309</f>
        <v>0</v>
      </c>
      <c r="F307">
        <f>'R'!L309</f>
        <v>19.246742663165101</v>
      </c>
      <c r="G307">
        <f>'R'!O309</f>
        <v>19</v>
      </c>
      <c r="H307">
        <f>'R'!R309</f>
        <v>20.14</v>
      </c>
      <c r="I307" s="116">
        <f>'R'!Y309</f>
        <v>0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208"/>
  <sheetViews>
    <sheetView zoomScale="75" workbookViewId="0">
      <selection activeCell="T7" sqref="T7"/>
    </sheetView>
  </sheetViews>
  <sheetFormatPr defaultRowHeight="15"/>
  <cols>
    <col min="2" max="2" width="9.109375" customWidth="1"/>
  </cols>
  <sheetData>
    <row r="5" spans="1:23">
      <c r="A5" t="s">
        <v>366</v>
      </c>
    </row>
    <row r="6" spans="1:23">
      <c r="A6" t="s">
        <v>474</v>
      </c>
      <c r="I6" t="s">
        <v>475</v>
      </c>
      <c r="P6" t="s">
        <v>5</v>
      </c>
    </row>
    <row r="7" spans="1:23">
      <c r="A7" t="s">
        <v>78</v>
      </c>
      <c r="B7" t="s">
        <v>569</v>
      </c>
      <c r="C7" t="s">
        <v>570</v>
      </c>
      <c r="D7" t="s">
        <v>573</v>
      </c>
      <c r="E7" t="s">
        <v>617</v>
      </c>
      <c r="F7" t="s">
        <v>571</v>
      </c>
      <c r="G7" t="s">
        <v>572</v>
      </c>
      <c r="H7" t="s">
        <v>522</v>
      </c>
      <c r="I7" t="s">
        <v>569</v>
      </c>
      <c r="J7" t="s">
        <v>570</v>
      </c>
      <c r="K7" t="s">
        <v>573</v>
      </c>
      <c r="L7" t="s">
        <v>617</v>
      </c>
      <c r="M7" t="s">
        <v>571</v>
      </c>
      <c r="N7" t="s">
        <v>572</v>
      </c>
      <c r="O7" t="s">
        <v>522</v>
      </c>
      <c r="P7" t="str">
        <f>A!A489</f>
        <v>Hour</v>
      </c>
      <c r="Q7" t="s">
        <v>569</v>
      </c>
      <c r="R7" t="s">
        <v>570</v>
      </c>
      <c r="S7" t="s">
        <v>573</v>
      </c>
      <c r="T7" t="s">
        <v>617</v>
      </c>
      <c r="U7" t="s">
        <v>571</v>
      </c>
      <c r="V7" t="s">
        <v>572</v>
      </c>
      <c r="W7" t="s">
        <v>522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2153.3475438412001</v>
      </c>
      <c r="F8">
        <f t="shared" ref="F8:F31" si="2">M8+U8</f>
        <v>2123</v>
      </c>
      <c r="G8">
        <f t="shared" ref="G8:G31" si="3">N8+V8</f>
        <v>2183.748</v>
      </c>
      <c r="H8">
        <f t="shared" ref="H8:H31" si="4">O8+W8</f>
        <v>0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>Note 1</v>
      </c>
      <c r="M8">
        <f>A!F520</f>
        <v>237</v>
      </c>
      <c r="N8">
        <f>A!G520</f>
        <v>240.93799999999999</v>
      </c>
      <c r="O8">
        <f>A!H520</f>
        <v>0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A!H490</f>
        <v>0</v>
      </c>
    </row>
    <row r="9" spans="1:23">
      <c r="A9" t="str">
        <f t="shared" ref="A9:A31" si="5">P9</f>
        <v>2</v>
      </c>
      <c r="B9">
        <f t="shared" ref="B9:B31" si="6">I9+Q9</f>
        <v>2310.1977098362458</v>
      </c>
      <c r="C9">
        <f t="shared" si="0"/>
        <v>2181</v>
      </c>
      <c r="D9">
        <f t="shared" si="1"/>
        <v>2182</v>
      </c>
      <c r="E9">
        <f>A!E491</f>
        <v>2166.99328596236</v>
      </c>
      <c r="F9">
        <f t="shared" si="2"/>
        <v>2208</v>
      </c>
      <c r="G9">
        <f t="shared" si="3"/>
        <v>2191.634</v>
      </c>
      <c r="H9">
        <f t="shared" si="4"/>
        <v>0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>Note 1</v>
      </c>
      <c r="M9">
        <f>A!F521</f>
        <v>244</v>
      </c>
      <c r="N9">
        <f>A!G521</f>
        <v>241.10400000000001</v>
      </c>
      <c r="O9">
        <f>A!H521</f>
        <v>0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A!H491</f>
        <v>0</v>
      </c>
    </row>
    <row r="10" spans="1:23">
      <c r="A10" t="str">
        <f t="shared" si="5"/>
        <v>3</v>
      </c>
      <c r="B10">
        <f t="shared" si="6"/>
        <v>2311.0278666934364</v>
      </c>
      <c r="C10">
        <f t="shared" si="0"/>
        <v>2134</v>
      </c>
      <c r="D10">
        <f t="shared" si="1"/>
        <v>2131</v>
      </c>
      <c r="E10">
        <f>A!E492</f>
        <v>2147.8736165535802</v>
      </c>
      <c r="F10">
        <f t="shared" si="2"/>
        <v>2117</v>
      </c>
      <c r="G10">
        <f t="shared" si="3"/>
        <v>2139.1799999999998</v>
      </c>
      <c r="H10">
        <f t="shared" si="4"/>
        <v>0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>Note 1</v>
      </c>
      <c r="M10">
        <f>A!F522</f>
        <v>236</v>
      </c>
      <c r="N10">
        <f>A!G522</f>
        <v>236.85</v>
      </c>
      <c r="O10">
        <f>A!H522</f>
        <v>0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A!H492</f>
        <v>0</v>
      </c>
    </row>
    <row r="11" spans="1:23">
      <c r="A11" t="str">
        <f t="shared" si="5"/>
        <v>4</v>
      </c>
      <c r="B11">
        <f t="shared" si="6"/>
        <v>2059.6681425314955</v>
      </c>
      <c r="C11">
        <f t="shared" si="0"/>
        <v>2128</v>
      </c>
      <c r="D11">
        <f t="shared" si="1"/>
        <v>2126</v>
      </c>
      <c r="E11">
        <f>A!E493</f>
        <v>2109.75753045689</v>
      </c>
      <c r="F11">
        <f t="shared" si="2"/>
        <v>2114</v>
      </c>
      <c r="G11">
        <f t="shared" si="3"/>
        <v>2076.5480000000002</v>
      </c>
      <c r="H11">
        <f t="shared" si="4"/>
        <v>0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>Note 1</v>
      </c>
      <c r="M11">
        <f>A!F523</f>
        <v>236</v>
      </c>
      <c r="N11">
        <f>A!G523</f>
        <v>231.11799999999999</v>
      </c>
      <c r="O11">
        <f>A!H523</f>
        <v>0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A!H493</f>
        <v>0</v>
      </c>
    </row>
    <row r="12" spans="1:23">
      <c r="A12" t="str">
        <f t="shared" si="5"/>
        <v>5</v>
      </c>
      <c r="B12">
        <f t="shared" si="6"/>
        <v>2285.7366164279838</v>
      </c>
      <c r="C12">
        <f t="shared" si="0"/>
        <v>1912</v>
      </c>
      <c r="D12">
        <f t="shared" si="1"/>
        <v>1909</v>
      </c>
      <c r="E12">
        <f>A!E494</f>
        <v>2031.5835898856201</v>
      </c>
      <c r="F12">
        <f t="shared" si="2"/>
        <v>1980</v>
      </c>
      <c r="G12">
        <f t="shared" si="3"/>
        <v>2153.1469999999999</v>
      </c>
      <c r="H12">
        <f t="shared" si="4"/>
        <v>0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>Note 1</v>
      </c>
      <c r="M12">
        <f>A!F524</f>
        <v>224</v>
      </c>
      <c r="N12">
        <f>A!G524</f>
        <v>238.68700000000001</v>
      </c>
      <c r="O12">
        <f>A!H524</f>
        <v>0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A!H494</f>
        <v>0</v>
      </c>
    </row>
    <row r="13" spans="1:23">
      <c r="A13" t="str">
        <f t="shared" si="5"/>
        <v>6</v>
      </c>
      <c r="B13">
        <f t="shared" si="6"/>
        <v>2068.991395825617</v>
      </c>
      <c r="C13">
        <f t="shared" si="0"/>
        <v>2385</v>
      </c>
      <c r="D13">
        <f t="shared" si="1"/>
        <v>2392</v>
      </c>
      <c r="E13">
        <f>A!E495</f>
        <v>2181.6445776105602</v>
      </c>
      <c r="F13">
        <f t="shared" si="2"/>
        <v>2328</v>
      </c>
      <c r="G13">
        <f t="shared" si="3"/>
        <v>2799.1580000000004</v>
      </c>
      <c r="H13">
        <f t="shared" si="4"/>
        <v>0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>Note 1</v>
      </c>
      <c r="M13">
        <f>A!F525</f>
        <v>253</v>
      </c>
      <c r="N13">
        <f>A!G525</f>
        <v>292.58800000000002</v>
      </c>
      <c r="O13">
        <f>A!H525</f>
        <v>0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A!H495</f>
        <v>0</v>
      </c>
    </row>
    <row r="14" spans="1:23">
      <c r="A14" t="str">
        <f t="shared" si="5"/>
        <v>7</v>
      </c>
      <c r="B14">
        <f t="shared" si="6"/>
        <v>2975.7890270955259</v>
      </c>
      <c r="C14">
        <f t="shared" si="0"/>
        <v>3550</v>
      </c>
      <c r="D14">
        <f t="shared" si="1"/>
        <v>3576</v>
      </c>
      <c r="E14">
        <f>A!E496</f>
        <v>2926.8471636776399</v>
      </c>
      <c r="F14">
        <f t="shared" si="2"/>
        <v>3369</v>
      </c>
      <c r="G14">
        <f t="shared" si="3"/>
        <v>3513.9189999999999</v>
      </c>
      <c r="H14">
        <f t="shared" si="4"/>
        <v>0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>Note 1</v>
      </c>
      <c r="M14">
        <f>A!F526</f>
        <v>334</v>
      </c>
      <c r="N14">
        <f>A!G526</f>
        <v>342.96899999999999</v>
      </c>
      <c r="O14">
        <f>A!H526</f>
        <v>0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A!H496</f>
        <v>0</v>
      </c>
    </row>
    <row r="15" spans="1:23">
      <c r="A15" t="str">
        <f t="shared" si="5"/>
        <v>8</v>
      </c>
      <c r="B15">
        <f t="shared" si="6"/>
        <v>3936.764010688054</v>
      </c>
      <c r="C15">
        <f t="shared" si="0"/>
        <v>3467</v>
      </c>
      <c r="D15">
        <f t="shared" si="1"/>
        <v>3480</v>
      </c>
      <c r="E15">
        <f>A!E497</f>
        <v>3571.6614414431001</v>
      </c>
      <c r="F15">
        <f t="shared" si="2"/>
        <v>3655</v>
      </c>
      <c r="G15">
        <f t="shared" si="3"/>
        <v>3794.558</v>
      </c>
      <c r="H15">
        <f t="shared" si="4"/>
        <v>0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>Note 1</v>
      </c>
      <c r="M15">
        <f>A!F527</f>
        <v>352</v>
      </c>
      <c r="N15">
        <f>A!G527</f>
        <v>360.59800000000001</v>
      </c>
      <c r="O15">
        <f>A!H527</f>
        <v>0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A!H497</f>
        <v>0</v>
      </c>
    </row>
    <row r="16" spans="1:23">
      <c r="A16" t="str">
        <f t="shared" si="5"/>
        <v>9</v>
      </c>
      <c r="B16">
        <f t="shared" si="6"/>
        <v>4822.8772855633615</v>
      </c>
      <c r="C16">
        <f t="shared" si="0"/>
        <v>4997</v>
      </c>
      <c r="D16">
        <f t="shared" si="1"/>
        <v>4993</v>
      </c>
      <c r="E16">
        <f>A!E498</f>
        <v>4771.5974997405201</v>
      </c>
      <c r="F16">
        <f t="shared" si="2"/>
        <v>4946</v>
      </c>
      <c r="G16">
        <f t="shared" si="3"/>
        <v>4949.9380000000001</v>
      </c>
      <c r="H16">
        <f t="shared" si="4"/>
        <v>0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>Note 1</v>
      </c>
      <c r="M16">
        <f>A!F528</f>
        <v>463</v>
      </c>
      <c r="N16">
        <f>A!G528</f>
        <v>460.78800000000001</v>
      </c>
      <c r="O16">
        <f>A!H528</f>
        <v>0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A!H498</f>
        <v>0</v>
      </c>
    </row>
    <row r="17" spans="1:23">
      <c r="A17" t="str">
        <f t="shared" si="5"/>
        <v>10</v>
      </c>
      <c r="B17">
        <f t="shared" si="6"/>
        <v>4899.0565424550286</v>
      </c>
      <c r="C17">
        <f t="shared" si="0"/>
        <v>5130</v>
      </c>
      <c r="D17">
        <f t="shared" si="1"/>
        <v>5133</v>
      </c>
      <c r="E17">
        <f>A!E499</f>
        <v>5029.2701864095798</v>
      </c>
      <c r="F17">
        <f t="shared" si="2"/>
        <v>5066</v>
      </c>
      <c r="G17">
        <f t="shared" si="3"/>
        <v>5342.7349999999997</v>
      </c>
      <c r="H17">
        <f t="shared" si="4"/>
        <v>0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>Note 1</v>
      </c>
      <c r="M17">
        <f>A!F529</f>
        <v>472</v>
      </c>
      <c r="N17">
        <f>A!G529</f>
        <v>489.45499999999998</v>
      </c>
      <c r="O17">
        <f>A!H529</f>
        <v>0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A!H499</f>
        <v>0</v>
      </c>
    </row>
    <row r="18" spans="1:23">
      <c r="A18" t="str">
        <f t="shared" si="5"/>
        <v>11</v>
      </c>
      <c r="B18">
        <f t="shared" si="6"/>
        <v>5505.8994820032485</v>
      </c>
      <c r="C18">
        <f t="shared" si="0"/>
        <v>5971</v>
      </c>
      <c r="D18">
        <f t="shared" si="1"/>
        <v>5992</v>
      </c>
      <c r="E18">
        <f>A!E500</f>
        <v>5485.3257390101298</v>
      </c>
      <c r="F18">
        <f t="shared" si="2"/>
        <v>5754</v>
      </c>
      <c r="G18">
        <f t="shared" si="3"/>
        <v>5672.4380000000001</v>
      </c>
      <c r="H18">
        <f t="shared" si="4"/>
        <v>0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>Note 1</v>
      </c>
      <c r="M18">
        <f>A!F530</f>
        <v>516</v>
      </c>
      <c r="N18">
        <f>A!G530</f>
        <v>508.21800000000002</v>
      </c>
      <c r="O18">
        <f>A!H530</f>
        <v>0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A!H500</f>
        <v>0</v>
      </c>
    </row>
    <row r="19" spans="1:23">
      <c r="A19" t="str">
        <f t="shared" si="5"/>
        <v>12</v>
      </c>
      <c r="B19">
        <f t="shared" si="6"/>
        <v>5846.1359763632563</v>
      </c>
      <c r="C19">
        <f t="shared" si="0"/>
        <v>5517</v>
      </c>
      <c r="D19">
        <f t="shared" si="1"/>
        <v>5513</v>
      </c>
      <c r="E19">
        <f>A!E501</f>
        <v>5708.5514700862404</v>
      </c>
      <c r="F19">
        <f t="shared" si="2"/>
        <v>5570</v>
      </c>
      <c r="G19">
        <f t="shared" si="3"/>
        <v>5501.4639999999999</v>
      </c>
      <c r="H19">
        <f t="shared" si="4"/>
        <v>0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>Note 1</v>
      </c>
      <c r="M19">
        <f>A!F531</f>
        <v>504</v>
      </c>
      <c r="N19">
        <f>A!G531</f>
        <v>496.50400000000002</v>
      </c>
      <c r="O19">
        <f>A!H531</f>
        <v>0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A!H501</f>
        <v>0</v>
      </c>
    </row>
    <row r="20" spans="1:23">
      <c r="A20" t="str">
        <f t="shared" si="5"/>
        <v>13</v>
      </c>
      <c r="B20">
        <f t="shared" si="6"/>
        <v>6805.1571409743137</v>
      </c>
      <c r="C20">
        <f t="shared" si="0"/>
        <v>6637</v>
      </c>
      <c r="D20">
        <f t="shared" si="1"/>
        <v>6636</v>
      </c>
      <c r="E20">
        <f>A!E502</f>
        <v>7233.0373681055298</v>
      </c>
      <c r="F20">
        <f t="shared" si="2"/>
        <v>7084</v>
      </c>
      <c r="G20">
        <f t="shared" si="3"/>
        <v>7093.8640000000005</v>
      </c>
      <c r="H20">
        <f t="shared" si="4"/>
        <v>0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>Note 1</v>
      </c>
      <c r="M20">
        <f>A!F532</f>
        <v>642</v>
      </c>
      <c r="N20">
        <f>A!G532</f>
        <v>639.274</v>
      </c>
      <c r="O20">
        <f>A!H532</f>
        <v>0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A!H502</f>
        <v>0</v>
      </c>
    </row>
    <row r="21" spans="1:23">
      <c r="A21" t="str">
        <f t="shared" si="5"/>
        <v>14</v>
      </c>
      <c r="B21">
        <f t="shared" si="6"/>
        <v>6827.0534650741438</v>
      </c>
      <c r="C21">
        <f t="shared" si="0"/>
        <v>7053</v>
      </c>
      <c r="D21">
        <f t="shared" si="1"/>
        <v>7064</v>
      </c>
      <c r="E21">
        <f>A!E503</f>
        <v>7085.9570260006803</v>
      </c>
      <c r="F21">
        <f t="shared" si="2"/>
        <v>7168</v>
      </c>
      <c r="G21">
        <f t="shared" si="3"/>
        <v>7143.3529999999992</v>
      </c>
      <c r="H21">
        <f t="shared" si="4"/>
        <v>0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>Note 1</v>
      </c>
      <c r="M21">
        <f>A!F533</f>
        <v>645</v>
      </c>
      <c r="N21">
        <f>A!G533</f>
        <v>639.95299999999997</v>
      </c>
      <c r="O21">
        <f>A!H533</f>
        <v>0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A!H503</f>
        <v>0</v>
      </c>
    </row>
    <row r="22" spans="1:23">
      <c r="A22" t="str">
        <f t="shared" si="5"/>
        <v>15</v>
      </c>
      <c r="B22">
        <f t="shared" si="6"/>
        <v>8703.4550065335297</v>
      </c>
      <c r="C22">
        <f t="shared" si="0"/>
        <v>8422</v>
      </c>
      <c r="D22">
        <f t="shared" si="1"/>
        <v>8437</v>
      </c>
      <c r="E22">
        <f>A!E504</f>
        <v>8689.9560731824095</v>
      </c>
      <c r="F22">
        <f t="shared" si="2"/>
        <v>8785</v>
      </c>
      <c r="G22">
        <f t="shared" si="3"/>
        <v>8825.4549999999999</v>
      </c>
      <c r="H22">
        <f t="shared" si="4"/>
        <v>0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>Note 1</v>
      </c>
      <c r="M22">
        <f>A!F534</f>
        <v>785</v>
      </c>
      <c r="N22">
        <f>A!G534</f>
        <v>784.90499999999997</v>
      </c>
      <c r="O22">
        <f>A!H534</f>
        <v>0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A!H504</f>
        <v>0</v>
      </c>
    </row>
    <row r="23" spans="1:23">
      <c r="A23" t="str">
        <f t="shared" si="5"/>
        <v>16</v>
      </c>
      <c r="B23">
        <f t="shared" si="6"/>
        <v>8745.8353691728644</v>
      </c>
      <c r="C23">
        <f t="shared" si="0"/>
        <v>8990</v>
      </c>
      <c r="D23">
        <f t="shared" si="1"/>
        <v>9025</v>
      </c>
      <c r="E23">
        <f>A!E505</f>
        <v>8842.8175260246298</v>
      </c>
      <c r="F23">
        <f t="shared" si="2"/>
        <v>8968</v>
      </c>
      <c r="G23">
        <f t="shared" si="3"/>
        <v>8927.2000000000007</v>
      </c>
      <c r="H23">
        <f t="shared" si="4"/>
        <v>0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>Note 1</v>
      </c>
      <c r="M23">
        <f>A!F535</f>
        <v>799</v>
      </c>
      <c r="N23">
        <f>A!G535</f>
        <v>793.61</v>
      </c>
      <c r="O23">
        <f>A!H535</f>
        <v>0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A!H505</f>
        <v>0</v>
      </c>
    </row>
    <row r="24" spans="1:23">
      <c r="A24" t="str">
        <f t="shared" si="5"/>
        <v>17</v>
      </c>
      <c r="B24">
        <f t="shared" si="6"/>
        <v>5950.2759779866064</v>
      </c>
      <c r="C24">
        <f t="shared" si="0"/>
        <v>6276</v>
      </c>
      <c r="D24">
        <f t="shared" si="1"/>
        <v>6252</v>
      </c>
      <c r="E24">
        <f>A!E506</f>
        <v>5791.0238691930899</v>
      </c>
      <c r="F24">
        <f t="shared" si="2"/>
        <v>5825</v>
      </c>
      <c r="G24">
        <f t="shared" si="3"/>
        <v>5721.3710000000001</v>
      </c>
      <c r="H24">
        <f t="shared" si="4"/>
        <v>0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>Note 1</v>
      </c>
      <c r="M24">
        <f>A!F536</f>
        <v>519</v>
      </c>
      <c r="N24">
        <f>A!G536</f>
        <v>509.58100000000002</v>
      </c>
      <c r="O24">
        <f>A!H536</f>
        <v>0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A!H506</f>
        <v>0</v>
      </c>
    </row>
    <row r="25" spans="1:23">
      <c r="A25" t="str">
        <f t="shared" si="5"/>
        <v>18</v>
      </c>
      <c r="B25">
        <f t="shared" si="6"/>
        <v>5939.3652627793081</v>
      </c>
      <c r="C25">
        <f t="shared" si="0"/>
        <v>6080</v>
      </c>
      <c r="D25">
        <f t="shared" si="1"/>
        <v>6072</v>
      </c>
      <c r="E25">
        <f>A!E507</f>
        <v>5952.6308606623797</v>
      </c>
      <c r="F25">
        <f t="shared" si="2"/>
        <v>5909</v>
      </c>
      <c r="G25">
        <f t="shared" si="3"/>
        <v>5629.2460000000001</v>
      </c>
      <c r="H25">
        <f t="shared" si="4"/>
        <v>0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>Note 1</v>
      </c>
      <c r="M25">
        <f>A!F537</f>
        <v>528</v>
      </c>
      <c r="N25">
        <f>A!G537</f>
        <v>506.95600000000002</v>
      </c>
      <c r="O25">
        <f>A!H537</f>
        <v>0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A!H507</f>
        <v>0</v>
      </c>
    </row>
    <row r="26" spans="1:23">
      <c r="A26" t="str">
        <f t="shared" si="5"/>
        <v>19</v>
      </c>
      <c r="B26">
        <f t="shared" si="6"/>
        <v>5789.2634487842306</v>
      </c>
      <c r="C26">
        <f t="shared" si="0"/>
        <v>5192</v>
      </c>
      <c r="D26">
        <f t="shared" si="1"/>
        <v>5168</v>
      </c>
      <c r="E26">
        <f>A!E508</f>
        <v>5617.7335677797</v>
      </c>
      <c r="F26">
        <f t="shared" si="2"/>
        <v>5283</v>
      </c>
      <c r="G26">
        <f t="shared" si="3"/>
        <v>5324.6900000000005</v>
      </c>
      <c r="H26">
        <f t="shared" si="4"/>
        <v>0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>Note 1</v>
      </c>
      <c r="M26">
        <f>A!F538</f>
        <v>492</v>
      </c>
      <c r="N26">
        <f>A!G538</f>
        <v>492.97</v>
      </c>
      <c r="O26">
        <f>A!H538</f>
        <v>0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A!H508</f>
        <v>0</v>
      </c>
    </row>
    <row r="27" spans="1:23">
      <c r="A27" t="str">
        <f t="shared" si="5"/>
        <v>20</v>
      </c>
      <c r="B27">
        <f t="shared" si="6"/>
        <v>5386.5635290302698</v>
      </c>
      <c r="C27">
        <f t="shared" si="0"/>
        <v>5363</v>
      </c>
      <c r="D27">
        <f t="shared" si="1"/>
        <v>5358</v>
      </c>
      <c r="E27">
        <f>A!E509</f>
        <v>5315.9924434734903</v>
      </c>
      <c r="F27">
        <f t="shared" si="2"/>
        <v>5307</v>
      </c>
      <c r="G27">
        <f t="shared" si="3"/>
        <v>5376.0889999999999</v>
      </c>
      <c r="H27">
        <f t="shared" si="4"/>
        <v>0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>Note 1</v>
      </c>
      <c r="M27">
        <f>A!F539</f>
        <v>498</v>
      </c>
      <c r="N27">
        <f>A!G539</f>
        <v>501.23899999999998</v>
      </c>
      <c r="O27">
        <f>A!H539</f>
        <v>0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A!H509</f>
        <v>0</v>
      </c>
    </row>
    <row r="28" spans="1:23">
      <c r="A28" t="str">
        <f t="shared" si="5"/>
        <v>21</v>
      </c>
      <c r="B28">
        <f t="shared" si="6"/>
        <v>4347.7986369501896</v>
      </c>
      <c r="C28">
        <f t="shared" si="0"/>
        <v>4318</v>
      </c>
      <c r="D28">
        <f t="shared" si="1"/>
        <v>4324</v>
      </c>
      <c r="E28">
        <f>A!E510</f>
        <v>4369.55146874007</v>
      </c>
      <c r="F28">
        <f t="shared" si="2"/>
        <v>4347</v>
      </c>
      <c r="G28">
        <f t="shared" si="3"/>
        <v>4341.1629999999996</v>
      </c>
      <c r="H28">
        <f t="shared" si="4"/>
        <v>0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>Note 1</v>
      </c>
      <c r="M28">
        <f>A!F540</f>
        <v>408</v>
      </c>
      <c r="N28">
        <f>A!G540</f>
        <v>405.54300000000001</v>
      </c>
      <c r="O28">
        <f>A!H540</f>
        <v>0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A!H510</f>
        <v>0</v>
      </c>
    </row>
    <row r="29" spans="1:23">
      <c r="A29" t="str">
        <f t="shared" si="5"/>
        <v>22</v>
      </c>
      <c r="B29">
        <f t="shared" si="6"/>
        <v>4333.4888796146997</v>
      </c>
      <c r="C29">
        <f t="shared" si="0"/>
        <v>4224</v>
      </c>
      <c r="D29">
        <f t="shared" si="1"/>
        <v>4222</v>
      </c>
      <c r="E29">
        <f>A!E511</f>
        <v>4323.8097400667903</v>
      </c>
      <c r="F29">
        <f t="shared" si="2"/>
        <v>4254</v>
      </c>
      <c r="G29">
        <f t="shared" si="3"/>
        <v>4243.2690000000002</v>
      </c>
      <c r="H29">
        <f t="shared" si="4"/>
        <v>0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>Note 1</v>
      </c>
      <c r="M29">
        <f>A!F541</f>
        <v>402</v>
      </c>
      <c r="N29">
        <f>A!G541</f>
        <v>398.93900000000002</v>
      </c>
      <c r="O29">
        <f>A!H541</f>
        <v>0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A!H511</f>
        <v>0</v>
      </c>
    </row>
    <row r="30" spans="1:23">
      <c r="A30" t="str">
        <f t="shared" si="5"/>
        <v>23</v>
      </c>
      <c r="B30">
        <f t="shared" si="6"/>
        <v>4556.4266975283335</v>
      </c>
      <c r="C30">
        <f t="shared" si="0"/>
        <v>4145</v>
      </c>
      <c r="D30">
        <f t="shared" si="1"/>
        <v>4142</v>
      </c>
      <c r="E30">
        <f>A!E512</f>
        <v>4215.9980080012201</v>
      </c>
      <c r="F30">
        <f t="shared" si="2"/>
        <v>4147</v>
      </c>
      <c r="G30">
        <f t="shared" si="3"/>
        <v>4204.7349999999997</v>
      </c>
      <c r="H30">
        <f t="shared" si="4"/>
        <v>0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>Note 1</v>
      </c>
      <c r="M30">
        <f>A!F542</f>
        <v>395</v>
      </c>
      <c r="N30">
        <f>A!G542</f>
        <v>397.27499999999998</v>
      </c>
      <c r="O30">
        <f>A!H542</f>
        <v>0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A!H512</f>
        <v>0</v>
      </c>
    </row>
    <row r="31" spans="1:23">
      <c r="A31" t="str">
        <f t="shared" si="5"/>
        <v>24</v>
      </c>
      <c r="B31">
        <f t="shared" si="6"/>
        <v>4286.9652529503182</v>
      </c>
      <c r="C31">
        <f t="shared" si="0"/>
        <v>4287</v>
      </c>
      <c r="D31">
        <f t="shared" si="1"/>
        <v>4287</v>
      </c>
      <c r="E31">
        <f>A!E513</f>
        <v>4194.2432078709999</v>
      </c>
      <c r="F31">
        <f t="shared" si="2"/>
        <v>4193</v>
      </c>
      <c r="G31">
        <f t="shared" si="3"/>
        <v>4049.81</v>
      </c>
      <c r="H31">
        <f t="shared" si="4"/>
        <v>0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>Note 1</v>
      </c>
      <c r="M31">
        <f>A!F543</f>
        <v>399</v>
      </c>
      <c r="N31">
        <f>A!G543</f>
        <v>385.64</v>
      </c>
      <c r="O31">
        <f>A!H543</f>
        <v>0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A!H513</f>
        <v>0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569</v>
      </c>
      <c r="C35" t="s">
        <v>570</v>
      </c>
      <c r="D35" t="s">
        <v>573</v>
      </c>
      <c r="E35" t="s">
        <v>617</v>
      </c>
      <c r="F35" t="s">
        <v>571</v>
      </c>
      <c r="G35" t="s">
        <v>572</v>
      </c>
      <c r="H35" t="s">
        <v>522</v>
      </c>
      <c r="I35" t="s">
        <v>569</v>
      </c>
      <c r="J35" t="s">
        <v>570</v>
      </c>
      <c r="K35" t="s">
        <v>573</v>
      </c>
      <c r="L35" t="s">
        <v>617</v>
      </c>
      <c r="M35" t="s">
        <v>571</v>
      </c>
      <c r="N35" t="s">
        <v>572</v>
      </c>
      <c r="O35" t="s">
        <v>522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5807.8572775113616</v>
      </c>
      <c r="F36">
        <f>A!F580</f>
        <v>5788</v>
      </c>
      <c r="G36">
        <f>A!G580</f>
        <v>5870.06</v>
      </c>
      <c r="H36">
        <f>A!H580</f>
        <v>0</v>
      </c>
      <c r="I36" s="116">
        <f>A!B610</f>
        <v>1942.39</v>
      </c>
      <c r="J36" s="116">
        <f>A!C610</f>
        <v>1663.0494000000001</v>
      </c>
      <c r="K36" s="116">
        <f>A!D610</f>
        <v>1658.0667000000001</v>
      </c>
      <c r="L36" s="116">
        <f>A!E610</f>
        <v>1795.0172270492249</v>
      </c>
      <c r="M36" s="116">
        <f>A!F610</f>
        <v>1684</v>
      </c>
      <c r="N36" s="116">
        <f>A!G610</f>
        <v>1797.5</v>
      </c>
      <c r="O36" s="116">
        <f>A!H610</f>
        <v>0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5850.1562392488058</v>
      </c>
      <c r="F37">
        <f>A!F581</f>
        <v>5961</v>
      </c>
      <c r="G37">
        <f>A!G581</f>
        <v>5871.7</v>
      </c>
      <c r="H37">
        <f>A!H581</f>
        <v>0</v>
      </c>
      <c r="I37" s="116">
        <f>A!B611</f>
        <v>1914.24</v>
      </c>
      <c r="J37" s="116">
        <f>A!C611</f>
        <v>1560.4644000000001</v>
      </c>
      <c r="K37" s="116">
        <f>A!D611</f>
        <v>1559.8782000000001</v>
      </c>
      <c r="L37" s="116">
        <f>A!E611</f>
        <v>1777.9436151772693</v>
      </c>
      <c r="M37" s="116">
        <f>A!F611</f>
        <v>1747</v>
      </c>
      <c r="N37" s="116">
        <f>A!G611</f>
        <v>1802.77</v>
      </c>
      <c r="O37" s="116">
        <f>A!H611</f>
        <v>0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5806.3856762322775</v>
      </c>
      <c r="F38">
        <f>A!F582</f>
        <v>5788</v>
      </c>
      <c r="G38">
        <f>A!G582</f>
        <v>5782.88</v>
      </c>
      <c r="H38">
        <f>A!H582</f>
        <v>0</v>
      </c>
      <c r="I38" s="116">
        <f>A!B612</f>
        <v>1933.51</v>
      </c>
      <c r="J38" s="116">
        <f>A!C612</f>
        <v>1668.9114000000002</v>
      </c>
      <c r="K38" s="116">
        <f>A!D612</f>
        <v>1668.0321000000001</v>
      </c>
      <c r="L38" s="116">
        <f>A!E612</f>
        <v>1773.0766896415832</v>
      </c>
      <c r="M38" s="116">
        <f>A!F612</f>
        <v>1657</v>
      </c>
      <c r="N38" s="116">
        <f>A!G612</f>
        <v>1745.07</v>
      </c>
      <c r="O38" s="116">
        <f>A!H612</f>
        <v>0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5740.6566413451947</v>
      </c>
      <c r="F39">
        <f>A!F583</f>
        <v>5788</v>
      </c>
      <c r="G39">
        <f>A!G583</f>
        <v>5683.06</v>
      </c>
      <c r="H39">
        <f>A!H583</f>
        <v>0</v>
      </c>
      <c r="I39" s="116">
        <f>A!B613</f>
        <v>1675.6</v>
      </c>
      <c r="J39" s="116">
        <f>A!C613</f>
        <v>1655.7219000000002</v>
      </c>
      <c r="K39" s="116">
        <f>A!D613</f>
        <v>1654.8426000000002</v>
      </c>
      <c r="L39" s="116">
        <f>A!E613</f>
        <v>1723.1504265828889</v>
      </c>
      <c r="M39" s="116">
        <f>A!F613</f>
        <v>1644</v>
      </c>
      <c r="N39" s="116">
        <f>A!G613</f>
        <v>1634.17</v>
      </c>
      <c r="O39" s="116">
        <f>A!H613</f>
        <v>0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5611.5023954924445</v>
      </c>
      <c r="F40">
        <f>A!F584</f>
        <v>5580</v>
      </c>
      <c r="G40">
        <f>A!G584</f>
        <v>5955.01</v>
      </c>
      <c r="H40">
        <f>A!H584</f>
        <v>0</v>
      </c>
      <c r="I40" s="116">
        <f>A!B614</f>
        <v>1785.95</v>
      </c>
      <c r="J40" s="116">
        <f>A!C614</f>
        <v>1122.5730000000001</v>
      </c>
      <c r="K40" s="116">
        <f>A!D614</f>
        <v>1081.2459000000001</v>
      </c>
      <c r="L40" s="116">
        <f>A!E614</f>
        <v>1607.3746213558306</v>
      </c>
      <c r="M40" s="116">
        <f>A!F614</f>
        <v>1420</v>
      </c>
      <c r="N40" s="116">
        <f>A!G614</f>
        <v>1559.34</v>
      </c>
      <c r="O40" s="116">
        <f>A!H614</f>
        <v>0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6012.3324781198617</v>
      </c>
      <c r="F41">
        <f>A!F585</f>
        <v>6341</v>
      </c>
      <c r="G41">
        <f>A!G585</f>
        <v>7311.79</v>
      </c>
      <c r="H41">
        <f>A!H585</f>
        <v>0</v>
      </c>
      <c r="I41" s="116">
        <f>A!B615</f>
        <v>1444.63</v>
      </c>
      <c r="J41" s="116">
        <f>A!C615</f>
        <v>1697.6352000000002</v>
      </c>
      <c r="K41" s="116">
        <f>A!D615</f>
        <v>1746.5829000000001</v>
      </c>
      <c r="L41" s="116">
        <f>A!E615</f>
        <v>1550.8876156048027</v>
      </c>
      <c r="M41" s="116">
        <f>A!F615</f>
        <v>1574</v>
      </c>
      <c r="N41" s="116">
        <f>A!G615</f>
        <v>1911.15</v>
      </c>
      <c r="O41" s="116">
        <f>A!H615</f>
        <v>0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7528.0124975351391</v>
      </c>
      <c r="F42">
        <f>A!F586</f>
        <v>8277</v>
      </c>
      <c r="G42">
        <f>A!G586</f>
        <v>8646.8700000000008</v>
      </c>
      <c r="H42">
        <f>A!H586</f>
        <v>0</v>
      </c>
      <c r="I42" s="116">
        <f>A!B616</f>
        <v>2114.5</v>
      </c>
      <c r="J42" s="116">
        <f>A!C616</f>
        <v>2733.7437000000004</v>
      </c>
      <c r="K42" s="116">
        <f>A!D616</f>
        <v>2884.9833000000003</v>
      </c>
      <c r="L42" s="116">
        <f>A!E616</f>
        <v>1865.0284813883054</v>
      </c>
      <c r="M42" s="116">
        <f>A!F616</f>
        <v>2173</v>
      </c>
      <c r="N42" s="116">
        <f>A!G616</f>
        <v>2122.59</v>
      </c>
      <c r="O42" s="116">
        <f>A!H616</f>
        <v>0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8751.3077372596945</v>
      </c>
      <c r="F43">
        <f>A!F587</f>
        <v>9038</v>
      </c>
      <c r="G43">
        <f>A!G587</f>
        <v>9298.6299999999992</v>
      </c>
      <c r="H43">
        <f>A!H587</f>
        <v>0</v>
      </c>
      <c r="I43" s="116">
        <f>A!B617</f>
        <v>2563.08</v>
      </c>
      <c r="J43" s="116">
        <f>A!C617</f>
        <v>1220.7615000000001</v>
      </c>
      <c r="K43" s="116">
        <f>A!D617</f>
        <v>1202.5893000000001</v>
      </c>
      <c r="L43" s="116">
        <f>A!E617</f>
        <v>2069.1885035570167</v>
      </c>
      <c r="M43" s="116">
        <f>A!F617</f>
        <v>1775</v>
      </c>
      <c r="N43" s="116">
        <f>A!G617</f>
        <v>1887.81</v>
      </c>
      <c r="O43" s="116">
        <f>A!H617</f>
        <v>0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11758.267257308833</v>
      </c>
      <c r="F44">
        <f>A!F588</f>
        <v>11971</v>
      </c>
      <c r="G44">
        <f>A!G588</f>
        <v>11923.2</v>
      </c>
      <c r="H44">
        <f>A!H588</f>
        <v>0</v>
      </c>
      <c r="I44" s="116">
        <f>A!B618</f>
        <v>2797.72</v>
      </c>
      <c r="J44" s="116">
        <f>A!C618</f>
        <v>2913.1209000000003</v>
      </c>
      <c r="K44" s="116">
        <f>A!D618</f>
        <v>2968.8099000000002</v>
      </c>
      <c r="L44" s="116">
        <f>A!E618</f>
        <v>2522.4250716597498</v>
      </c>
      <c r="M44" s="116">
        <f>A!F618</f>
        <v>2660</v>
      </c>
      <c r="N44" s="116">
        <f>A!G618</f>
        <v>2821.19</v>
      </c>
      <c r="O44" s="116">
        <f>A!H618</f>
        <v>0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11985.639804307306</v>
      </c>
      <c r="F45">
        <f>A!F589</f>
        <v>11971</v>
      </c>
      <c r="G45">
        <f>A!G589</f>
        <v>12287.1</v>
      </c>
      <c r="H45">
        <f>A!H589</f>
        <v>0</v>
      </c>
      <c r="I45" s="116">
        <f>A!B619</f>
        <v>3132.98</v>
      </c>
      <c r="J45" s="116">
        <f>A!C619</f>
        <v>3300.8922000000002</v>
      </c>
      <c r="K45" s="116">
        <f>A!D619</f>
        <v>3351.5985000000005</v>
      </c>
      <c r="L45" s="116">
        <f>A!E619</f>
        <v>3019.5601119123889</v>
      </c>
      <c r="M45" s="116">
        <f>A!F619</f>
        <v>3128</v>
      </c>
      <c r="N45" s="116">
        <f>A!G619</f>
        <v>3595.03</v>
      </c>
      <c r="O45" s="116">
        <f>A!H619</f>
        <v>0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12473.86093382575</v>
      </c>
      <c r="F46">
        <f>A!F590</f>
        <v>12731</v>
      </c>
      <c r="G46">
        <f>A!G590</f>
        <v>12561.8</v>
      </c>
      <c r="H46">
        <f>A!H590</f>
        <v>0</v>
      </c>
      <c r="I46" s="116">
        <f>A!B620</f>
        <v>4031.89</v>
      </c>
      <c r="J46" s="116">
        <f>A!C620</f>
        <v>4643.2902000000004</v>
      </c>
      <c r="K46" s="116">
        <f>A!D620</f>
        <v>4787.4954000000007</v>
      </c>
      <c r="L46" s="116">
        <f>A!E620</f>
        <v>3654.048463736528</v>
      </c>
      <c r="M46" s="116">
        <f>A!F620</f>
        <v>3991</v>
      </c>
      <c r="N46" s="116">
        <f>A!G620</f>
        <v>4052.76</v>
      </c>
      <c r="O46" s="116">
        <f>A!H620</f>
        <v>0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12655.494386371805</v>
      </c>
      <c r="F47">
        <f>A!F591</f>
        <v>12559</v>
      </c>
      <c r="G47">
        <f>A!G591</f>
        <v>12561.3</v>
      </c>
      <c r="H47">
        <f>A!H591</f>
        <v>0</v>
      </c>
      <c r="I47" s="116">
        <f>A!B621</f>
        <v>4438.3999999999996</v>
      </c>
      <c r="J47" s="116">
        <f>A!C621</f>
        <v>3603.0783000000001</v>
      </c>
      <c r="K47" s="116">
        <f>A!D621</f>
        <v>3576.6993000000002</v>
      </c>
      <c r="L47" s="116">
        <f>A!E621</f>
        <v>4086.9647491856945</v>
      </c>
      <c r="M47" s="116">
        <f>A!F621</f>
        <v>3699</v>
      </c>
      <c r="N47" s="116">
        <f>A!G621</f>
        <v>3468.23</v>
      </c>
      <c r="O47" s="116">
        <f>A!H621</f>
        <v>0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17378.503168130694</v>
      </c>
      <c r="F48">
        <f>A!F592</f>
        <v>17422</v>
      </c>
      <c r="G48">
        <f>A!G592</f>
        <v>17430.7</v>
      </c>
      <c r="H48">
        <f>A!H592</f>
        <v>0</v>
      </c>
      <c r="I48" s="116">
        <f>A!B622</f>
        <v>3682.11</v>
      </c>
      <c r="J48" s="116">
        <f>A!C622</f>
        <v>2583.9696000000004</v>
      </c>
      <c r="K48" s="116">
        <f>A!D622</f>
        <v>2485.7811000000002</v>
      </c>
      <c r="L48" s="116">
        <f>A!E622</f>
        <v>4495.4560388996115</v>
      </c>
      <c r="M48" s="116">
        <f>A!F622</f>
        <v>3669</v>
      </c>
      <c r="N48" s="116">
        <f>A!G622</f>
        <v>3749.01</v>
      </c>
      <c r="O48" s="116">
        <f>A!H622</f>
        <v>0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17574.609673320916</v>
      </c>
      <c r="F49">
        <f>A!F593</f>
        <v>17629</v>
      </c>
      <c r="G49">
        <f>A!G593</f>
        <v>17608.599999999999</v>
      </c>
      <c r="H49">
        <f>A!H593</f>
        <v>0</v>
      </c>
      <c r="I49" s="116">
        <f>A!B623</f>
        <v>2950.56</v>
      </c>
      <c r="J49" s="116">
        <f>A!C623</f>
        <v>3170.1696000000002</v>
      </c>
      <c r="K49" s="116">
        <f>A!D623</f>
        <v>3180.1350000000002</v>
      </c>
      <c r="L49" s="116">
        <f>A!E623</f>
        <v>3358.8288061456387</v>
      </c>
      <c r="M49" s="116">
        <f>A!F623</f>
        <v>3438</v>
      </c>
      <c r="N49" s="116">
        <f>A!G623</f>
        <v>3446.79</v>
      </c>
      <c r="O49" s="116">
        <f>A!H623</f>
        <v>0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22454.456081304808</v>
      </c>
      <c r="F50">
        <f>A!F594</f>
        <v>22491</v>
      </c>
      <c r="G50">
        <f>A!G594</f>
        <v>22350.400000000001</v>
      </c>
      <c r="H50">
        <f>A!H594</f>
        <v>0</v>
      </c>
      <c r="I50" s="116">
        <f>A!B624</f>
        <v>3804.88</v>
      </c>
      <c r="J50" s="116">
        <f>A!C624</f>
        <v>3190.6866000000005</v>
      </c>
      <c r="K50" s="116">
        <f>A!D624</f>
        <v>3195.9624000000003</v>
      </c>
      <c r="L50" s="116">
        <f>A!E624</f>
        <v>3978.4548078631387</v>
      </c>
      <c r="M50" s="116">
        <f>A!F624</f>
        <v>4145</v>
      </c>
      <c r="N50" s="116">
        <f>A!G624</f>
        <v>4719.45</v>
      </c>
      <c r="O50" s="116">
        <f>A!H624</f>
        <v>0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22527.669160985581</v>
      </c>
      <c r="F51">
        <f>A!F595</f>
        <v>22491</v>
      </c>
      <c r="G51">
        <f>A!G595</f>
        <v>22292</v>
      </c>
      <c r="H51">
        <f>A!H595</f>
        <v>0</v>
      </c>
      <c r="I51" s="116">
        <f>A!B625</f>
        <v>4437.9799999999996</v>
      </c>
      <c r="J51" s="116">
        <f>A!C625</f>
        <v>5053.0440000000008</v>
      </c>
      <c r="K51" s="116">
        <f>A!D625</f>
        <v>5187.8700000000008</v>
      </c>
      <c r="L51" s="116">
        <f>A!E625</f>
        <v>4415.6876523017218</v>
      </c>
      <c r="M51" s="116">
        <f>A!F625</f>
        <v>4925</v>
      </c>
      <c r="N51" s="116">
        <f>A!G625</f>
        <v>5331.25</v>
      </c>
      <c r="O51" s="116">
        <f>A!H625</f>
        <v>0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13046.967162474944</v>
      </c>
      <c r="F52">
        <f>A!F596</f>
        <v>12939</v>
      </c>
      <c r="G52">
        <f>A!G596</f>
        <v>12739.1</v>
      </c>
      <c r="H52">
        <f>A!H596</f>
        <v>0</v>
      </c>
      <c r="I52" s="116">
        <f>A!B626</f>
        <v>4183.03</v>
      </c>
      <c r="J52" s="116">
        <f>A!C626</f>
        <v>4605.4803000000002</v>
      </c>
      <c r="K52" s="116">
        <f>A!D626</f>
        <v>4644.4626000000007</v>
      </c>
      <c r="L52" s="116">
        <f>A!E626</f>
        <v>3478.7931101908612</v>
      </c>
      <c r="M52" s="116">
        <f>A!F626</f>
        <v>3763</v>
      </c>
      <c r="N52" s="116">
        <f>A!G626</f>
        <v>3811.95</v>
      </c>
      <c r="O52" s="116">
        <f>A!H626</f>
        <v>0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12851.449546450694</v>
      </c>
      <c r="F53">
        <f>A!F597</f>
        <v>12729</v>
      </c>
      <c r="G53">
        <f>A!G597</f>
        <v>12180.9</v>
      </c>
      <c r="H53">
        <f>A!H597</f>
        <v>0</v>
      </c>
      <c r="I53" s="116">
        <f>A!B627</f>
        <v>4785.28</v>
      </c>
      <c r="J53" s="116">
        <f>A!C627</f>
        <v>5103.4572000000007</v>
      </c>
      <c r="K53" s="116">
        <f>A!D627</f>
        <v>5146.2498000000005</v>
      </c>
      <c r="L53" s="116">
        <f>A!E627</f>
        <v>4554.1122046229166</v>
      </c>
      <c r="M53" s="116">
        <f>A!F627</f>
        <v>4582</v>
      </c>
      <c r="N53" s="116">
        <f>A!G627</f>
        <v>4648.7700000000004</v>
      </c>
      <c r="O53" s="116">
        <f>A!H627</f>
        <v>0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12151.736356827056</v>
      </c>
      <c r="F54">
        <f>A!F598</f>
        <v>11761</v>
      </c>
      <c r="G54">
        <f>A!G598</f>
        <v>11540.7</v>
      </c>
      <c r="H54">
        <f>A!H598</f>
        <v>0</v>
      </c>
      <c r="I54" s="116">
        <f>A!B628</f>
        <v>5170.8900000000003</v>
      </c>
      <c r="J54" s="116">
        <f>A!C628</f>
        <v>4136.5203000000001</v>
      </c>
      <c r="K54" s="116">
        <f>A!D628</f>
        <v>4043.3145000000004</v>
      </c>
      <c r="L54" s="116">
        <f>A!E628</f>
        <v>4930.4959781817224</v>
      </c>
      <c r="M54" s="116">
        <f>A!F628</f>
        <v>4470</v>
      </c>
      <c r="N54" s="116">
        <f>A!G628</f>
        <v>5094.59</v>
      </c>
      <c r="O54" s="116">
        <f>A!H628</f>
        <v>0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11537.499229337138</v>
      </c>
      <c r="F55">
        <f>A!F599</f>
        <v>11381</v>
      </c>
      <c r="G55">
        <f>A!G599</f>
        <v>11359.2</v>
      </c>
      <c r="H55">
        <f>A!H599</f>
        <v>0</v>
      </c>
      <c r="I55" s="116">
        <f>A!B629</f>
        <v>5334.51</v>
      </c>
      <c r="J55" s="116">
        <f>A!C629</f>
        <v>5549.848500000001</v>
      </c>
      <c r="K55" s="116">
        <f>A!D629</f>
        <v>5586.1929000000009</v>
      </c>
      <c r="L55" s="116">
        <f>A!E629</f>
        <v>5205.494847046195</v>
      </c>
      <c r="M55" s="116">
        <f>A!F629</f>
        <v>5486</v>
      </c>
      <c r="N55" s="116">
        <f>A!G629</f>
        <v>5771.92</v>
      </c>
      <c r="O55" s="116">
        <f>A!H629</f>
        <v>0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9049.8698998548061</v>
      </c>
      <c r="F56">
        <f>A!F600</f>
        <v>9036</v>
      </c>
      <c r="G56">
        <f>A!G600</f>
        <v>8931.39</v>
      </c>
      <c r="H56">
        <f>A!H600</f>
        <v>0</v>
      </c>
      <c r="I56" s="116">
        <f>A!B630</f>
        <v>4657.75</v>
      </c>
      <c r="J56" s="116">
        <f>A!C630</f>
        <v>4133.0031000000008</v>
      </c>
      <c r="K56" s="116">
        <f>A!D630</f>
        <v>4142.3823000000002</v>
      </c>
      <c r="L56" s="116">
        <f>A!E630</f>
        <v>4561.5540237343894</v>
      </c>
      <c r="M56" s="116">
        <f>A!F630</f>
        <v>4447</v>
      </c>
      <c r="N56" s="116">
        <f>A!G630</f>
        <v>4593.42</v>
      </c>
      <c r="O56" s="116">
        <f>A!H630</f>
        <v>0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8939.7425389421678</v>
      </c>
      <c r="F57">
        <f>A!F601</f>
        <v>8864</v>
      </c>
      <c r="G57">
        <f>A!G601</f>
        <v>8747.2199999999993</v>
      </c>
      <c r="H57">
        <f>A!H601</f>
        <v>0</v>
      </c>
      <c r="I57" s="116">
        <f>A!B631</f>
        <v>4684.26</v>
      </c>
      <c r="J57" s="116">
        <f>A!C631</f>
        <v>4306.8114000000005</v>
      </c>
      <c r="K57" s="116">
        <f>A!D631</f>
        <v>4311.2079000000003</v>
      </c>
      <c r="L57" s="116">
        <f>A!E631</f>
        <v>4621.5598410003331</v>
      </c>
      <c r="M57" s="116">
        <f>A!F631</f>
        <v>4459</v>
      </c>
      <c r="N57" s="116">
        <f>A!G631</f>
        <v>4608.6000000000004</v>
      </c>
      <c r="O57" s="116">
        <f>A!H631</f>
        <v>0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8740.967918290029</v>
      </c>
      <c r="F58">
        <f>A!F602</f>
        <v>8656</v>
      </c>
      <c r="G58">
        <f>A!G602</f>
        <v>8646.75</v>
      </c>
      <c r="H58">
        <f>A!H602</f>
        <v>0</v>
      </c>
      <c r="I58" s="116">
        <f>A!B632</f>
        <v>5081.99</v>
      </c>
      <c r="J58" s="116">
        <f>A!C632</f>
        <v>4404.4137000000001</v>
      </c>
      <c r="K58" s="116">
        <f>A!D632</f>
        <v>4404.7068000000008</v>
      </c>
      <c r="L58" s="116">
        <f>A!E632</f>
        <v>4624.0170880913329</v>
      </c>
      <c r="M58" s="116">
        <f>A!F632</f>
        <v>4482</v>
      </c>
      <c r="N58" s="116">
        <f>A!G632</f>
        <v>4696.5600000000004</v>
      </c>
      <c r="O58" s="116">
        <f>A!H632</f>
        <v>0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8661.2370787404452</v>
      </c>
      <c r="F59">
        <f>A!F603</f>
        <v>8656</v>
      </c>
      <c r="G59">
        <f>A!G603</f>
        <v>8359.6</v>
      </c>
      <c r="H59">
        <f>A!H603</f>
        <v>0</v>
      </c>
      <c r="I59" s="116">
        <f>A!B633</f>
        <v>4885.22</v>
      </c>
      <c r="J59" s="116">
        <f>A!C633</f>
        <v>4925.2524000000003</v>
      </c>
      <c r="K59" s="116">
        <f>A!D633</f>
        <v>4954.5624000000007</v>
      </c>
      <c r="L59" s="116">
        <f>A!E633</f>
        <v>4709.2294297411108</v>
      </c>
      <c r="M59" s="116">
        <f>A!F633</f>
        <v>4666</v>
      </c>
      <c r="N59" s="116">
        <f>A!G633</f>
        <v>4613.0600000000004</v>
      </c>
      <c r="O59" s="116">
        <f>A!H633</f>
        <v>0</v>
      </c>
    </row>
    <row r="62" spans="1:15">
      <c r="A62" t="s">
        <v>457</v>
      </c>
    </row>
    <row r="63" spans="1:15">
      <c r="A63">
        <f>A!A638</f>
        <v>0</v>
      </c>
    </row>
    <row r="64" spans="1:15">
      <c r="A64">
        <f>A!A639</f>
        <v>0</v>
      </c>
      <c r="B64" t="s">
        <v>569</v>
      </c>
      <c r="C64" t="s">
        <v>570</v>
      </c>
      <c r="D64" t="s">
        <v>573</v>
      </c>
      <c r="E64" t="s">
        <v>617</v>
      </c>
      <c r="F64" t="s">
        <v>571</v>
      </c>
      <c r="G64" t="s">
        <v>572</v>
      </c>
      <c r="H64" t="s">
        <v>522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9.25680878373163E-3</v>
      </c>
      <c r="F65">
        <f>A!F640</f>
        <v>9.2759999999999995E-3</v>
      </c>
      <c r="G65">
        <f>A!G640</f>
        <v>9.2501500000000004E-3</v>
      </c>
      <c r="H65">
        <f>A!H640</f>
        <v>0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9.2200831041787494E-3</v>
      </c>
      <c r="F66">
        <f>A!F641</f>
        <v>9.3019999999999995E-3</v>
      </c>
      <c r="G66">
        <f>A!G641</f>
        <v>9.2582099999999994E-3</v>
      </c>
      <c r="H66">
        <f>A!H641</f>
        <v>0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9.2266597894061601E-3</v>
      </c>
      <c r="F67">
        <f>A!F642</f>
        <v>9.2390000000000007E-3</v>
      </c>
      <c r="G67">
        <f>A!G642</f>
        <v>9.2067699999999995E-3</v>
      </c>
      <c r="H67">
        <f>A!H642</f>
        <v>0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9.16990585233542E-3</v>
      </c>
      <c r="F68">
        <f>A!F643</f>
        <v>9.2010000000000008E-3</v>
      </c>
      <c r="G68">
        <f>A!G643</f>
        <v>9.1047200000000002E-3</v>
      </c>
      <c r="H68">
        <f>A!H643</f>
        <v>0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9.0480182019803106E-3</v>
      </c>
      <c r="F69">
        <f>A!F644</f>
        <v>8.9689999999999995E-3</v>
      </c>
      <c r="G69">
        <f>A!G644</f>
        <v>8.9519200000000004E-3</v>
      </c>
      <c r="H69">
        <f>A!H644</f>
        <v>0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8.9017555358971694E-3</v>
      </c>
      <c r="F70">
        <f>A!F645</f>
        <v>9.0119999999999992E-3</v>
      </c>
      <c r="G70">
        <f>A!G645</f>
        <v>9.1582799999999995E-3</v>
      </c>
      <c r="H70">
        <f>A!H645</f>
        <v>0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9.1705903668304004E-3</v>
      </c>
      <c r="F71">
        <f>A!F646</f>
        <v>9.4900000000000002E-3</v>
      </c>
      <c r="G71">
        <f>A!G646</f>
        <v>9.4778299999999996E-3</v>
      </c>
      <c r="H71">
        <f>A!H646</f>
        <v>0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9.4817813913382603E-3</v>
      </c>
      <c r="F72">
        <f>A!F647</f>
        <v>9.3139999999999994E-3</v>
      </c>
      <c r="G72">
        <f>A!G647</f>
        <v>9.3737100000000004E-3</v>
      </c>
      <c r="H72">
        <f>A!H647</f>
        <v>0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9.6209138874267207E-3</v>
      </c>
      <c r="F73">
        <f>A!F648</f>
        <v>9.7079999999999996E-3</v>
      </c>
      <c r="G73">
        <f>A!G648</f>
        <v>9.7160500000000004E-3</v>
      </c>
      <c r="H73">
        <f>A!H648</f>
        <v>0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9.9775130722175292E-3</v>
      </c>
      <c r="F74">
        <f>A!F649</f>
        <v>1.0041E-2</v>
      </c>
      <c r="G74">
        <f>A!G649</f>
        <v>1.02366E-2</v>
      </c>
      <c r="H74">
        <f>A!H649</f>
        <v>0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1.03919173834131E-2</v>
      </c>
      <c r="F75">
        <f>A!F650</f>
        <v>1.0588E-2</v>
      </c>
      <c r="G75">
        <f>A!G650</f>
        <v>1.0622400000000001E-2</v>
      </c>
      <c r="H75">
        <f>A!H650</f>
        <v>0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1.0700700073940399E-2</v>
      </c>
      <c r="F76">
        <f>A!F651</f>
        <v>1.0580000000000001E-2</v>
      </c>
      <c r="G76">
        <f>A!G651</f>
        <v>1.04329E-2</v>
      </c>
      <c r="H76">
        <f>A!H651</f>
        <v>0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1.0128593692398101E-2</v>
      </c>
      <c r="F77">
        <f>A!F652</f>
        <v>9.9749999999999995E-3</v>
      </c>
      <c r="G77">
        <f>A!G652</f>
        <v>9.9714899999999995E-3</v>
      </c>
      <c r="H77">
        <f>A!H652</f>
        <v>0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9.6940294873933998E-3</v>
      </c>
      <c r="F78">
        <f>A!F653</f>
        <v>9.7780000000000002E-3</v>
      </c>
      <c r="G78">
        <f>A!G653</f>
        <v>9.7435999999999998E-3</v>
      </c>
      <c r="H78">
        <f>A!H653</f>
        <v>0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9.5210421083314102E-3</v>
      </c>
      <c r="F79">
        <f>A!F654</f>
        <v>9.5790000000000007E-3</v>
      </c>
      <c r="G79">
        <f>A!G654</f>
        <v>9.7833899999999994E-3</v>
      </c>
      <c r="H79">
        <f>A!H654</f>
        <v>0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9.6238289683823492E-3</v>
      </c>
      <c r="F80">
        <f>A!F655</f>
        <v>9.7330000000000003E-3</v>
      </c>
      <c r="G80">
        <f>A!G655</f>
        <v>9.8255200000000008E-3</v>
      </c>
      <c r="H80">
        <f>A!H655</f>
        <v>0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1.03613798071139E-2</v>
      </c>
      <c r="F81">
        <f>A!F656</f>
        <v>1.044E-2</v>
      </c>
      <c r="G81">
        <f>A!G656</f>
        <v>1.0257199999999999E-2</v>
      </c>
      <c r="H81">
        <f>A!H656</f>
        <v>0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1.09244326891799E-2</v>
      </c>
      <c r="F82">
        <f>A!F657</f>
        <v>1.0912E-2</v>
      </c>
      <c r="G82">
        <f>A!G657</f>
        <v>1.0859199999999999E-2</v>
      </c>
      <c r="H82">
        <f>A!H657</f>
        <v>0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1.1074776166459801E-2</v>
      </c>
      <c r="F83">
        <f>A!F658</f>
        <v>1.0914E-2</v>
      </c>
      <c r="G83">
        <f>A!G658</f>
        <v>1.10239E-2</v>
      </c>
      <c r="H83">
        <f>A!H658</f>
        <v>0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1.1126333301216E-2</v>
      </c>
      <c r="F84">
        <f>A!F659</f>
        <v>1.1269E-2</v>
      </c>
      <c r="G84">
        <f>A!G659</f>
        <v>1.13569E-2</v>
      </c>
      <c r="H84">
        <f>A!H659</f>
        <v>0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1.1354563437724299E-2</v>
      </c>
      <c r="F85">
        <f>A!F660</f>
        <v>1.1348E-2</v>
      </c>
      <c r="G85">
        <f>A!G660</f>
        <v>1.1378299999999999E-2</v>
      </c>
      <c r="H85">
        <f>A!H660</f>
        <v>0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1.1403373047196901E-2</v>
      </c>
      <c r="F86">
        <f>A!F661</f>
        <v>1.1383000000000001E-2</v>
      </c>
      <c r="G86">
        <f>A!G661</f>
        <v>1.1398E-2</v>
      </c>
      <c r="H86">
        <f>A!H661</f>
        <v>0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1.14201747031373E-2</v>
      </c>
      <c r="F87">
        <f>A!F662</f>
        <v>1.1416000000000001E-2</v>
      </c>
      <c r="G87">
        <f>A!G662</f>
        <v>1.1449900000000001E-2</v>
      </c>
      <c r="H87">
        <f>A!H662</f>
        <v>0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1.14762851267476E-2</v>
      </c>
      <c r="F88">
        <f>A!F663</f>
        <v>1.1507E-2</v>
      </c>
      <c r="G88">
        <f>A!G663</f>
        <v>1.1461900000000001E-2</v>
      </c>
      <c r="H88">
        <f>A!H663</f>
        <v>0</v>
      </c>
    </row>
    <row r="92" spans="1:8">
      <c r="A92" t="str">
        <f>A!A667</f>
        <v>COP2</v>
      </c>
    </row>
    <row r="94" spans="1:8">
      <c r="A94">
        <f>A!A669</f>
        <v>0</v>
      </c>
      <c r="B94" t="s">
        <v>569</v>
      </c>
      <c r="C94" t="s">
        <v>570</v>
      </c>
      <c r="D94" t="s">
        <v>573</v>
      </c>
      <c r="E94" t="s">
        <v>617</v>
      </c>
      <c r="F94" t="s">
        <v>571</v>
      </c>
      <c r="G94" t="s">
        <v>572</v>
      </c>
      <c r="H94" t="s">
        <v>522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3.5307233736168606</v>
      </c>
      <c r="F95">
        <f>A!F670</f>
        <v>3.5195478097032509</v>
      </c>
      <c r="G95">
        <f>A!G670</f>
        <v>3.5112000000000001</v>
      </c>
      <c r="H95">
        <f>A!H670</f>
        <v>0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3.5201308208199871</v>
      </c>
      <c r="F96">
        <f>A!F671</f>
        <v>3.4904891304347823</v>
      </c>
      <c r="G96">
        <f>A!G671</f>
        <v>3.5017</v>
      </c>
      <c r="H96">
        <f>A!H671</f>
        <v>0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3.5288213922175089</v>
      </c>
      <c r="F97">
        <f>A!F672</f>
        <v>3.5167690127538971</v>
      </c>
      <c r="G97">
        <f>A!G672</f>
        <v>3.5190899999999998</v>
      </c>
      <c r="H97">
        <f>A!H672</f>
        <v>0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3.5377558606517776</v>
      </c>
      <c r="F98">
        <f>A!F673</f>
        <v>3.515610217596973</v>
      </c>
      <c r="G98">
        <f>A!G673</f>
        <v>3.5237500000000002</v>
      </c>
      <c r="H98">
        <f>A!H673</f>
        <v>0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3.5533251266588084</v>
      </c>
      <c r="F99">
        <f>A!F674</f>
        <v>3.5353535353535355</v>
      </c>
      <c r="G99">
        <f>A!G674</f>
        <v>3.4899399999999998</v>
      </c>
      <c r="H99">
        <f>A!H674</f>
        <v>0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3.4667517208546688</v>
      </c>
      <c r="F100">
        <f>A!F675</f>
        <v>3.3999140893470785</v>
      </c>
      <c r="G100">
        <f>A!G675</f>
        <v>3.2949000000000002</v>
      </c>
      <c r="H100">
        <f>A!H675</f>
        <v>0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3.2092693788359301</v>
      </c>
      <c r="F101">
        <f>A!F676</f>
        <v>3.1018106262986045</v>
      </c>
      <c r="G101">
        <f>A!G676</f>
        <v>3.0648</v>
      </c>
      <c r="H101">
        <f>A!H676</f>
        <v>0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3.0295414104100504</v>
      </c>
      <c r="F102">
        <f>A!F677</f>
        <v>2.9584131326949388</v>
      </c>
      <c r="G102">
        <f>A!G677</f>
        <v>2.9480200000000001</v>
      </c>
      <c r="H102">
        <f>A!H677</f>
        <v>0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2.9928535107466985</v>
      </c>
      <c r="F103">
        <f>A!F678</f>
        <v>2.9581479983825316</v>
      </c>
      <c r="G103">
        <f>A!G678</f>
        <v>2.9786999999999999</v>
      </c>
      <c r="H103">
        <f>A!H678</f>
        <v>0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2.9835740296410584</v>
      </c>
      <c r="F104">
        <f>A!F679</f>
        <v>2.980457954994078</v>
      </c>
      <c r="G104">
        <f>A!G679</f>
        <v>2.9726499999999998</v>
      </c>
      <c r="H104">
        <f>A!H679</f>
        <v>0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2.9401917342601949</v>
      </c>
      <c r="F105">
        <f>A!F680</f>
        <v>2.9061522419186652</v>
      </c>
      <c r="G105">
        <f>A!G680</f>
        <v>2.9289900000000002</v>
      </c>
      <c r="H105">
        <f>A!H680</f>
        <v>0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2.9328734659380311</v>
      </c>
      <c r="F106">
        <f>A!F681</f>
        <v>2.9188509874326747</v>
      </c>
      <c r="G106">
        <f>A!G681</f>
        <v>2.9136899999999999</v>
      </c>
      <c r="H106">
        <f>A!H681</f>
        <v>0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3.0241733996128262</v>
      </c>
      <c r="F107">
        <f>A!F682</f>
        <v>2.9771315640880855</v>
      </c>
      <c r="G107">
        <f>A!G682</f>
        <v>2.98563</v>
      </c>
      <c r="H107">
        <f>A!H682</f>
        <v>0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2.9542147098345306</v>
      </c>
      <c r="F108">
        <f>A!F683</f>
        <v>2.939034598214286</v>
      </c>
      <c r="G108">
        <f>A!G683</f>
        <v>2.9475600000000002</v>
      </c>
      <c r="H108">
        <f>A!H683</f>
        <v>0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3.0417772732754171</v>
      </c>
      <c r="F109">
        <f>A!F684</f>
        <v>3.0319863403528742</v>
      </c>
      <c r="G109">
        <f>A!G684</f>
        <v>3.06724</v>
      </c>
      <c r="H109">
        <f>A!H684</f>
        <v>0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3.0469199137031091</v>
      </c>
      <c r="F110">
        <f>A!F685</f>
        <v>3.0570918822479931</v>
      </c>
      <c r="G110">
        <f>A!G685</f>
        <v>3.0942799999999999</v>
      </c>
      <c r="H110">
        <f>A!H685</f>
        <v>0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2.8536854010530051</v>
      </c>
      <c r="F111">
        <f>A!F686</f>
        <v>2.8672961373390562</v>
      </c>
      <c r="G111">
        <f>A!G686</f>
        <v>2.8928400000000001</v>
      </c>
      <c r="H111">
        <f>A!H686</f>
        <v>0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2.9240116107479923</v>
      </c>
      <c r="F112">
        <f>A!F687</f>
        <v>2.929768150279235</v>
      </c>
      <c r="G112">
        <f>A!G687</f>
        <v>2.9896799999999999</v>
      </c>
      <c r="H112">
        <f>A!H687</f>
        <v>0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3.0407694008457931</v>
      </c>
      <c r="F113">
        <f>A!F688</f>
        <v>3.0724966874881692</v>
      </c>
      <c r="G113">
        <f>A!G688</f>
        <v>3.12418</v>
      </c>
      <c r="H113">
        <f>A!H688</f>
        <v>0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3.1495518954205601</v>
      </c>
      <c r="F114">
        <f>A!F689</f>
        <v>3.1782551347277179</v>
      </c>
      <c r="G114">
        <f>A!G689</f>
        <v>3.1865399999999999</v>
      </c>
      <c r="H114">
        <f>A!H689</f>
        <v>0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3.1150620426297402</v>
      </c>
      <c r="F115">
        <f>A!F690</f>
        <v>3.1019093627789278</v>
      </c>
      <c r="G115">
        <f>A!G690</f>
        <v>3.1154799999999998</v>
      </c>
      <c r="H115">
        <f>A!H690</f>
        <v>0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3.1364244023681276</v>
      </c>
      <c r="F116">
        <f>A!F691</f>
        <v>3.131640808650682</v>
      </c>
      <c r="G116">
        <f>A!G691</f>
        <v>3.1475300000000002</v>
      </c>
      <c r="H116">
        <f>A!H691</f>
        <v>0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3.1700643551104575</v>
      </c>
      <c r="F117">
        <f>A!F692</f>
        <v>3.168314444176513</v>
      </c>
      <c r="G117">
        <f>A!G692</f>
        <v>3.1734</v>
      </c>
      <c r="H117">
        <f>A!H692</f>
        <v>0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3.1878138309648509</v>
      </c>
      <c r="F118">
        <f>A!F693</f>
        <v>3.1774385881230627</v>
      </c>
      <c r="G118">
        <f>A!G693</f>
        <v>3.2032699999999998</v>
      </c>
      <c r="H118">
        <f>A!H693</f>
        <v>0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569</v>
      </c>
      <c r="C124" t="s">
        <v>570</v>
      </c>
      <c r="D124" t="s">
        <v>573</v>
      </c>
      <c r="E124" t="s">
        <v>617</v>
      </c>
      <c r="F124" t="s">
        <v>571</v>
      </c>
      <c r="G124" t="s">
        <v>572</v>
      </c>
      <c r="H124" t="s">
        <v>522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A!H700</f>
        <v>0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A!H701</f>
        <v>0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A!H702</f>
        <v>0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A!H703</f>
        <v>0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A!H704</f>
        <v>0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A!H705</f>
        <v>0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A!H706</f>
        <v>0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A!H707</f>
        <v>0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A!H708</f>
        <v>0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A!H709</f>
        <v>0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A!H710</f>
        <v>0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A!H711</f>
        <v>0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A!H712</f>
        <v>0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A!H713</f>
        <v>0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A!H714</f>
        <v>0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A!H715</f>
        <v>0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A!H716</f>
        <v>0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A!H717</f>
        <v>0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A!H718</f>
        <v>0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A!H719</f>
        <v>0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A!H720</f>
        <v>0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A!H721</f>
        <v>0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A!H722</f>
        <v>0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A!H723</f>
        <v>0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153</v>
      </c>
    </row>
    <row r="154" spans="1:16">
      <c r="A154">
        <f>A!A729</f>
        <v>0</v>
      </c>
      <c r="B154" t="s">
        <v>569</v>
      </c>
      <c r="C154" t="s">
        <v>570</v>
      </c>
      <c r="D154" t="s">
        <v>573</v>
      </c>
      <c r="E154" t="s">
        <v>617</v>
      </c>
      <c r="F154" t="s">
        <v>571</v>
      </c>
      <c r="G154" t="s">
        <v>572</v>
      </c>
      <c r="H154" t="s">
        <v>522</v>
      </c>
      <c r="I154" t="s">
        <v>569</v>
      </c>
      <c r="J154" t="s">
        <v>570</v>
      </c>
      <c r="K154" t="s">
        <v>573</v>
      </c>
      <c r="L154" t="s">
        <v>617</v>
      </c>
      <c r="M154" t="s">
        <v>571</v>
      </c>
      <c r="N154" t="s">
        <v>572</v>
      </c>
      <c r="O154" t="s">
        <v>522</v>
      </c>
      <c r="P154" s="95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23.945048605625502</v>
      </c>
      <c r="F155">
        <f>A!F730</f>
        <v>23.92</v>
      </c>
      <c r="G155">
        <f>A!G730</f>
        <v>23.936699999999998</v>
      </c>
      <c r="H155">
        <f>A!H730</f>
        <v>0</v>
      </c>
      <c r="I155" s="95">
        <f>A!B760</f>
        <v>16.964099999999998</v>
      </c>
      <c r="J155" s="95">
        <f>A!C760</f>
        <v>17.34</v>
      </c>
      <c r="K155" s="95">
        <f>A!D760</f>
        <v>17.34</v>
      </c>
      <c r="L155" s="95">
        <f>A!E760</f>
        <v>0</v>
      </c>
      <c r="M155" s="95">
        <f>A!F760</f>
        <v>17.155000000000001</v>
      </c>
      <c r="N155" s="95">
        <f>A!G760</f>
        <v>17.304200000000002</v>
      </c>
      <c r="O155" s="95">
        <f>A!H760</f>
        <v>0</v>
      </c>
      <c r="P155" s="95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23.963593094166001</v>
      </c>
      <c r="F156">
        <f>A!F731</f>
        <v>24</v>
      </c>
      <c r="G156">
        <f>A!G731</f>
        <v>23.936699999999998</v>
      </c>
      <c r="H156">
        <f>A!H731</f>
        <v>0</v>
      </c>
      <c r="I156" s="95">
        <f>A!B761</f>
        <v>16.904599999999999</v>
      </c>
      <c r="J156" s="95">
        <f>A!C761</f>
        <v>17.29</v>
      </c>
      <c r="K156" s="95">
        <f>A!D761</f>
        <v>17.29</v>
      </c>
      <c r="L156" s="95">
        <f>A!E761</f>
        <v>0</v>
      </c>
      <c r="M156" s="95">
        <f>A!F761</f>
        <v>17.238</v>
      </c>
      <c r="N156" s="95">
        <f>A!G761</f>
        <v>17.309999999999999</v>
      </c>
      <c r="O156" s="95">
        <f>A!H761</f>
        <v>0</v>
      </c>
      <c r="P156" s="95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23.945070840907501</v>
      </c>
      <c r="F157">
        <f>A!F732</f>
        <v>23.92</v>
      </c>
      <c r="G157">
        <f>A!G732</f>
        <v>23.895800000000001</v>
      </c>
      <c r="H157">
        <f>A!H732</f>
        <v>0</v>
      </c>
      <c r="I157" s="95">
        <f>A!B762</f>
        <v>16.941800000000001</v>
      </c>
      <c r="J157" s="95">
        <f>A!C762</f>
        <v>17.34</v>
      </c>
      <c r="K157" s="95">
        <f>A!D762</f>
        <v>17.37</v>
      </c>
      <c r="L157" s="95">
        <f>A!E762</f>
        <v>0</v>
      </c>
      <c r="M157" s="95">
        <f>A!F762</f>
        <v>17.12</v>
      </c>
      <c r="N157" s="95">
        <f>A!G762</f>
        <v>17.236699999999999</v>
      </c>
      <c r="O157" s="95">
        <f>A!H762</f>
        <v>0</v>
      </c>
      <c r="P157" s="95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23.9168847690941</v>
      </c>
      <c r="F158">
        <f>A!F733</f>
        <v>23.92</v>
      </c>
      <c r="G158">
        <f>A!G733</f>
        <v>23.837499999999999</v>
      </c>
      <c r="H158">
        <f>A!H733</f>
        <v>0</v>
      </c>
      <c r="I158" s="95">
        <f>A!B763</f>
        <v>16.861899999999999</v>
      </c>
      <c r="J158" s="95">
        <f>A!C763</f>
        <v>17.34</v>
      </c>
      <c r="K158" s="95">
        <f>A!D763</f>
        <v>17.37</v>
      </c>
      <c r="L158" s="95">
        <f>A!E763</f>
        <v>0</v>
      </c>
      <c r="M158" s="95">
        <f>A!F763</f>
        <v>17.102</v>
      </c>
      <c r="N158" s="95">
        <f>A!G763</f>
        <v>17.078499999999998</v>
      </c>
      <c r="O158" s="95">
        <f>A!H763</f>
        <v>0</v>
      </c>
      <c r="P158" s="95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23.861237332159501</v>
      </c>
      <c r="F159">
        <f>A!F734</f>
        <v>23.83</v>
      </c>
      <c r="G159">
        <f>A!G734</f>
        <v>23.9757</v>
      </c>
      <c r="H159">
        <f>A!H734</f>
        <v>0</v>
      </c>
      <c r="I159" s="95">
        <f>A!B764</f>
        <v>16.6966</v>
      </c>
      <c r="J159" s="95">
        <f>A!C764</f>
        <v>16.850000000000001</v>
      </c>
      <c r="K159" s="95">
        <f>A!D764</f>
        <v>16.940000000000001</v>
      </c>
      <c r="L159" s="95">
        <f>A!E764</f>
        <v>0</v>
      </c>
      <c r="M159" s="95">
        <f>A!F764</f>
        <v>16.786999999999999</v>
      </c>
      <c r="N159" s="95">
        <f>A!G764</f>
        <v>17.0075</v>
      </c>
      <c r="O159" s="95">
        <f>A!H764</f>
        <v>0</v>
      </c>
      <c r="P159" s="95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24.033478329596701</v>
      </c>
      <c r="F160">
        <f>A!F735</f>
        <v>24.16</v>
      </c>
      <c r="G160">
        <f>A!G735</f>
        <v>24.575600000000001</v>
      </c>
      <c r="H160">
        <f>A!H735</f>
        <v>0</v>
      </c>
      <c r="I160" s="95">
        <f>A!B765</f>
        <v>16.573399999999999</v>
      </c>
      <c r="J160" s="95">
        <f>A!C765</f>
        <v>17.3</v>
      </c>
      <c r="K160" s="95">
        <f>A!D765</f>
        <v>17.3</v>
      </c>
      <c r="L160" s="95">
        <f>A!E765</f>
        <v>0</v>
      </c>
      <c r="M160" s="95">
        <f>A!F765</f>
        <v>17.032</v>
      </c>
      <c r="N160" s="95">
        <f>A!G765</f>
        <v>17.5412</v>
      </c>
      <c r="O160" s="95">
        <f>A!H765</f>
        <v>0</v>
      </c>
      <c r="P160" s="95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24.684089817099601</v>
      </c>
      <c r="F161">
        <f>A!F736</f>
        <v>25</v>
      </c>
      <c r="G161">
        <f>A!G736</f>
        <v>25.164300000000001</v>
      </c>
      <c r="H161">
        <f>A!H736</f>
        <v>0</v>
      </c>
      <c r="I161" s="95">
        <f>A!B766</f>
        <v>17.319199999999999</v>
      </c>
      <c r="J161" s="95">
        <f>A!C766</f>
        <v>18.39</v>
      </c>
      <c r="K161" s="95">
        <f>A!D766</f>
        <v>18.23</v>
      </c>
      <c r="L161" s="95">
        <f>A!E766</f>
        <v>0</v>
      </c>
      <c r="M161" s="95">
        <f>A!F766</f>
        <v>17.911000000000001</v>
      </c>
      <c r="N161" s="95">
        <f>A!G766</f>
        <v>17.992599999999999</v>
      </c>
      <c r="O161" s="95">
        <f>A!H766</f>
        <v>0</v>
      </c>
      <c r="P161" s="95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25.207966218252299</v>
      </c>
      <c r="F162">
        <f>A!F737</f>
        <v>25.33</v>
      </c>
      <c r="G162">
        <f>A!G737</f>
        <v>25.453299999999999</v>
      </c>
      <c r="H162">
        <f>A!H737</f>
        <v>0</v>
      </c>
      <c r="I162" s="95">
        <f>A!B767</f>
        <v>17.794499999999999</v>
      </c>
      <c r="J162" s="95">
        <f>A!C767</f>
        <v>17.78</v>
      </c>
      <c r="K162" s="95">
        <f>A!D767</f>
        <v>17.78</v>
      </c>
      <c r="L162" s="95">
        <f>A!E767</f>
        <v>0</v>
      </c>
      <c r="M162" s="95">
        <f>A!F767</f>
        <v>17.646000000000001</v>
      </c>
      <c r="N162" s="95">
        <f>A!G767</f>
        <v>17.959099999999999</v>
      </c>
      <c r="O162" s="95">
        <f>A!H767</f>
        <v>0</v>
      </c>
      <c r="P162" s="95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25.490608308835998</v>
      </c>
      <c r="F163">
        <f>A!F738</f>
        <v>25.59</v>
      </c>
      <c r="G163">
        <f>A!G738</f>
        <v>25.578499999999998</v>
      </c>
      <c r="H163">
        <f>A!H738</f>
        <v>0</v>
      </c>
      <c r="I163" s="95">
        <f>A!B768</f>
        <v>17.972999999999999</v>
      </c>
      <c r="J163" s="95">
        <f>A!C768</f>
        <v>18.36</v>
      </c>
      <c r="K163" s="95">
        <f>A!D768</f>
        <v>18.28</v>
      </c>
      <c r="L163" s="95">
        <f>A!E768</f>
        <v>0</v>
      </c>
      <c r="M163" s="95">
        <f>A!F768</f>
        <v>18.117999999999999</v>
      </c>
      <c r="N163" s="95">
        <f>A!G768</f>
        <v>18.325099999999999</v>
      </c>
      <c r="O163" s="95">
        <f>A!H768</f>
        <v>0</v>
      </c>
      <c r="P163" s="95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25.586519385919601</v>
      </c>
      <c r="F164">
        <f>A!F739</f>
        <v>25.59</v>
      </c>
      <c r="G164">
        <f>A!G739</f>
        <v>25.7393</v>
      </c>
      <c r="H164">
        <f>A!H739</f>
        <v>0</v>
      </c>
      <c r="I164" s="95">
        <f>A!B769</f>
        <v>18.397200000000002</v>
      </c>
      <c r="J164" s="95">
        <f>A!C769</f>
        <v>18.68</v>
      </c>
      <c r="K164" s="95">
        <f>A!D769</f>
        <v>18.600000000000001</v>
      </c>
      <c r="L164" s="95">
        <f>A!E769</f>
        <v>0</v>
      </c>
      <c r="M164" s="95">
        <f>A!F769</f>
        <v>18.442</v>
      </c>
      <c r="N164" s="95">
        <f>A!G769</f>
        <v>18.854299999999999</v>
      </c>
      <c r="O164" s="95">
        <f>A!H769</f>
        <v>0</v>
      </c>
      <c r="P164" s="95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25.795272957073099</v>
      </c>
      <c r="F165">
        <f>A!F740</f>
        <v>25.91</v>
      </c>
      <c r="G165">
        <f>A!G740</f>
        <v>25.863099999999999</v>
      </c>
      <c r="H165">
        <f>A!H740</f>
        <v>0</v>
      </c>
      <c r="I165" s="95">
        <f>A!B770</f>
        <v>18.8246</v>
      </c>
      <c r="J165" s="95">
        <f>A!C770</f>
        <v>19.48</v>
      </c>
      <c r="K165" s="95">
        <f>A!D770</f>
        <v>19.329999999999998</v>
      </c>
      <c r="L165" s="95">
        <f>A!E770</f>
        <v>0</v>
      </c>
      <c r="M165" s="95">
        <f>A!F770</f>
        <v>19.141999999999999</v>
      </c>
      <c r="N165" s="95">
        <f>A!G770</f>
        <v>19.1876</v>
      </c>
      <c r="O165" s="95">
        <f>A!H770</f>
        <v>0</v>
      </c>
      <c r="P165" s="95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25.8718039469396</v>
      </c>
      <c r="F166">
        <f>A!F741</f>
        <v>25.84</v>
      </c>
      <c r="G166">
        <f>A!G741</f>
        <v>25.8628</v>
      </c>
      <c r="H166">
        <f>A!H741</f>
        <v>0</v>
      </c>
      <c r="I166" s="95">
        <f>A!B771</f>
        <v>19.120200000000001</v>
      </c>
      <c r="J166" s="95">
        <f>A!C771</f>
        <v>19.23</v>
      </c>
      <c r="K166" s="95">
        <f>A!D771</f>
        <v>19.23</v>
      </c>
      <c r="L166" s="95">
        <f>A!E771</f>
        <v>0</v>
      </c>
      <c r="M166" s="95">
        <f>A!F771</f>
        <v>18.934999999999999</v>
      </c>
      <c r="N166" s="95">
        <f>A!G771</f>
        <v>18.867100000000001</v>
      </c>
      <c r="O166" s="95">
        <f>A!H771</f>
        <v>0</v>
      </c>
      <c r="P166" s="95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25.884948589870401</v>
      </c>
      <c r="F167">
        <f>A!F742</f>
        <v>25.91</v>
      </c>
      <c r="G167">
        <f>A!G742</f>
        <v>25.942399999999999</v>
      </c>
      <c r="H167">
        <f>A!H742</f>
        <v>0</v>
      </c>
      <c r="I167" s="95">
        <f>A!B772</f>
        <v>18.837700000000002</v>
      </c>
      <c r="J167" s="95">
        <f>A!C772</f>
        <v>18.559999999999999</v>
      </c>
      <c r="K167" s="95">
        <f>A!D772</f>
        <v>18.64</v>
      </c>
      <c r="L167" s="95">
        <f>A!E772</f>
        <v>0</v>
      </c>
      <c r="M167" s="95">
        <f>A!F772</f>
        <v>18.326000000000001</v>
      </c>
      <c r="N167" s="95">
        <f>A!G772</f>
        <v>18.518000000000001</v>
      </c>
      <c r="O167" s="95">
        <f>A!H772</f>
        <v>0</v>
      </c>
      <c r="P167" s="95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25.968879907426501</v>
      </c>
      <c r="F168">
        <f>A!F743</f>
        <v>26</v>
      </c>
      <c r="G168">
        <f>A!G743</f>
        <v>26.021999999999998</v>
      </c>
      <c r="H168">
        <f>A!H743</f>
        <v>0</v>
      </c>
      <c r="I168" s="95">
        <f>A!B773</f>
        <v>18.5548</v>
      </c>
      <c r="J168" s="95">
        <f>A!C773</f>
        <v>18.600000000000001</v>
      </c>
      <c r="K168" s="95">
        <f>A!D773</f>
        <v>18.600000000000001</v>
      </c>
      <c r="L168" s="95">
        <f>A!E773</f>
        <v>0</v>
      </c>
      <c r="M168" s="95">
        <f>A!F773</f>
        <v>18.268999999999998</v>
      </c>
      <c r="N168" s="95">
        <f>A!G773</f>
        <v>18.4421</v>
      </c>
      <c r="O168" s="95">
        <f>A!H773</f>
        <v>0</v>
      </c>
      <c r="P168" s="95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26.0512583266162</v>
      </c>
      <c r="F169">
        <f>A!F744</f>
        <v>26.08</v>
      </c>
      <c r="G169">
        <f>A!G744</f>
        <v>26.1296</v>
      </c>
      <c r="H169">
        <f>A!H744</f>
        <v>0</v>
      </c>
      <c r="I169" s="95">
        <f>A!B774</f>
        <v>18.5486</v>
      </c>
      <c r="J169" s="95">
        <f>A!C774</f>
        <v>18.46</v>
      </c>
      <c r="K169" s="95">
        <f>A!D774</f>
        <v>18.46</v>
      </c>
      <c r="L169" s="95">
        <f>A!E774</f>
        <v>0</v>
      </c>
      <c r="M169" s="95">
        <f>A!F774</f>
        <v>18.239000000000001</v>
      </c>
      <c r="N169" s="95">
        <f>A!G774</f>
        <v>18.647099999999998</v>
      </c>
      <c r="O169" s="95">
        <f>A!H774</f>
        <v>0</v>
      </c>
      <c r="P169" s="95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26.082730952653399</v>
      </c>
      <c r="F170">
        <f>A!F745</f>
        <v>26.08</v>
      </c>
      <c r="G170">
        <f>A!G745</f>
        <v>26.032299999999999</v>
      </c>
      <c r="H170">
        <f>A!H745</f>
        <v>0</v>
      </c>
      <c r="I170" s="95">
        <f>A!B775</f>
        <v>18.672999999999998</v>
      </c>
      <c r="J170" s="95">
        <f>A!C775</f>
        <v>18.84</v>
      </c>
      <c r="K170" s="95">
        <f>A!D775</f>
        <v>18.760000000000002</v>
      </c>
      <c r="L170" s="95">
        <f>A!E775</f>
        <v>0</v>
      </c>
      <c r="M170" s="95">
        <f>A!F775</f>
        <v>18.556999999999999</v>
      </c>
      <c r="N170" s="95">
        <f>A!G775</f>
        <v>18.796500000000002</v>
      </c>
      <c r="O170" s="95">
        <f>A!H775</f>
        <v>0</v>
      </c>
      <c r="P170" s="95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26.039580610021801</v>
      </c>
      <c r="F171">
        <f>A!F746</f>
        <v>26</v>
      </c>
      <c r="G171">
        <f>A!G746</f>
        <v>25.943000000000001</v>
      </c>
      <c r="H171">
        <f>A!H746</f>
        <v>0</v>
      </c>
      <c r="I171" s="95">
        <f>A!B776</f>
        <v>19.403199999999998</v>
      </c>
      <c r="J171" s="95">
        <f>A!C776</f>
        <v>19.350000000000001</v>
      </c>
      <c r="K171" s="95">
        <f>A!D776</f>
        <v>19.350000000000001</v>
      </c>
      <c r="L171" s="95">
        <f>A!E776</f>
        <v>0</v>
      </c>
      <c r="M171" s="95">
        <f>A!F776</f>
        <v>19.062999999999999</v>
      </c>
      <c r="N171" s="95">
        <f>A!G776</f>
        <v>19.110399999999998</v>
      </c>
      <c r="O171" s="95">
        <f>A!H776</f>
        <v>0</v>
      </c>
      <c r="P171" s="95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25.9556105203703</v>
      </c>
      <c r="F172">
        <f>A!F747</f>
        <v>25.91</v>
      </c>
      <c r="G172">
        <f>A!G747</f>
        <v>25.695499999999999</v>
      </c>
      <c r="H172">
        <f>A!H747</f>
        <v>0</v>
      </c>
      <c r="I172" s="95">
        <f>A!B777</f>
        <v>19.772400000000001</v>
      </c>
      <c r="J172" s="95">
        <f>A!C777</f>
        <v>19.75</v>
      </c>
      <c r="K172" s="95">
        <f>A!D777</f>
        <v>19.68</v>
      </c>
      <c r="L172" s="95">
        <f>A!E777</f>
        <v>0</v>
      </c>
      <c r="M172" s="95">
        <f>A!F777</f>
        <v>19.457999999999998</v>
      </c>
      <c r="N172" s="95">
        <f>A!G777</f>
        <v>19.393599999999999</v>
      </c>
      <c r="O172" s="95">
        <f>A!H777</f>
        <v>0</v>
      </c>
      <c r="P172" s="95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25.655753439605501</v>
      </c>
      <c r="F173">
        <f>A!F748</f>
        <v>25.5</v>
      </c>
      <c r="G173">
        <f>A!G748</f>
        <v>25.409300000000002</v>
      </c>
      <c r="H173">
        <f>A!H748</f>
        <v>0</v>
      </c>
      <c r="I173" s="95">
        <f>A!B778</f>
        <v>19.575299999999999</v>
      </c>
      <c r="J173" s="95">
        <f>A!C778</f>
        <v>19.32</v>
      </c>
      <c r="K173" s="95">
        <f>A!D778</f>
        <v>19.399999999999999</v>
      </c>
      <c r="L173" s="95">
        <f>A!E778</f>
        <v>0</v>
      </c>
      <c r="M173" s="95">
        <f>A!F778</f>
        <v>19.199000000000002</v>
      </c>
      <c r="N173" s="95">
        <f>A!G778</f>
        <v>19.532299999999999</v>
      </c>
      <c r="O173" s="95">
        <f>A!H778</f>
        <v>0</v>
      </c>
      <c r="P173" s="95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25.393392931581399</v>
      </c>
      <c r="F174">
        <f>A!F749</f>
        <v>25.33</v>
      </c>
      <c r="G174">
        <f>A!G749</f>
        <v>25.328099999999999</v>
      </c>
      <c r="H174">
        <f>A!H749</f>
        <v>0</v>
      </c>
      <c r="I174" s="95">
        <f>A!B779</f>
        <v>19.3718</v>
      </c>
      <c r="J174" s="95">
        <f>A!C779</f>
        <v>19.760000000000002</v>
      </c>
      <c r="K174" s="95">
        <f>A!D779</f>
        <v>19.760000000000002</v>
      </c>
      <c r="L174" s="95">
        <f>A!E779</f>
        <v>0</v>
      </c>
      <c r="M174" s="95">
        <f>A!F779</f>
        <v>19.649999999999999</v>
      </c>
      <c r="N174" s="95">
        <f>A!G779</f>
        <v>19.743099999999998</v>
      </c>
      <c r="O174" s="95">
        <f>A!H779</f>
        <v>0</v>
      </c>
      <c r="P174" s="95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25.3330402686227</v>
      </c>
      <c r="F175">
        <f>A!F750</f>
        <v>25.33</v>
      </c>
      <c r="G175">
        <f>A!G750</f>
        <v>25.291</v>
      </c>
      <c r="H175">
        <f>A!H750</f>
        <v>0</v>
      </c>
      <c r="I175" s="95">
        <f>A!B780</f>
        <v>19.437999999999999</v>
      </c>
      <c r="J175" s="95">
        <f>A!C780</f>
        <v>19.760000000000002</v>
      </c>
      <c r="K175" s="95">
        <f>A!D780</f>
        <v>19.760000000000002</v>
      </c>
      <c r="L175" s="95">
        <f>A!E780</f>
        <v>0</v>
      </c>
      <c r="M175" s="95">
        <f>A!F780</f>
        <v>19.706</v>
      </c>
      <c r="N175" s="95">
        <f>A!G780</f>
        <v>19.7437</v>
      </c>
      <c r="O175" s="95">
        <f>A!H780</f>
        <v>0</v>
      </c>
      <c r="P175" s="95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25.286450951241498</v>
      </c>
      <c r="F176">
        <f>A!F751</f>
        <v>25.25</v>
      </c>
      <c r="G176">
        <f>A!G751</f>
        <v>25.209199999999999</v>
      </c>
      <c r="H176">
        <f>A!H751</f>
        <v>0</v>
      </c>
      <c r="I176" s="95">
        <f>A!B781</f>
        <v>19.4846</v>
      </c>
      <c r="J176" s="95">
        <f>A!C781</f>
        <v>19.8</v>
      </c>
      <c r="K176" s="95">
        <f>A!D781</f>
        <v>19.8</v>
      </c>
      <c r="L176" s="95">
        <f>A!E781</f>
        <v>0</v>
      </c>
      <c r="M176" s="95">
        <f>A!F781</f>
        <v>19.696999999999999</v>
      </c>
      <c r="N176" s="95">
        <f>A!G781</f>
        <v>19.788699999999999</v>
      </c>
      <c r="O176" s="95">
        <f>A!H781</f>
        <v>0</v>
      </c>
      <c r="P176" s="95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25.201337204379801</v>
      </c>
      <c r="F177">
        <f>A!F752</f>
        <v>25.16</v>
      </c>
      <c r="G177">
        <f>A!G752</f>
        <v>25.1645</v>
      </c>
      <c r="H177">
        <f>A!H752</f>
        <v>0</v>
      </c>
      <c r="I177" s="95">
        <f>A!B782</f>
        <v>19.4693</v>
      </c>
      <c r="J177" s="95">
        <f>A!C782</f>
        <v>19.84</v>
      </c>
      <c r="K177" s="95">
        <f>A!D782</f>
        <v>19.84</v>
      </c>
      <c r="L177" s="95">
        <f>A!E782</f>
        <v>0</v>
      </c>
      <c r="M177" s="95">
        <f>A!F782</f>
        <v>19.693999999999999</v>
      </c>
      <c r="N177" s="95">
        <f>A!G782</f>
        <v>19.8355</v>
      </c>
      <c r="O177" s="95">
        <f>A!H782</f>
        <v>0</v>
      </c>
      <c r="P177" s="95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25.167379966261201</v>
      </c>
      <c r="F178">
        <f>A!F753</f>
        <v>25.16</v>
      </c>
      <c r="G178">
        <f>A!G753</f>
        <v>25.037400000000002</v>
      </c>
      <c r="H178">
        <f>A!H753</f>
        <v>0</v>
      </c>
      <c r="I178" s="95">
        <f>A!B783</f>
        <v>19.572500000000002</v>
      </c>
      <c r="J178" s="95">
        <f>A!C783</f>
        <v>20.14</v>
      </c>
      <c r="K178" s="95">
        <f>A!D783</f>
        <v>20.059999999999999</v>
      </c>
      <c r="L178" s="95">
        <f>A!E783</f>
        <v>0</v>
      </c>
      <c r="M178" s="95">
        <f>A!F783</f>
        <v>19.805</v>
      </c>
      <c r="N178" s="95">
        <f>A!G783</f>
        <v>19.767800000000001</v>
      </c>
      <c r="O178" s="95">
        <f>A!H783</f>
        <v>0</v>
      </c>
      <c r="P178" s="95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>
        <f>A!O754</f>
        <v>0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>
        <f>A!O755</f>
        <v>0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>
        <f>A!O756</f>
        <v>0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569</v>
      </c>
      <c r="C184" t="s">
        <v>570</v>
      </c>
      <c r="D184" t="s">
        <v>573</v>
      </c>
      <c r="E184" t="s">
        <v>617</v>
      </c>
      <c r="F184" t="s">
        <v>571</v>
      </c>
      <c r="G184" t="s">
        <v>572</v>
      </c>
      <c r="H184" t="s">
        <v>522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1.1201933285177801E-2</v>
      </c>
      <c r="F185">
        <f>A!F790</f>
        <v>1.11E-2</v>
      </c>
      <c r="G185">
        <f>A!G790</f>
        <v>1.1071715500000001E-2</v>
      </c>
      <c r="H185">
        <f>A!H790</f>
        <v>0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1.12962217520776E-2</v>
      </c>
      <c r="F186">
        <f>A!F791</f>
        <v>1.1462E-2</v>
      </c>
      <c r="G186">
        <f>A!G791</f>
        <v>1.1431797E-2</v>
      </c>
      <c r="H186">
        <f>A!H791</f>
        <v>0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1.11991806940512E-2</v>
      </c>
      <c r="F187">
        <f>A!F792</f>
        <v>1.11E-2</v>
      </c>
      <c r="G187">
        <f>A!G792</f>
        <v>1.1071715500000001E-2</v>
      </c>
      <c r="H187">
        <f>A!H792</f>
        <v>0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1.1060818557718E-2</v>
      </c>
      <c r="F188">
        <f>A!F793</f>
        <v>1.11E-2</v>
      </c>
      <c r="G188">
        <f>A!G793</f>
        <v>1.1071715500000001E-2</v>
      </c>
      <c r="H188">
        <f>A!H793</f>
        <v>0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1.04842823483673E-2</v>
      </c>
      <c r="F189">
        <f>A!F794</f>
        <v>1.018E-2</v>
      </c>
      <c r="G189">
        <f>A!G794</f>
        <v>1.0155272999999999E-2</v>
      </c>
      <c r="H189">
        <f>A!H794</f>
        <v>0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1.06478586232074E-2</v>
      </c>
      <c r="F190">
        <f>A!F795</f>
        <v>1.1001E-2</v>
      </c>
      <c r="G190">
        <f>A!G795</f>
        <v>1.0970428000000001E-2</v>
      </c>
      <c r="H190">
        <f>A!H795</f>
        <v>0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1.2287852269615001E-2</v>
      </c>
      <c r="F191">
        <f>A!F796</f>
        <v>1.3140000000000001E-2</v>
      </c>
      <c r="G191">
        <f>A!G796</f>
        <v>1.3098754000000001E-2</v>
      </c>
      <c r="H191">
        <f>A!H796</f>
        <v>0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1.18487772332079E-2</v>
      </c>
      <c r="F192">
        <f>A!F797</f>
        <v>1.1075E-2</v>
      </c>
      <c r="G192">
        <f>A!G797</f>
        <v>1.1039306E-2</v>
      </c>
      <c r="H192">
        <f>A!H797</f>
        <v>0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1.1579938656585499E-2</v>
      </c>
      <c r="F193">
        <f>A!F798</f>
        <v>1.1995E-2</v>
      </c>
      <c r="G193">
        <f>A!G798</f>
        <v>1.1956723000000001E-2</v>
      </c>
      <c r="H193">
        <f>A!H798</f>
        <v>0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1.2406033064600201E-2</v>
      </c>
      <c r="F194">
        <f>A!F799</f>
        <v>1.2760000000000001E-2</v>
      </c>
      <c r="G194">
        <f>A!G799</f>
        <v>1.2719301000000001E-2</v>
      </c>
      <c r="H194">
        <f>A!H799</f>
        <v>0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1.39488986120056E-2</v>
      </c>
      <c r="F195">
        <f>A!F800</f>
        <v>1.4808999999999999E-2</v>
      </c>
      <c r="G195">
        <f>A!G800</f>
        <v>1.4761318000000001E-2</v>
      </c>
      <c r="H195">
        <f>A!H800</f>
        <v>0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1.3760970538394901E-2</v>
      </c>
      <c r="F196">
        <f>A!F801</f>
        <v>1.3252999999999999E-2</v>
      </c>
      <c r="G196">
        <f>A!G801</f>
        <v>1.3210559E-2</v>
      </c>
      <c r="H196">
        <f>A!H801</f>
        <v>0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1.19992129124616E-2</v>
      </c>
      <c r="F197">
        <f>A!F802</f>
        <v>1.1329000000000001E-2</v>
      </c>
      <c r="G197">
        <f>A!G802</f>
        <v>1.1293012E-2</v>
      </c>
      <c r="H197">
        <f>A!H802</f>
        <v>0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1.1528114554116901E-2</v>
      </c>
      <c r="F198">
        <f>A!F803</f>
        <v>1.1729E-2</v>
      </c>
      <c r="G198">
        <f>A!G803</f>
        <v>1.1691814E-2</v>
      </c>
      <c r="H198">
        <f>A!H803</f>
        <v>0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1.2085903992729701E-2</v>
      </c>
      <c r="F199">
        <f>A!F804</f>
        <v>1.2378999999999999E-2</v>
      </c>
      <c r="G199">
        <f>A!G804</f>
        <v>1.2340472999999999E-2</v>
      </c>
      <c r="H199">
        <f>A!H804</f>
        <v>0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1.34924504298861E-2</v>
      </c>
      <c r="F200">
        <f>A!F805</f>
        <v>1.4232E-2</v>
      </c>
      <c r="G200">
        <f>A!G805</f>
        <v>1.4187589E-2</v>
      </c>
      <c r="H200">
        <f>A!H805</f>
        <v>0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1.45043822298757E-2</v>
      </c>
      <c r="F201">
        <f>A!F806</f>
        <v>1.473E-2</v>
      </c>
      <c r="G201">
        <f>A!G806</f>
        <v>1.4683774E-2</v>
      </c>
      <c r="H201">
        <f>A!H806</f>
        <v>0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1.52878756161443E-2</v>
      </c>
      <c r="F202">
        <f>A!F807</f>
        <v>1.5684E-2</v>
      </c>
      <c r="G202">
        <f>A!G807</f>
        <v>1.563434E-2</v>
      </c>
      <c r="H202">
        <f>A!H807</f>
        <v>0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1.49299954948694E-2</v>
      </c>
      <c r="F203">
        <f>A!F808</f>
        <v>1.4539E-2</v>
      </c>
      <c r="G203">
        <f>A!G808</f>
        <v>1.4492502000000001E-2</v>
      </c>
      <c r="H203">
        <f>A!H808</f>
        <v>0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1.59700581987407E-2</v>
      </c>
      <c r="F204">
        <f>A!F809</f>
        <v>1.6878000000000001E-2</v>
      </c>
      <c r="G204">
        <f>A!G809</f>
        <v>1.6823952999999999E-2</v>
      </c>
      <c r="H204">
        <f>A!H809</f>
        <v>0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1.68097357982845E-2</v>
      </c>
      <c r="F205">
        <f>A!F810</f>
        <v>1.6878000000000001E-2</v>
      </c>
      <c r="G205">
        <f>A!G810</f>
        <v>1.6823952999999999E-2</v>
      </c>
      <c r="H205">
        <f>A!H810</f>
        <v>0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1.6771127794541499E-2</v>
      </c>
      <c r="F206">
        <f>A!F811</f>
        <v>1.6832E-2</v>
      </c>
      <c r="G206">
        <f>A!G811</f>
        <v>1.6777486000000001E-2</v>
      </c>
      <c r="H206">
        <f>A!H811</f>
        <v>0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1.6784233128060998E-2</v>
      </c>
      <c r="F207">
        <f>A!F812</f>
        <v>1.6889000000000001E-2</v>
      </c>
      <c r="G207">
        <f>A!G812</f>
        <v>1.6835019999999999E-2</v>
      </c>
      <c r="H207">
        <f>A!H812</f>
        <v>0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1.7076690060884501E-2</v>
      </c>
      <c r="F208">
        <f>A!F813</f>
        <v>1.7329000000000001E-2</v>
      </c>
      <c r="G208">
        <f>A!G813</f>
        <v>1.727306E-2</v>
      </c>
      <c r="H208">
        <f>A!H813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9"/>
  <sheetViews>
    <sheetView zoomScale="70" workbookViewId="0">
      <selection activeCell="F11" sqref="F11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9">
      <c r="B1" t="str">
        <f>T!B1</f>
        <v>e300results.XLS, Jul, 2004</v>
      </c>
      <c r="C1">
        <f>T!C1</f>
        <v>0</v>
      </c>
      <c r="D1">
        <f>T!D1</f>
        <v>0</v>
      </c>
      <c r="E1">
        <f>T!E1</f>
        <v>0</v>
      </c>
      <c r="F1">
        <f>T!F1</f>
        <v>0</v>
      </c>
      <c r="G1">
        <f>T!G1</f>
        <v>0</v>
      </c>
      <c r="H1" t="str">
        <f>T!H1</f>
        <v>SEE SHEET 'A'  FOR INSTRUCTIONS</v>
      </c>
      <c r="I1">
        <f>T!N1</f>
        <v>0</v>
      </c>
    </row>
    <row r="2" spans="2:9">
      <c r="B2">
        <f>T!B2</f>
        <v>0</v>
      </c>
      <c r="C2">
        <f>T!C2</f>
        <v>0</v>
      </c>
      <c r="D2">
        <f>T!D2</f>
        <v>0</v>
      </c>
      <c r="E2">
        <f>T!E2</f>
        <v>0</v>
      </c>
      <c r="F2">
        <f>T!F2</f>
        <v>0</v>
      </c>
      <c r="G2">
        <f>T!G2</f>
        <v>0</v>
      </c>
      <c r="H2">
        <f>T!H2</f>
        <v>0</v>
      </c>
      <c r="I2">
        <f>T!N2</f>
        <v>0</v>
      </c>
    </row>
    <row r="3" spans="2:9">
      <c r="B3">
        <f>T!B3</f>
        <v>0</v>
      </c>
      <c r="C3">
        <f>T!C3</f>
        <v>0</v>
      </c>
      <c r="D3">
        <f>T!D3</f>
        <v>0</v>
      </c>
      <c r="E3">
        <f>T!E3</f>
        <v>0</v>
      </c>
      <c r="F3">
        <f>T!F3</f>
        <v>0</v>
      </c>
      <c r="G3">
        <f>T!G3</f>
        <v>0</v>
      </c>
      <c r="H3">
        <f>T!H3</f>
        <v>0</v>
      </c>
      <c r="I3">
        <f>T!N3</f>
        <v>0</v>
      </c>
    </row>
    <row r="4" spans="2:9">
      <c r="B4">
        <f>T!B4</f>
        <v>0</v>
      </c>
      <c r="C4">
        <f>T!C4</f>
        <v>0</v>
      </c>
      <c r="D4">
        <f>T!D4</f>
        <v>0</v>
      </c>
      <c r="E4">
        <f>T!E4</f>
        <v>0</v>
      </c>
      <c r="F4">
        <f>T!F4</f>
        <v>0</v>
      </c>
      <c r="G4">
        <f>T!G4</f>
        <v>0</v>
      </c>
      <c r="H4">
        <f>T!H4</f>
        <v>0</v>
      </c>
      <c r="I4">
        <f>T!N4</f>
        <v>0</v>
      </c>
    </row>
    <row r="5" spans="2:9">
      <c r="B5">
        <f>T!B5</f>
        <v>0</v>
      </c>
      <c r="C5">
        <f>T!C5</f>
        <v>0</v>
      </c>
      <c r="D5">
        <f>T!D5</f>
        <v>0</v>
      </c>
      <c r="E5">
        <f>T!E5</f>
        <v>0</v>
      </c>
      <c r="F5">
        <f>T!F5</f>
        <v>0</v>
      </c>
      <c r="G5">
        <f>T!G5</f>
        <v>0</v>
      </c>
      <c r="H5">
        <f>T!H5</f>
        <v>0</v>
      </c>
      <c r="I5">
        <f>T!N5</f>
        <v>0</v>
      </c>
    </row>
    <row r="6" spans="2:9">
      <c r="B6" t="str">
        <f>T!B6</f>
        <v>Delta Annual Space Cooling Electricity Consumptions</v>
      </c>
      <c r="C6">
        <f>T!C6</f>
        <v>0</v>
      </c>
      <c r="D6">
        <f>T!D6</f>
        <v>0</v>
      </c>
      <c r="E6">
        <f>T!E6</f>
        <v>0</v>
      </c>
      <c r="F6">
        <f>T!F6</f>
        <v>0</v>
      </c>
      <c r="G6">
        <f>T!G6</f>
        <v>0</v>
      </c>
      <c r="H6">
        <f>T!H6</f>
        <v>0</v>
      </c>
      <c r="I6">
        <f>T!N6</f>
        <v>0</v>
      </c>
    </row>
    <row r="7" spans="2:9">
      <c r="B7" t="str">
        <f>T!B7</f>
        <v>Total (kWh,e)</v>
      </c>
      <c r="C7">
        <f>T!C7</f>
        <v>0</v>
      </c>
      <c r="D7">
        <f>T!D7</f>
        <v>0</v>
      </c>
      <c r="E7">
        <f>T!E7</f>
        <v>0</v>
      </c>
      <c r="F7">
        <f>T!F7</f>
        <v>0</v>
      </c>
      <c r="G7">
        <f>T!G7</f>
        <v>0</v>
      </c>
      <c r="H7">
        <f>T!H7</f>
        <v>0</v>
      </c>
      <c r="I7">
        <f>T!N7</f>
        <v>0</v>
      </c>
    </row>
    <row r="8" spans="2:9">
      <c r="B8">
        <f>T!B8</f>
        <v>0</v>
      </c>
      <c r="C8" t="str">
        <f>T!C8</f>
        <v>TRNSYS</v>
      </c>
      <c r="D8" t="str">
        <f>T!D8</f>
        <v>DOE-2.2</v>
      </c>
      <c r="E8" t="str">
        <f>T!E8</f>
        <v>DOE21E-E</v>
      </c>
      <c r="F8" t="str">
        <f>T!F8</f>
        <v>Energy+</v>
      </c>
      <c r="G8" t="s">
        <v>469</v>
      </c>
      <c r="H8" t="str">
        <f>T!H8</f>
        <v>HOT3000</v>
      </c>
      <c r="I8">
        <f>T!N8</f>
        <v>0</v>
      </c>
    </row>
    <row r="9" spans="2:9">
      <c r="B9">
        <f>T!B9</f>
        <v>0</v>
      </c>
      <c r="C9" t="s">
        <v>569</v>
      </c>
      <c r="D9" t="s">
        <v>570</v>
      </c>
      <c r="E9" t="s">
        <v>573</v>
      </c>
      <c r="F9" t="s">
        <v>617</v>
      </c>
      <c r="G9" t="s">
        <v>571</v>
      </c>
      <c r="H9" t="s">
        <v>572</v>
      </c>
      <c r="I9" t="s">
        <v>522</v>
      </c>
    </row>
    <row r="10" spans="2:9">
      <c r="B10" t="s">
        <v>343</v>
      </c>
      <c r="C10">
        <f>T!C10</f>
        <v>4339.6025933843266</v>
      </c>
      <c r="D10">
        <f>T!D10</f>
        <v>4629</v>
      </c>
      <c r="E10">
        <f>T!E10</f>
        <v>4629</v>
      </c>
      <c r="F10">
        <f>T!F10</f>
        <v>4410.4347892507867</v>
      </c>
      <c r="G10">
        <f>T!G10</f>
        <v>4543.1580000000176</v>
      </c>
      <c r="H10">
        <f>T!H10</f>
        <v>4538</v>
      </c>
      <c r="I10">
        <f>T!N10</f>
        <v>0</v>
      </c>
    </row>
    <row r="11" spans="2:9">
      <c r="B11" t="s">
        <v>344</v>
      </c>
      <c r="C11">
        <f>T!C11</f>
        <v>4425.8797798225787</v>
      </c>
      <c r="D11">
        <f>T!D11</f>
        <v>3995</v>
      </c>
      <c r="E11">
        <f>T!E11</f>
        <v>4037</v>
      </c>
      <c r="F11">
        <f>T!F11</f>
        <v>4351.3049939570119</v>
      </c>
      <c r="G11">
        <f>T!G11</f>
        <v>4424.4040000001332</v>
      </c>
      <c r="H11">
        <f>T!H11</f>
        <v>4387</v>
      </c>
      <c r="I11">
        <f>T!N11</f>
        <v>0</v>
      </c>
    </row>
    <row r="12" spans="2:9">
      <c r="B12" t="s">
        <v>334</v>
      </c>
      <c r="C12">
        <f>T!C12</f>
        <v>5329.523125239517</v>
      </c>
      <c r="D12">
        <f>T!D12</f>
        <v>4958</v>
      </c>
      <c r="E12">
        <f>T!E12</f>
        <v>4683</v>
      </c>
      <c r="F12">
        <f>T!F12</f>
        <v>5445.0650036706138</v>
      </c>
      <c r="G12">
        <f>T!G12</f>
        <v>5558.7259999999733</v>
      </c>
      <c r="H12">
        <f>T!H12</f>
        <v>5260</v>
      </c>
      <c r="I12">
        <f>T!N12</f>
        <v>0</v>
      </c>
    </row>
    <row r="13" spans="2:9">
      <c r="B13" t="s">
        <v>453</v>
      </c>
      <c r="C13">
        <f>T!C13</f>
        <v>903.64334541693825</v>
      </c>
      <c r="D13">
        <f>T!D13</f>
        <v>963</v>
      </c>
      <c r="E13">
        <f>T!E13</f>
        <v>646</v>
      </c>
      <c r="F13">
        <f>T!F13</f>
        <v>1093.7600097136019</v>
      </c>
      <c r="G13">
        <f>T!G13</f>
        <v>1134.32199999984</v>
      </c>
      <c r="H13">
        <f>T!H13</f>
        <v>873</v>
      </c>
      <c r="I13">
        <f>T!N13</f>
        <v>0</v>
      </c>
    </row>
    <row r="14" spans="2:9">
      <c r="B14" t="s">
        <v>454</v>
      </c>
      <c r="C14">
        <f>T!C14</f>
        <v>4985.5178694042697</v>
      </c>
      <c r="D14">
        <f>T!D14</f>
        <v>4608</v>
      </c>
      <c r="E14">
        <f>T!E14</f>
        <v>4510</v>
      </c>
      <c r="F14">
        <f>T!F14</f>
        <v>5047.6907739287199</v>
      </c>
      <c r="G14">
        <f>T!G14</f>
        <v>5088.849999999984</v>
      </c>
      <c r="H14">
        <f>T!H14</f>
        <v>4877</v>
      </c>
      <c r="I14">
        <f>T!N14</f>
        <v>0</v>
      </c>
    </row>
    <row r="15" spans="2:9">
      <c r="B15" t="s">
        <v>455</v>
      </c>
      <c r="C15">
        <f>T!C15</f>
        <v>344.00525583524723</v>
      </c>
      <c r="D15">
        <f>T!D15</f>
        <v>350</v>
      </c>
      <c r="E15">
        <f>T!E15</f>
        <v>173</v>
      </c>
      <c r="F15">
        <f>T!F15</f>
        <v>397.37422974189394</v>
      </c>
      <c r="G15">
        <f>T!G15</f>
        <v>469.87599999998929</v>
      </c>
      <c r="H15">
        <f>T!H15</f>
        <v>383</v>
      </c>
      <c r="I15">
        <f>T!N15</f>
        <v>0</v>
      </c>
    </row>
    <row r="16" spans="2:9">
      <c r="B16" t="s">
        <v>335</v>
      </c>
      <c r="C16">
        <f>T!C16</f>
        <v>-3396.7977842883265</v>
      </c>
      <c r="D16">
        <f>T!D16</f>
        <v>-4203</v>
      </c>
      <c r="E16">
        <f>T!E16</f>
        <v>-4207</v>
      </c>
      <c r="F16">
        <f>T!F16</f>
        <v>-3647.523289352619</v>
      </c>
      <c r="G16">
        <f>T!G16</f>
        <v>-3389.8190000000359</v>
      </c>
      <c r="H16">
        <f>T!H16</f>
        <v>-3328</v>
      </c>
      <c r="I16">
        <f>T!N16</f>
        <v>0</v>
      </c>
    </row>
    <row r="17" spans="2:9">
      <c r="B17" t="s">
        <v>348</v>
      </c>
      <c r="C17">
        <f>T!C17/4</f>
        <v>4916.2536170486655</v>
      </c>
      <c r="D17">
        <f>T!D17/4</f>
        <v>4828.5</v>
      </c>
      <c r="E17">
        <f>T!E17/4</f>
        <v>4815.25</v>
      </c>
      <c r="F17">
        <f>T!F17/4</f>
        <v>4980.1300936275638</v>
      </c>
      <c r="G17">
        <f>T!G17/4</f>
        <v>4966.7117500000004</v>
      </c>
      <c r="H17">
        <f>T!H17/4</f>
        <v>4999.5</v>
      </c>
      <c r="I17">
        <f>T!N17/4</f>
        <v>0</v>
      </c>
    </row>
    <row r="18" spans="2:9">
      <c r="B18" t="s">
        <v>336</v>
      </c>
      <c r="C18">
        <f>T!C18</f>
        <v>-3588.6236845638268</v>
      </c>
      <c r="D18">
        <f>T!D18</f>
        <v>-3904</v>
      </c>
      <c r="E18">
        <f>T!E18</f>
        <v>-3879</v>
      </c>
      <c r="F18">
        <f>T!F18</f>
        <v>-3758.0865354380221</v>
      </c>
      <c r="G18">
        <f>T!G18</f>
        <v>0</v>
      </c>
      <c r="H18">
        <f>T!H18</f>
        <v>-3657</v>
      </c>
      <c r="I18">
        <f>T!N18</f>
        <v>0</v>
      </c>
    </row>
    <row r="19" spans="2:9">
      <c r="B19" t="s">
        <v>337</v>
      </c>
      <c r="C19">
        <f>T!C19</f>
        <v>-3555.3453891083191</v>
      </c>
      <c r="D19">
        <f>T!D19</f>
        <v>-3082</v>
      </c>
      <c r="E19">
        <f>T!E19</f>
        <v>-3056</v>
      </c>
      <c r="F19">
        <f>T!F19</f>
        <v>-3013.2237218088339</v>
      </c>
      <c r="G19">
        <f>T!G19</f>
        <v>0</v>
      </c>
      <c r="H19">
        <f>T!H19</f>
        <v>-3567</v>
      </c>
      <c r="I19">
        <f>T!N19</f>
        <v>0</v>
      </c>
    </row>
    <row r="20" spans="2:9">
      <c r="B20" t="s">
        <v>338</v>
      </c>
      <c r="C20">
        <f>T!C20</f>
        <v>-2246.7696453105018</v>
      </c>
      <c r="D20">
        <f>T!D20</f>
        <v>-2220</v>
      </c>
      <c r="E20">
        <f>T!E20</f>
        <v>-1845</v>
      </c>
      <c r="F20">
        <f>T!F20</f>
        <v>-2045.184562000497</v>
      </c>
      <c r="G20">
        <f>T!G20</f>
        <v>0</v>
      </c>
      <c r="H20">
        <f>T!H20</f>
        <v>-1862</v>
      </c>
      <c r="I20">
        <f>T!N20</f>
        <v>0</v>
      </c>
    </row>
    <row r="21" spans="2:9">
      <c r="B21" t="s">
        <v>339</v>
      </c>
      <c r="C21">
        <f>T!C21</f>
        <v>-3095.7459340030109</v>
      </c>
      <c r="D21">
        <f>T!D21</f>
        <v>-2818</v>
      </c>
      <c r="E21">
        <f>T!E21</f>
        <v>-2944</v>
      </c>
      <c r="F21">
        <f>T!F21</f>
        <v>-2938.211791517555</v>
      </c>
      <c r="G21">
        <f>T!G21</f>
        <v>0</v>
      </c>
      <c r="H21">
        <f>T!H21</f>
        <v>-3252</v>
      </c>
      <c r="I21">
        <f>T!N21</f>
        <v>0</v>
      </c>
    </row>
    <row r="22" spans="2:9">
      <c r="B22" t="s">
        <v>340</v>
      </c>
      <c r="C22">
        <f>T!C22</f>
        <v>-1942.4562354895461</v>
      </c>
      <c r="D22">
        <f>T!D22</f>
        <v>-1718</v>
      </c>
      <c r="E22">
        <f>T!E22</f>
        <v>-1782</v>
      </c>
      <c r="F22">
        <f>T!F22</f>
        <v>-1738.9033123672489</v>
      </c>
      <c r="G22">
        <f>T!G22</f>
        <v>0</v>
      </c>
      <c r="H22">
        <f>T!H22</f>
        <v>-1822</v>
      </c>
      <c r="I22">
        <f>T!N22</f>
        <v>0</v>
      </c>
    </row>
    <row r="23" spans="2:9">
      <c r="B23" t="s">
        <v>355</v>
      </c>
      <c r="C23">
        <f>T!C23/2</f>
        <v>-6647.9451182090179</v>
      </c>
      <c r="D23">
        <f>T!D23/2</f>
        <v>-5966.5</v>
      </c>
      <c r="E23">
        <f>T!E23/2</f>
        <v>-5966.5</v>
      </c>
      <c r="F23">
        <f>T!F23/2</f>
        <v>-5973.955077424569</v>
      </c>
      <c r="G23">
        <f>T!G23/2</f>
        <v>-6326.7290000006142</v>
      </c>
      <c r="H23">
        <f>T!H23/2</f>
        <v>-5966</v>
      </c>
      <c r="I23">
        <f>T!N23/2</f>
        <v>0</v>
      </c>
    </row>
    <row r="24" spans="2:9">
      <c r="B24" t="s">
        <v>349</v>
      </c>
      <c r="C24">
        <f>T!C24/4</f>
        <v>4304.4810716199772</v>
      </c>
      <c r="D24">
        <f>T!D24/4</f>
        <v>4524.75</v>
      </c>
      <c r="E24">
        <f>T!E24/4</f>
        <v>4525</v>
      </c>
      <c r="F24">
        <f>T!F24/4</f>
        <v>4440.0763890266944</v>
      </c>
      <c r="G24">
        <f>T!G24/4</f>
        <v>4353.5249999999951</v>
      </c>
      <c r="H24">
        <f>T!H24/4</f>
        <v>4448.5</v>
      </c>
      <c r="I24">
        <f>T!N24/4</f>
        <v>0</v>
      </c>
    </row>
    <row r="25" spans="2:9">
      <c r="B25" t="s">
        <v>345</v>
      </c>
      <c r="C25">
        <f>T!C25</f>
        <v>-4665.7080262850286</v>
      </c>
      <c r="D25">
        <f>T!D25</f>
        <v>-4981</v>
      </c>
      <c r="E25">
        <f>T!E25</f>
        <v>-4969</v>
      </c>
      <c r="F25">
        <f>T!F25</f>
        <v>-5031.5464902234526</v>
      </c>
      <c r="G25">
        <f>T!G25</f>
        <v>-4889.3570000002655</v>
      </c>
      <c r="H25">
        <f>T!H25</f>
        <v>-4458</v>
      </c>
      <c r="I25">
        <f>T!N25</f>
        <v>0</v>
      </c>
    </row>
    <row r="26" spans="2:9">
      <c r="B26" t="s">
        <v>346</v>
      </c>
      <c r="C26">
        <f>T!C26</f>
        <v>-5056.6159707130428</v>
      </c>
      <c r="D26">
        <f>T!D26</f>
        <v>-5277</v>
      </c>
      <c r="E26">
        <f>T!E26</f>
        <v>-5285</v>
      </c>
      <c r="F26">
        <f>T!F26</f>
        <v>-5081.8579241346742</v>
      </c>
      <c r="G26">
        <f>T!G26</f>
        <v>-4880.4849999999533</v>
      </c>
      <c r="H26">
        <f>T!H26</f>
        <v>-5263</v>
      </c>
      <c r="I26">
        <f>T!N26</f>
        <v>0</v>
      </c>
    </row>
    <row r="27" spans="2:9">
      <c r="B27" t="s">
        <v>347</v>
      </c>
      <c r="C27">
        <f>T!C27</f>
        <v>-3743.2989019118359</v>
      </c>
      <c r="D27">
        <f>T!D27</f>
        <v>-4076</v>
      </c>
      <c r="E27">
        <f>T!E27</f>
        <v>-4083</v>
      </c>
      <c r="F27">
        <f>T!F27</f>
        <v>-3514.1330368312483</v>
      </c>
      <c r="G27">
        <f>T!G27</f>
        <v>-3745.4910000001237</v>
      </c>
      <c r="H27">
        <f>T!H27</f>
        <v>-3825</v>
      </c>
      <c r="I27">
        <f>T!N27</f>
        <v>0</v>
      </c>
    </row>
    <row r="28" spans="2:9">
      <c r="B28" t="str">
        <f>T!B28</f>
        <v>Compressor (kWh,e)</v>
      </c>
      <c r="C28">
        <f>T!C28</f>
        <v>0</v>
      </c>
      <c r="D28">
        <f>T!D28</f>
        <v>0</v>
      </c>
      <c r="E28">
        <f>T!E28</f>
        <v>0</v>
      </c>
      <c r="F28">
        <f>T!F28</f>
        <v>0</v>
      </c>
      <c r="G28">
        <f>T!G28</f>
        <v>0</v>
      </c>
      <c r="H28">
        <f>T!H28</f>
        <v>0</v>
      </c>
      <c r="I28">
        <f>T!N28</f>
        <v>0</v>
      </c>
    </row>
    <row r="29" spans="2:9">
      <c r="B29">
        <f>T!B29</f>
        <v>0</v>
      </c>
      <c r="C29" t="str">
        <f>T!C29</f>
        <v>TRNSYS</v>
      </c>
      <c r="D29" t="str">
        <f>T!D29</f>
        <v>DOE-2.2</v>
      </c>
      <c r="E29" t="str">
        <f>T!E29</f>
        <v>DOE21E-E</v>
      </c>
      <c r="F29" t="str">
        <f>T!F29</f>
        <v>Energy+</v>
      </c>
      <c r="G29" t="str">
        <f>T!G29</f>
        <v>CODYRUN</v>
      </c>
      <c r="H29" t="str">
        <f>T!H29</f>
        <v>HOT3000</v>
      </c>
      <c r="I29">
        <f>T!N29</f>
        <v>0</v>
      </c>
    </row>
    <row r="30" spans="2:9">
      <c r="B30">
        <f>T!B30</f>
        <v>0</v>
      </c>
      <c r="C30" t="s">
        <v>569</v>
      </c>
      <c r="D30" t="s">
        <v>570</v>
      </c>
      <c r="E30" t="s">
        <v>573</v>
      </c>
      <c r="F30" t="s">
        <v>617</v>
      </c>
      <c r="G30" t="s">
        <v>571</v>
      </c>
      <c r="H30" t="s">
        <v>572</v>
      </c>
      <c r="I30" t="s">
        <v>522</v>
      </c>
    </row>
    <row r="31" spans="2:9">
      <c r="B31" t="s">
        <v>343</v>
      </c>
      <c r="C31">
        <f>T!C31</f>
        <v>3986.0910607140395</v>
      </c>
      <c r="D31">
        <f>T!D31</f>
        <v>4244</v>
      </c>
      <c r="E31">
        <f>T!E31</f>
        <v>4244</v>
      </c>
      <c r="F31">
        <f>T!F31</f>
        <v>0</v>
      </c>
      <c r="G31">
        <f>T!G31</f>
        <v>4166.82</v>
      </c>
      <c r="H31">
        <f>T!H31</f>
        <v>4177</v>
      </c>
      <c r="I31">
        <f>T!N31</f>
        <v>0</v>
      </c>
    </row>
    <row r="32" spans="2:9">
      <c r="B32" t="s">
        <v>344</v>
      </c>
      <c r="C32">
        <f>T!C32</f>
        <v>4079.6030794278959</v>
      </c>
      <c r="D32">
        <f>T!D32</f>
        <v>3681</v>
      </c>
      <c r="E32">
        <f>T!E32</f>
        <v>3721</v>
      </c>
      <c r="F32">
        <f>T!F32</f>
        <v>0</v>
      </c>
      <c r="G32">
        <f>T!G32</f>
        <v>4076.0250000001142</v>
      </c>
      <c r="H32">
        <f>T!H32</f>
        <v>4036</v>
      </c>
      <c r="I32">
        <f>T!N32</f>
        <v>0</v>
      </c>
    </row>
    <row r="33" spans="2:9">
      <c r="B33" t="s">
        <v>334</v>
      </c>
      <c r="C33">
        <f>T!C33</f>
        <v>4946.1977651546658</v>
      </c>
      <c r="D33">
        <f>T!D33</f>
        <v>4603</v>
      </c>
      <c r="E33">
        <f>T!E33</f>
        <v>4352</v>
      </c>
      <c r="F33">
        <f>T!F33</f>
        <v>0</v>
      </c>
      <c r="G33">
        <f>T!G33</f>
        <v>5157.7319999999636</v>
      </c>
      <c r="H33">
        <f>T!H33</f>
        <v>4899</v>
      </c>
      <c r="I33">
        <f>T!N33</f>
        <v>0</v>
      </c>
    </row>
    <row r="34" spans="2:9">
      <c r="B34" t="s">
        <v>453</v>
      </c>
      <c r="C34">
        <f>T!C34</f>
        <v>866.59468572676997</v>
      </c>
      <c r="D34">
        <f>T!D34</f>
        <v>922</v>
      </c>
      <c r="E34">
        <f>T!E34</f>
        <v>631</v>
      </c>
      <c r="F34">
        <f>T!F34</f>
        <v>0</v>
      </c>
      <c r="G34">
        <f>T!G34</f>
        <v>1081.7069999998494</v>
      </c>
      <c r="H34">
        <f>T!H34</f>
        <v>863</v>
      </c>
      <c r="I34">
        <f>T!N34</f>
        <v>0</v>
      </c>
    </row>
    <row r="35" spans="2:9">
      <c r="B35" t="s">
        <v>454</v>
      </c>
      <c r="C35">
        <f>T!C35</f>
        <v>4609.4030281066807</v>
      </c>
      <c r="D35">
        <f>T!D35</f>
        <v>4260</v>
      </c>
      <c r="E35">
        <f>T!E35</f>
        <v>4172</v>
      </c>
      <c r="F35">
        <f>T!F35</f>
        <v>0</v>
      </c>
      <c r="G35">
        <f>T!G35</f>
        <v>4702.7889999999788</v>
      </c>
      <c r="H35">
        <f>T!H35</f>
        <v>4524</v>
      </c>
      <c r="I35">
        <f>T!N35</f>
        <v>0</v>
      </c>
    </row>
    <row r="36" spans="2:9">
      <c r="B36" t="s">
        <v>455</v>
      </c>
      <c r="C36">
        <f>T!C36</f>
        <v>336.79473704798511</v>
      </c>
      <c r="D36">
        <f>T!D36</f>
        <v>343</v>
      </c>
      <c r="E36">
        <f>T!E36</f>
        <v>180</v>
      </c>
      <c r="F36">
        <f>T!F36</f>
        <v>0</v>
      </c>
      <c r="G36">
        <f>T!G36</f>
        <v>454.94299999998475</v>
      </c>
      <c r="H36">
        <f>T!H36</f>
        <v>375</v>
      </c>
      <c r="I36">
        <f>T!N36</f>
        <v>0</v>
      </c>
    </row>
    <row r="37" spans="2:9">
      <c r="B37" t="s">
        <v>335</v>
      </c>
      <c r="C37">
        <f>T!C37</f>
        <v>-3036.6939446745309</v>
      </c>
      <c r="D37">
        <f>T!D37</f>
        <v>-3767</v>
      </c>
      <c r="E37">
        <f>T!E37</f>
        <v>-3772</v>
      </c>
      <c r="F37">
        <f>T!F37</f>
        <v>0</v>
      </c>
      <c r="G37">
        <f>T!G37</f>
        <v>-3031.9460000000472</v>
      </c>
      <c r="H37">
        <f>T!H37</f>
        <v>-2985</v>
      </c>
      <c r="I37">
        <f>T!N37</f>
        <v>0</v>
      </c>
    </row>
    <row r="38" spans="2:9">
      <c r="B38" t="s">
        <v>348</v>
      </c>
      <c r="C38">
        <f>T!C38/4</f>
        <v>4438.0763926746013</v>
      </c>
      <c r="D38">
        <f>T!D38/4</f>
        <v>4357.5</v>
      </c>
      <c r="E38">
        <f>T!E38/4</f>
        <v>4345.5</v>
      </c>
      <c r="F38">
        <f>T!F38/4</f>
        <v>0</v>
      </c>
      <c r="G38">
        <f>T!G38/4</f>
        <v>4481.7902500000619</v>
      </c>
      <c r="H38">
        <f>T!H38/4</f>
        <v>4516.25</v>
      </c>
      <c r="I38">
        <f>T!N38/4</f>
        <v>0</v>
      </c>
    </row>
    <row r="39" spans="2:9">
      <c r="B39" t="s">
        <v>336</v>
      </c>
      <c r="C39">
        <f>T!C39</f>
        <v>-3174.5855715648722</v>
      </c>
      <c r="D39">
        <f>T!D39</f>
        <v>-3463</v>
      </c>
      <c r="E39">
        <f>T!E39</f>
        <v>-3442</v>
      </c>
      <c r="F39">
        <f>T!F39</f>
        <v>0</v>
      </c>
      <c r="G39">
        <f>T!G39</f>
        <v>0</v>
      </c>
      <c r="H39">
        <f>T!H39</f>
        <v>-3247</v>
      </c>
      <c r="I39">
        <f>T!N39</f>
        <v>0</v>
      </c>
    </row>
    <row r="40" spans="2:9">
      <c r="B40" t="s">
        <v>337</v>
      </c>
      <c r="C40">
        <f>T!C40</f>
        <v>-3149.0399436906118</v>
      </c>
      <c r="D40">
        <f>T!D40</f>
        <v>-2746</v>
      </c>
      <c r="E40">
        <f>T!E40</f>
        <v>-2723</v>
      </c>
      <c r="F40">
        <f>T!F40</f>
        <v>0</v>
      </c>
      <c r="G40">
        <f>T!G40</f>
        <v>0</v>
      </c>
      <c r="H40">
        <f>T!H40</f>
        <v>-3191</v>
      </c>
      <c r="I40">
        <f>T!N40</f>
        <v>0</v>
      </c>
    </row>
    <row r="41" spans="2:9">
      <c r="B41" t="s">
        <v>338</v>
      </c>
      <c r="C41">
        <f>T!C41</f>
        <v>-1994.9489155549854</v>
      </c>
      <c r="D41">
        <f>T!D41</f>
        <v>-1973</v>
      </c>
      <c r="E41">
        <f>T!E41</f>
        <v>-1639</v>
      </c>
      <c r="F41">
        <f>T!F41</f>
        <v>0</v>
      </c>
      <c r="G41">
        <f>T!G41</f>
        <v>0</v>
      </c>
      <c r="H41">
        <f>T!H41</f>
        <v>-1662</v>
      </c>
      <c r="I41">
        <f>T!N41</f>
        <v>0</v>
      </c>
    </row>
    <row r="42" spans="2:9">
      <c r="B42" t="s">
        <v>339</v>
      </c>
      <c r="C42">
        <f>T!C42</f>
        <v>-2754.9132462438247</v>
      </c>
      <c r="D42">
        <f>T!D42</f>
        <v>-2510</v>
      </c>
      <c r="E42">
        <f>T!E42</f>
        <v>-2622</v>
      </c>
      <c r="F42">
        <f>T!F42</f>
        <v>0</v>
      </c>
      <c r="G42">
        <f>T!G42</f>
        <v>0</v>
      </c>
      <c r="H42">
        <f>T!H42</f>
        <v>-2910</v>
      </c>
      <c r="I42">
        <f>T!N42</f>
        <v>0</v>
      </c>
    </row>
    <row r="43" spans="2:9">
      <c r="B43" t="s">
        <v>340</v>
      </c>
      <c r="C43">
        <f>T!C43</f>
        <v>-1724.4010536126152</v>
      </c>
      <c r="D43">
        <f>T!D43</f>
        <v>-1527</v>
      </c>
      <c r="E43">
        <f>T!E43</f>
        <v>-1584</v>
      </c>
      <c r="F43">
        <f>T!F43</f>
        <v>0</v>
      </c>
      <c r="G43">
        <f>T!G43</f>
        <v>0</v>
      </c>
      <c r="H43">
        <f>T!H43</f>
        <v>-1627</v>
      </c>
      <c r="I43">
        <f>T!N43</f>
        <v>0</v>
      </c>
    </row>
    <row r="44" spans="2:9">
      <c r="B44" t="s">
        <v>355</v>
      </c>
      <c r="C44">
        <f>T!C44/2</f>
        <v>-2249.6193757101537</v>
      </c>
      <c r="D44">
        <f>T!D44/2</f>
        <v>-1548</v>
      </c>
      <c r="E44">
        <f>T!E44/2</f>
        <v>-1547.5</v>
      </c>
      <c r="F44">
        <f>T!F44/2</f>
        <v>0</v>
      </c>
      <c r="G44">
        <f>T!G44/2</f>
        <v>-1956.0744999999642</v>
      </c>
      <c r="H44">
        <f>T!H44/2</f>
        <v>-1677</v>
      </c>
      <c r="I44">
        <f>T!N44/2</f>
        <v>0</v>
      </c>
    </row>
    <row r="45" spans="2:9">
      <c r="B45" t="s">
        <v>349</v>
      </c>
      <c r="C45">
        <f>T!C45/4</f>
        <v>3451.4327790912675</v>
      </c>
      <c r="D45">
        <f>T!D45/4</f>
        <v>3575.75</v>
      </c>
      <c r="E45">
        <f>T!E45/4</f>
        <v>3576</v>
      </c>
      <c r="F45">
        <f>T!F45/4</f>
        <v>0</v>
      </c>
      <c r="G45">
        <f>T!G45/4</f>
        <v>3478.3612499999967</v>
      </c>
      <c r="H45">
        <f>T!H45/4</f>
        <v>3557.5</v>
      </c>
      <c r="I45">
        <f>T!N45/4</f>
        <v>0</v>
      </c>
    </row>
    <row r="46" spans="2:9">
      <c r="B46" t="s">
        <v>345</v>
      </c>
      <c r="C46">
        <f>T!C46</f>
        <v>-2963.4018331640655</v>
      </c>
      <c r="D46">
        <f>T!D46</f>
        <v>-3241</v>
      </c>
      <c r="E46">
        <f>T!E46</f>
        <v>-3233</v>
      </c>
      <c r="F46">
        <f>T!F46</f>
        <v>0</v>
      </c>
      <c r="G46">
        <f>T!G46</f>
        <v>-3148.170000000202</v>
      </c>
      <c r="H46">
        <f>T!H46</f>
        <v>-2742</v>
      </c>
      <c r="I46">
        <f>T!N46</f>
        <v>0</v>
      </c>
    </row>
    <row r="47" spans="2:9">
      <c r="B47" t="s">
        <v>346</v>
      </c>
      <c r="C47">
        <f>T!C47</f>
        <v>-4197.3004344084002</v>
      </c>
      <c r="D47">
        <f>T!D47</f>
        <v>-4346</v>
      </c>
      <c r="E47">
        <f>T!E47</f>
        <v>-4354</v>
      </c>
      <c r="F47">
        <f>T!F47</f>
        <v>0</v>
      </c>
      <c r="G47">
        <f>T!G47</f>
        <v>-4001.9239999999591</v>
      </c>
      <c r="H47">
        <f>T!H47</f>
        <v>-4350</v>
      </c>
      <c r="I47">
        <f>T!N47</f>
        <v>0</v>
      </c>
    </row>
    <row r="48" spans="2:9">
      <c r="B48" t="s">
        <v>347</v>
      </c>
      <c r="C48">
        <f>T!C48</f>
        <v>-2398.8747508219385</v>
      </c>
      <c r="D48">
        <f>T!D48</f>
        <v>-2713</v>
      </c>
      <c r="E48">
        <f>T!E48</f>
        <v>-2720</v>
      </c>
      <c r="F48">
        <f>T!F48</f>
        <v>0</v>
      </c>
      <c r="G48">
        <f>T!G48</f>
        <v>-2413.1970000000147</v>
      </c>
      <c r="H48">
        <f>T!H48</f>
        <v>-2449</v>
      </c>
      <c r="I48">
        <f>T!N48</f>
        <v>0</v>
      </c>
    </row>
    <row r="52" spans="2:9">
      <c r="B52" t="str">
        <f>T!B52</f>
        <v>Supply Fan (kWh,e)</v>
      </c>
      <c r="C52">
        <f>T!C52</f>
        <v>0</v>
      </c>
      <c r="D52">
        <f>T!D52</f>
        <v>0</v>
      </c>
      <c r="E52">
        <f>T!E52</f>
        <v>0</v>
      </c>
      <c r="F52">
        <f>T!F52</f>
        <v>0</v>
      </c>
      <c r="G52">
        <f>T!G52</f>
        <v>0</v>
      </c>
      <c r="H52">
        <f>T!H52</f>
        <v>0</v>
      </c>
      <c r="I52">
        <f>T!N52</f>
        <v>0</v>
      </c>
    </row>
    <row r="53" spans="2:9">
      <c r="B53">
        <f>T!B53</f>
        <v>0</v>
      </c>
      <c r="C53" t="str">
        <f>T!C53</f>
        <v>TRNSYS</v>
      </c>
      <c r="D53" t="str">
        <f>T!D53</f>
        <v>DOE-2.2</v>
      </c>
      <c r="E53" t="str">
        <f>T!E53</f>
        <v>DOE21E-E</v>
      </c>
      <c r="F53" t="str">
        <f>T!F53</f>
        <v>Energy+</v>
      </c>
      <c r="G53" t="str">
        <f>T!G53</f>
        <v>CODYRUN</v>
      </c>
      <c r="H53" t="str">
        <f>T!H53</f>
        <v>HOT3000</v>
      </c>
      <c r="I53">
        <f>T!N53</f>
        <v>0</v>
      </c>
    </row>
    <row r="54" spans="2:9">
      <c r="B54">
        <f>T!B54</f>
        <v>0</v>
      </c>
      <c r="C54" t="s">
        <v>569</v>
      </c>
      <c r="D54" t="s">
        <v>570</v>
      </c>
      <c r="E54" t="s">
        <v>573</v>
      </c>
      <c r="F54" t="s">
        <v>617</v>
      </c>
      <c r="G54" t="s">
        <v>571</v>
      </c>
      <c r="H54" t="s">
        <v>572</v>
      </c>
      <c r="I54" t="s">
        <v>522</v>
      </c>
    </row>
    <row r="55" spans="2:9">
      <c r="B55" t="s">
        <v>343</v>
      </c>
      <c r="C55">
        <f>T!C55</f>
        <v>0</v>
      </c>
      <c r="D55">
        <f>T!D55</f>
        <v>0</v>
      </c>
      <c r="E55">
        <f>T!E55</f>
        <v>0</v>
      </c>
      <c r="F55">
        <f>T!F55</f>
        <v>0</v>
      </c>
      <c r="G55">
        <f>T!G55</f>
        <v>0</v>
      </c>
      <c r="H55">
        <f>T!H55</f>
        <v>0</v>
      </c>
      <c r="I55">
        <f>T!N55</f>
        <v>0</v>
      </c>
    </row>
    <row r="56" spans="2:9">
      <c r="B56" t="s">
        <v>344</v>
      </c>
      <c r="C56">
        <f>T!C56</f>
        <v>0</v>
      </c>
      <c r="D56">
        <f>T!D56</f>
        <v>0</v>
      </c>
      <c r="E56">
        <f>T!E56</f>
        <v>0</v>
      </c>
      <c r="F56">
        <f>T!F56</f>
        <v>0</v>
      </c>
      <c r="G56">
        <f>T!G56</f>
        <v>0</v>
      </c>
      <c r="H56">
        <f>T!H56</f>
        <v>0</v>
      </c>
      <c r="I56">
        <f>T!N56</f>
        <v>0</v>
      </c>
    </row>
    <row r="57" spans="2:9">
      <c r="B57" t="s">
        <v>334</v>
      </c>
      <c r="C57">
        <f>T!C57</f>
        <v>0</v>
      </c>
      <c r="D57">
        <f>T!D57</f>
        <v>0</v>
      </c>
      <c r="E57">
        <f>T!E57</f>
        <v>0</v>
      </c>
      <c r="F57">
        <f>T!F57</f>
        <v>0</v>
      </c>
      <c r="G57">
        <f>T!G57</f>
        <v>0</v>
      </c>
      <c r="H57">
        <f>T!H57</f>
        <v>0</v>
      </c>
      <c r="I57">
        <f>T!N57</f>
        <v>0</v>
      </c>
    </row>
    <row r="58" spans="2:9">
      <c r="B58" t="s">
        <v>453</v>
      </c>
      <c r="C58">
        <f>T!C58</f>
        <v>0</v>
      </c>
      <c r="D58">
        <f>T!D58</f>
        <v>0</v>
      </c>
      <c r="E58">
        <f>T!E58</f>
        <v>0</v>
      </c>
      <c r="F58">
        <f>T!F58</f>
        <v>0</v>
      </c>
      <c r="G58">
        <f>T!G58</f>
        <v>0</v>
      </c>
      <c r="H58">
        <f>T!H58</f>
        <v>0</v>
      </c>
      <c r="I58">
        <f>T!N58</f>
        <v>0</v>
      </c>
    </row>
    <row r="59" spans="2:9">
      <c r="B59" t="s">
        <v>454</v>
      </c>
      <c r="C59">
        <f>T!C59</f>
        <v>0</v>
      </c>
      <c r="D59">
        <f>T!D59</f>
        <v>0</v>
      </c>
      <c r="E59">
        <f>T!E59</f>
        <v>0</v>
      </c>
      <c r="F59">
        <f>T!F59</f>
        <v>0</v>
      </c>
      <c r="G59">
        <f>T!G59</f>
        <v>0</v>
      </c>
      <c r="H59">
        <f>T!H59</f>
        <v>0</v>
      </c>
      <c r="I59">
        <f>T!N59</f>
        <v>0</v>
      </c>
    </row>
    <row r="60" spans="2:9">
      <c r="B60" t="s">
        <v>455</v>
      </c>
      <c r="C60">
        <f>T!C60</f>
        <v>0</v>
      </c>
      <c r="D60">
        <f>T!D60</f>
        <v>0</v>
      </c>
      <c r="E60">
        <f>T!E60</f>
        <v>0</v>
      </c>
      <c r="F60">
        <f>T!F60</f>
        <v>0</v>
      </c>
      <c r="G60">
        <f>T!G60</f>
        <v>0</v>
      </c>
      <c r="H60">
        <f>T!H60</f>
        <v>0</v>
      </c>
      <c r="I60">
        <f>T!N60</f>
        <v>0</v>
      </c>
    </row>
    <row r="61" spans="2:9">
      <c r="B61" t="s">
        <v>335</v>
      </c>
      <c r="C61">
        <f>T!C61</f>
        <v>0</v>
      </c>
      <c r="D61">
        <f>T!D61</f>
        <v>0</v>
      </c>
      <c r="E61">
        <f>T!E61</f>
        <v>0</v>
      </c>
      <c r="F61">
        <f>T!F61</f>
        <v>0</v>
      </c>
      <c r="G61">
        <f>T!G61</f>
        <v>0</v>
      </c>
      <c r="H61">
        <f>T!H61</f>
        <v>0</v>
      </c>
      <c r="I61">
        <f>T!N61</f>
        <v>0</v>
      </c>
    </row>
    <row r="62" spans="2:9">
      <c r="B62" t="s">
        <v>472</v>
      </c>
      <c r="C62">
        <f>T!C62</f>
        <v>0</v>
      </c>
      <c r="D62">
        <f>T!D62</f>
        <v>0</v>
      </c>
      <c r="E62">
        <f>T!E62</f>
        <v>0</v>
      </c>
      <c r="F62">
        <f>T!F62</f>
        <v>0</v>
      </c>
      <c r="G62">
        <f>T!G62</f>
        <v>0</v>
      </c>
      <c r="H62">
        <f>T!H62</f>
        <v>0</v>
      </c>
      <c r="I62">
        <f>T!N62</f>
        <v>0</v>
      </c>
    </row>
    <row r="63" spans="2:9">
      <c r="B63" t="s">
        <v>336</v>
      </c>
      <c r="C63">
        <f>T!C63</f>
        <v>0</v>
      </c>
      <c r="D63">
        <f>T!D63</f>
        <v>0</v>
      </c>
      <c r="E63">
        <f>T!E63</f>
        <v>0</v>
      </c>
      <c r="F63">
        <f>T!F63</f>
        <v>0</v>
      </c>
      <c r="G63">
        <f>T!G63</f>
        <v>0</v>
      </c>
      <c r="H63">
        <f>T!H63</f>
        <v>0</v>
      </c>
      <c r="I63">
        <f>T!N63</f>
        <v>0</v>
      </c>
    </row>
    <row r="64" spans="2:9">
      <c r="B64" t="s">
        <v>337</v>
      </c>
      <c r="C64">
        <f>T!C64</f>
        <v>0</v>
      </c>
      <c r="D64">
        <f>T!D64</f>
        <v>0</v>
      </c>
      <c r="E64">
        <f>T!E64</f>
        <v>0</v>
      </c>
      <c r="F64">
        <f>T!F64</f>
        <v>0</v>
      </c>
      <c r="G64">
        <f>T!G64</f>
        <v>0</v>
      </c>
      <c r="H64">
        <f>T!H64</f>
        <v>0</v>
      </c>
      <c r="I64">
        <f>T!N64</f>
        <v>0</v>
      </c>
    </row>
    <row r="65" spans="2:9">
      <c r="B65" t="s">
        <v>338</v>
      </c>
      <c r="C65">
        <f>T!C65</f>
        <v>0</v>
      </c>
      <c r="D65">
        <f>T!D65</f>
        <v>0</v>
      </c>
      <c r="E65">
        <f>T!E65</f>
        <v>0</v>
      </c>
      <c r="F65">
        <f>T!F65</f>
        <v>0</v>
      </c>
      <c r="G65">
        <f>T!G65</f>
        <v>0</v>
      </c>
      <c r="H65">
        <f>T!H65</f>
        <v>0</v>
      </c>
      <c r="I65">
        <f>T!N65</f>
        <v>0</v>
      </c>
    </row>
    <row r="66" spans="2:9">
      <c r="B66" t="s">
        <v>339</v>
      </c>
      <c r="C66">
        <f>T!C66</f>
        <v>0</v>
      </c>
      <c r="D66">
        <f>T!D66</f>
        <v>0</v>
      </c>
      <c r="E66">
        <f>T!E66</f>
        <v>0</v>
      </c>
      <c r="F66">
        <f>T!F66</f>
        <v>0</v>
      </c>
      <c r="G66">
        <f>T!G66</f>
        <v>0</v>
      </c>
      <c r="H66">
        <f>T!H66</f>
        <v>0</v>
      </c>
      <c r="I66">
        <f>T!N66</f>
        <v>0</v>
      </c>
    </row>
    <row r="67" spans="2:9">
      <c r="B67" t="s">
        <v>340</v>
      </c>
      <c r="C67">
        <f>T!C67</f>
        <v>0</v>
      </c>
      <c r="D67">
        <f>T!D67</f>
        <v>0</v>
      </c>
      <c r="E67">
        <f>T!E67</f>
        <v>0</v>
      </c>
      <c r="F67">
        <f>T!F67</f>
        <v>0</v>
      </c>
      <c r="G67">
        <f>T!G67</f>
        <v>0</v>
      </c>
      <c r="H67">
        <f>T!H67</f>
        <v>0</v>
      </c>
      <c r="I67">
        <f>T!N67</f>
        <v>0</v>
      </c>
    </row>
    <row r="68" spans="2:9">
      <c r="B68" t="s">
        <v>341</v>
      </c>
      <c r="C68">
        <f>T!C68</f>
        <v>-8316.0983649090085</v>
      </c>
      <c r="D68">
        <f>T!D68</f>
        <v>-8511</v>
      </c>
      <c r="E68">
        <f>T!E68</f>
        <v>-8511</v>
      </c>
      <c r="F68">
        <f>T!F68</f>
        <v>-8231.5489530987925</v>
      </c>
      <c r="G68">
        <f>T!G68</f>
        <v>-8326.6880000013116</v>
      </c>
      <c r="H68">
        <f>T!H68</f>
        <v>-8241</v>
      </c>
      <c r="I68">
        <f>T!N68</f>
        <v>0</v>
      </c>
    </row>
    <row r="69" spans="2:9">
      <c r="B69" t="s">
        <v>342</v>
      </c>
      <c r="C69">
        <f>T!C69</f>
        <v>1951.1712326347274</v>
      </c>
      <c r="D69">
        <f>T!D69</f>
        <v>2262</v>
      </c>
      <c r="E69">
        <f>T!E69</f>
        <v>2262</v>
      </c>
      <c r="F69">
        <f>T!F69</f>
        <v>2035.0880473582379</v>
      </c>
      <c r="G69">
        <f>T!G69</f>
        <v>2001.7830000000072</v>
      </c>
      <c r="H69">
        <f>T!H69</f>
        <v>2038</v>
      </c>
      <c r="I69">
        <f>T!N69</f>
        <v>0</v>
      </c>
    </row>
    <row r="70" spans="2:9">
      <c r="B70" t="s">
        <v>345</v>
      </c>
      <c r="C70">
        <f>T!C70</f>
        <v>-973.41818225425504</v>
      </c>
      <c r="D70">
        <f>T!D70</f>
        <v>-988</v>
      </c>
      <c r="E70">
        <f>T!E70</f>
        <v>-986</v>
      </c>
      <c r="F70">
        <f>T!F70</f>
        <v>-948.45472065499689</v>
      </c>
      <c r="G70">
        <f>T!G70</f>
        <v>-995.56300000003102</v>
      </c>
      <c r="H70">
        <f>T!H70</f>
        <v>-979</v>
      </c>
      <c r="I70">
        <f>T!N70</f>
        <v>0</v>
      </c>
    </row>
    <row r="71" spans="2:9">
      <c r="B71" t="s">
        <v>346</v>
      </c>
      <c r="C71">
        <f>T!C71</f>
        <v>-491.37656357751894</v>
      </c>
      <c r="D71">
        <f>T!D71</f>
        <v>-536</v>
      </c>
      <c r="E71">
        <f>T!E71</f>
        <v>-536</v>
      </c>
      <c r="F71">
        <f>T!F71</f>
        <v>-508.82957927786538</v>
      </c>
      <c r="G71">
        <f>T!G71</f>
        <v>-502.37599999999247</v>
      </c>
      <c r="H71">
        <f>T!H71</f>
        <v>-522</v>
      </c>
      <c r="I71">
        <f>T!N71</f>
        <v>0</v>
      </c>
    </row>
    <row r="72" spans="2:9">
      <c r="B72" t="s">
        <v>347</v>
      </c>
      <c r="C72">
        <f>T!C72</f>
        <v>-768.77292617570515</v>
      </c>
      <c r="D72">
        <f>T!D72</f>
        <v>-757</v>
      </c>
      <c r="E72">
        <f>T!E72</f>
        <v>-757</v>
      </c>
      <c r="F72">
        <f>T!F72</f>
        <v>-628.6073605510785</v>
      </c>
      <c r="G72">
        <f>T!G72</f>
        <v>-761.74900000005232</v>
      </c>
      <c r="H72">
        <f>T!H72</f>
        <v>-787</v>
      </c>
      <c r="I72">
        <f>T!N72</f>
        <v>0</v>
      </c>
    </row>
    <row r="73" spans="2:9">
      <c r="B73" t="str">
        <f>T!B73</f>
        <v>Condenser Fan (kWh,e)</v>
      </c>
      <c r="C73">
        <f>T!C73</f>
        <v>0</v>
      </c>
      <c r="D73">
        <f>T!D73</f>
        <v>0</v>
      </c>
      <c r="E73">
        <f>T!E73</f>
        <v>0</v>
      </c>
      <c r="F73">
        <f>T!F73</f>
        <v>0</v>
      </c>
      <c r="G73">
        <f>T!G73</f>
        <v>0</v>
      </c>
      <c r="H73">
        <f>T!H73</f>
        <v>0</v>
      </c>
      <c r="I73">
        <f>T!N73</f>
        <v>0</v>
      </c>
    </row>
    <row r="74" spans="2:9">
      <c r="B74">
        <f>T!B74</f>
        <v>0</v>
      </c>
      <c r="C74" t="str">
        <f>T!C74</f>
        <v>TRNSYS</v>
      </c>
      <c r="D74" t="str">
        <f>T!D74</f>
        <v>DOE-2.2</v>
      </c>
      <c r="E74" t="str">
        <f>T!E74</f>
        <v>DOE21E-E</v>
      </c>
      <c r="F74" t="str">
        <f>T!F74</f>
        <v>Energy+</v>
      </c>
      <c r="G74" t="str">
        <f>T!G74</f>
        <v>CODYRUN</v>
      </c>
      <c r="H74" t="str">
        <f>T!H74</f>
        <v>HOT3000</v>
      </c>
      <c r="I74">
        <f>T!N74</f>
        <v>0</v>
      </c>
    </row>
    <row r="75" spans="2:9">
      <c r="B75">
        <f>T!B75</f>
        <v>0</v>
      </c>
      <c r="C75" t="s">
        <v>569</v>
      </c>
      <c r="D75" t="s">
        <v>570</v>
      </c>
      <c r="E75" t="s">
        <v>573</v>
      </c>
      <c r="F75" t="s">
        <v>617</v>
      </c>
      <c r="G75" t="s">
        <v>571</v>
      </c>
      <c r="H75" t="s">
        <v>572</v>
      </c>
      <c r="I75" t="s">
        <v>522</v>
      </c>
    </row>
    <row r="76" spans="2:9">
      <c r="B76" t="s">
        <v>343</v>
      </c>
      <c r="C76">
        <f>T!C76</f>
        <v>353.51153267029258</v>
      </c>
      <c r="D76">
        <f>T!D76</f>
        <v>385</v>
      </c>
      <c r="E76">
        <f>T!E76</f>
        <v>385</v>
      </c>
      <c r="F76">
        <f>T!F76</f>
        <v>0</v>
      </c>
      <c r="G76">
        <f>T!G76</f>
        <v>376.33800000001565</v>
      </c>
      <c r="H76">
        <f>T!H76</f>
        <v>368</v>
      </c>
      <c r="I76">
        <f>T!N76</f>
        <v>0</v>
      </c>
    </row>
    <row r="77" spans="2:9">
      <c r="B77" t="s">
        <v>344</v>
      </c>
      <c r="C77">
        <f>T!C77</f>
        <v>346.27670039468285</v>
      </c>
      <c r="D77">
        <f>T!D77</f>
        <v>314</v>
      </c>
      <c r="E77">
        <f>T!E77</f>
        <v>316</v>
      </c>
      <c r="F77">
        <f>T!F77</f>
        <v>0</v>
      </c>
      <c r="G77">
        <f>T!G77</f>
        <v>348.37900000001946</v>
      </c>
      <c r="H77">
        <f>T!H77</f>
        <v>358</v>
      </c>
      <c r="I77">
        <f>T!N77</f>
        <v>0</v>
      </c>
    </row>
    <row r="78" spans="2:9">
      <c r="B78" t="s">
        <v>334</v>
      </c>
      <c r="C78">
        <f>T!C78</f>
        <v>383.32536008485795</v>
      </c>
      <c r="D78">
        <f>T!D78</f>
        <v>355</v>
      </c>
      <c r="E78">
        <f>T!E78</f>
        <v>331</v>
      </c>
      <c r="F78">
        <f>T!F78</f>
        <v>0</v>
      </c>
      <c r="G78">
        <f>T!G78</f>
        <v>400.99400000000423</v>
      </c>
      <c r="H78">
        <f>T!H78</f>
        <v>370</v>
      </c>
      <c r="I78">
        <f>T!N78</f>
        <v>0</v>
      </c>
    </row>
    <row r="79" spans="2:9">
      <c r="B79" t="s">
        <v>453</v>
      </c>
      <c r="C79">
        <f>T!C79</f>
        <v>37.0486596901751</v>
      </c>
      <c r="D79">
        <f>T!D79</f>
        <v>41</v>
      </c>
      <c r="E79">
        <f>T!E79</f>
        <v>15</v>
      </c>
      <c r="F79">
        <f>T!F79</f>
        <v>0</v>
      </c>
      <c r="G79">
        <f>T!G79</f>
        <v>52.614999999984775</v>
      </c>
      <c r="H79">
        <f>T!H79</f>
        <v>12</v>
      </c>
      <c r="I79">
        <f>T!N79</f>
        <v>0</v>
      </c>
    </row>
    <row r="80" spans="2:9">
      <c r="B80" t="s">
        <v>454</v>
      </c>
      <c r="C80">
        <f>T!C80</f>
        <v>376.11484129759128</v>
      </c>
      <c r="D80">
        <f>T!D80</f>
        <v>348</v>
      </c>
      <c r="E80">
        <f>T!E80</f>
        <v>338</v>
      </c>
      <c r="F80">
        <f>T!F80</f>
        <v>0</v>
      </c>
      <c r="G80">
        <f>T!G80</f>
        <v>386.06100000000652</v>
      </c>
      <c r="H80">
        <f>T!H80</f>
        <v>361</v>
      </c>
      <c r="I80">
        <f>T!N80</f>
        <v>0</v>
      </c>
    </row>
    <row r="81" spans="2:9">
      <c r="B81" t="s">
        <v>455</v>
      </c>
      <c r="C81">
        <f>T!C81</f>
        <v>7.2105187872666647</v>
      </c>
      <c r="D81">
        <f>T!D81</f>
        <v>7</v>
      </c>
      <c r="E81">
        <f>T!E81</f>
        <v>-7</v>
      </c>
      <c r="F81">
        <f>T!F81</f>
        <v>0</v>
      </c>
      <c r="G81">
        <f>T!G81</f>
        <v>14.932999999997719</v>
      </c>
      <c r="H81">
        <f>T!H81</f>
        <v>9</v>
      </c>
      <c r="I81">
        <f>T!N81</f>
        <v>0</v>
      </c>
    </row>
    <row r="82" spans="2:9">
      <c r="B82" t="s">
        <v>335</v>
      </c>
      <c r="C82">
        <f>T!C82</f>
        <v>-360.10383961378966</v>
      </c>
      <c r="D82">
        <f>T!D82</f>
        <v>-436</v>
      </c>
      <c r="E82">
        <f>T!E82</f>
        <v>-435</v>
      </c>
      <c r="F82">
        <f>T!F82</f>
        <v>0</v>
      </c>
      <c r="G82">
        <f>T!G82</f>
        <v>-357.87299999998731</v>
      </c>
      <c r="H82">
        <f>T!H82</f>
        <v>-353</v>
      </c>
      <c r="I82">
        <f>T!N82</f>
        <v>0</v>
      </c>
    </row>
    <row r="83" spans="2:9">
      <c r="B83" t="s">
        <v>348</v>
      </c>
      <c r="C83">
        <f>T!C83/4</f>
        <v>478.17722437406553</v>
      </c>
      <c r="D83">
        <f>T!D83/4</f>
        <v>471</v>
      </c>
      <c r="E83">
        <f>T!E83/4</f>
        <v>469.75</v>
      </c>
      <c r="F83">
        <f>T!F83/4</f>
        <v>0</v>
      </c>
      <c r="G83">
        <f>T!G83/4</f>
        <v>484.92149999993956</v>
      </c>
      <c r="H83">
        <f>T!H83/4</f>
        <v>487.25</v>
      </c>
      <c r="I83">
        <f>T!N83/4</f>
        <v>0</v>
      </c>
    </row>
    <row r="84" spans="2:9">
      <c r="B84" t="s">
        <v>336</v>
      </c>
      <c r="C84">
        <f>T!C84</f>
        <v>-414.0381129989496</v>
      </c>
      <c r="D84">
        <f>T!D84</f>
        <v>-441</v>
      </c>
      <c r="E84">
        <f>T!E84</f>
        <v>-437</v>
      </c>
      <c r="F84">
        <f>T!F84</f>
        <v>0</v>
      </c>
      <c r="G84">
        <f>T!G84</f>
        <v>0</v>
      </c>
      <c r="H84">
        <f>T!H84</f>
        <v>-421</v>
      </c>
      <c r="I84">
        <f>T!N84</f>
        <v>0</v>
      </c>
    </row>
    <row r="85" spans="2:9">
      <c r="B85" t="s">
        <v>337</v>
      </c>
      <c r="C85">
        <f>T!C85</f>
        <v>-406.30544541770291</v>
      </c>
      <c r="D85">
        <f>T!D85</f>
        <v>-336</v>
      </c>
      <c r="E85">
        <f>T!E85</f>
        <v>-333</v>
      </c>
      <c r="F85">
        <f>T!F85</f>
        <v>0</v>
      </c>
      <c r="G85">
        <f>T!G85</f>
        <v>0</v>
      </c>
      <c r="H85">
        <f>T!H85</f>
        <v>-387</v>
      </c>
      <c r="I85">
        <f>T!N85</f>
        <v>0</v>
      </c>
    </row>
    <row r="86" spans="2:9">
      <c r="B86" t="s">
        <v>338</v>
      </c>
      <c r="C86">
        <f>T!C86</f>
        <v>-251.82072975551137</v>
      </c>
      <c r="D86">
        <f>T!D86</f>
        <v>-247</v>
      </c>
      <c r="E86">
        <f>T!E86</f>
        <v>-206</v>
      </c>
      <c r="F86">
        <f>T!F86</f>
        <v>0</v>
      </c>
      <c r="G86">
        <f>T!G86</f>
        <v>0</v>
      </c>
      <c r="H86">
        <f>T!H86</f>
        <v>-208</v>
      </c>
      <c r="I86">
        <f>T!N86</f>
        <v>0</v>
      </c>
    </row>
    <row r="87" spans="2:9">
      <c r="B87" t="s">
        <v>339</v>
      </c>
      <c r="C87">
        <f>T!C87</f>
        <v>-340.83268775918395</v>
      </c>
      <c r="D87">
        <f>T!D87</f>
        <v>-308</v>
      </c>
      <c r="E87">
        <f>T!E87</f>
        <v>-322</v>
      </c>
      <c r="F87">
        <f>T!F87</f>
        <v>0</v>
      </c>
      <c r="G87">
        <f>T!G87</f>
        <v>0</v>
      </c>
      <c r="H87">
        <f>T!H87</f>
        <v>-353</v>
      </c>
      <c r="I87">
        <f>T!N87</f>
        <v>0</v>
      </c>
    </row>
    <row r="88" spans="2:9">
      <c r="B88" t="s">
        <v>340</v>
      </c>
      <c r="C88">
        <f>T!C88</f>
        <v>-218.05518187692451</v>
      </c>
      <c r="D88">
        <f>T!D88</f>
        <v>-191</v>
      </c>
      <c r="E88">
        <f>T!E88</f>
        <v>-198</v>
      </c>
      <c r="F88">
        <f>T!F88</f>
        <v>0</v>
      </c>
      <c r="G88">
        <f>T!G88</f>
        <v>0</v>
      </c>
      <c r="H88">
        <f>T!H88</f>
        <v>-203</v>
      </c>
      <c r="I88">
        <f>T!N88</f>
        <v>0</v>
      </c>
    </row>
    <row r="89" spans="2:9">
      <c r="B89" t="s">
        <v>355</v>
      </c>
      <c r="C89">
        <f>T!C89/2</f>
        <v>-240.27656004435789</v>
      </c>
      <c r="D89">
        <f>T!D89/2</f>
        <v>-163</v>
      </c>
      <c r="E89">
        <f>T!E89/2</f>
        <v>-163.5</v>
      </c>
      <c r="F89">
        <f>T!F89/2</f>
        <v>0</v>
      </c>
      <c r="G89">
        <f>T!G89/2</f>
        <v>-207.31049999999379</v>
      </c>
      <c r="H89">
        <f>T!H89/2</f>
        <v>-173.5</v>
      </c>
      <c r="I89">
        <f>T!N89/2</f>
        <v>0</v>
      </c>
    </row>
    <row r="90" spans="2:9">
      <c r="B90" t="s">
        <v>349</v>
      </c>
      <c r="C90">
        <f>T!C90/4</f>
        <v>365.2554843700284</v>
      </c>
      <c r="D90">
        <f>T!D90/4</f>
        <v>383.5</v>
      </c>
      <c r="E90">
        <f>T!E90/4</f>
        <v>383.5</v>
      </c>
      <c r="F90">
        <f>T!F90/4</f>
        <v>0</v>
      </c>
      <c r="G90">
        <f>T!G90/4</f>
        <v>374.71799999999934</v>
      </c>
      <c r="H90">
        <f>T!H90/4</f>
        <v>381.5</v>
      </c>
      <c r="I90">
        <f>T!N90/4</f>
        <v>0</v>
      </c>
    </row>
    <row r="91" spans="2:9">
      <c r="B91" t="s">
        <v>345</v>
      </c>
      <c r="C91">
        <f>T!C91</f>
        <v>-728.88801086671174</v>
      </c>
      <c r="D91">
        <f>T!D91</f>
        <v>-752</v>
      </c>
      <c r="E91">
        <f>T!E91</f>
        <v>-750</v>
      </c>
      <c r="F91">
        <f>T!F91</f>
        <v>0</v>
      </c>
      <c r="G91">
        <f>T!G91</f>
        <v>-745.6240000000339</v>
      </c>
      <c r="H91">
        <f>T!H91</f>
        <v>-733</v>
      </c>
      <c r="I91">
        <f>T!N91</f>
        <v>0</v>
      </c>
    </row>
    <row r="92" spans="2:9">
      <c r="B92" t="s">
        <v>346</v>
      </c>
      <c r="C92">
        <f>T!C92</f>
        <v>-367.93897272712525</v>
      </c>
      <c r="D92">
        <f>T!D92</f>
        <v>-395</v>
      </c>
      <c r="E92">
        <f>T!E92</f>
        <v>-395</v>
      </c>
      <c r="F92">
        <f>T!F92</f>
        <v>0</v>
      </c>
      <c r="G92">
        <f>T!G92</f>
        <v>-376.18500000000176</v>
      </c>
      <c r="H92">
        <f>T!H92</f>
        <v>-391</v>
      </c>
      <c r="I92">
        <f>T!N92</f>
        <v>0</v>
      </c>
    </row>
    <row r="93" spans="2:9">
      <c r="B93" t="s">
        <v>347</v>
      </c>
      <c r="C93">
        <f>T!C93</f>
        <v>-575.65122491419174</v>
      </c>
      <c r="D93">
        <f>T!D93</f>
        <v>-606</v>
      </c>
      <c r="E93">
        <f>T!E93</f>
        <v>-606</v>
      </c>
      <c r="F93">
        <f>T!F93</f>
        <v>0</v>
      </c>
      <c r="G93">
        <f>T!G93</f>
        <v>-570.54500000000507</v>
      </c>
      <c r="H93">
        <f>T!H93</f>
        <v>-589</v>
      </c>
      <c r="I93">
        <f>T!N93</f>
        <v>0</v>
      </c>
    </row>
    <row r="99" spans="2:9">
      <c r="B99" t="str">
        <f>T!B99</f>
        <v>Delta Cooling Coil Loads</v>
      </c>
      <c r="C99">
        <f>T!C99</f>
        <v>0</v>
      </c>
      <c r="D99">
        <f>T!D99</f>
        <v>0</v>
      </c>
      <c r="E99">
        <f>T!E99</f>
        <v>0</v>
      </c>
      <c r="F99">
        <f>T!F99</f>
        <v>0</v>
      </c>
      <c r="G99">
        <f>T!G99</f>
        <v>0</v>
      </c>
      <c r="H99">
        <f>T!H99</f>
        <v>0</v>
      </c>
      <c r="I99">
        <f>T!N99</f>
        <v>0</v>
      </c>
    </row>
    <row r="100" spans="2:9">
      <c r="B100" t="str">
        <f>T!B100</f>
        <v>Sensible Coil Load (kWh,th)</v>
      </c>
      <c r="C100">
        <f>T!C100</f>
        <v>0</v>
      </c>
      <c r="D100">
        <f>T!D100</f>
        <v>0</v>
      </c>
      <c r="E100">
        <f>T!E100</f>
        <v>0</v>
      </c>
      <c r="F100">
        <f>T!F100</f>
        <v>0</v>
      </c>
      <c r="G100">
        <f>T!G100</f>
        <v>0</v>
      </c>
      <c r="H100">
        <f>T!H100</f>
        <v>0</v>
      </c>
      <c r="I100">
        <f>T!N100</f>
        <v>0</v>
      </c>
    </row>
    <row r="101" spans="2:9">
      <c r="B101">
        <f>T!B101</f>
        <v>0</v>
      </c>
      <c r="C101" t="str">
        <f>T!C101</f>
        <v>TRNSYS</v>
      </c>
      <c r="D101" t="str">
        <f>T!D101</f>
        <v>DOE-2.2</v>
      </c>
      <c r="E101" t="str">
        <f>T!E101</f>
        <v>DOE21E-E</v>
      </c>
      <c r="F101" t="str">
        <f>T!F101</f>
        <v>Energy+</v>
      </c>
      <c r="G101" t="str">
        <f>T!G101</f>
        <v>CODYRUN</v>
      </c>
      <c r="H101" t="str">
        <f>T!H101</f>
        <v>HOT3000</v>
      </c>
      <c r="I101">
        <f>T!N101</f>
        <v>0</v>
      </c>
    </row>
    <row r="102" spans="2:9">
      <c r="B102">
        <f>T!B102</f>
        <v>0</v>
      </c>
      <c r="C102" t="s">
        <v>569</v>
      </c>
      <c r="D102" t="s">
        <v>570</v>
      </c>
      <c r="E102" t="s">
        <v>573</v>
      </c>
      <c r="F102" t="s">
        <v>617</v>
      </c>
      <c r="G102" t="s">
        <v>571</v>
      </c>
      <c r="H102" t="s">
        <v>572</v>
      </c>
      <c r="I102" t="s">
        <v>522</v>
      </c>
    </row>
    <row r="103" spans="2:9">
      <c r="B103" t="s">
        <v>343</v>
      </c>
      <c r="C103">
        <f>T!C103</f>
        <v>-405.37097200003336</v>
      </c>
      <c r="D103">
        <f>T!D103</f>
        <v>504.13199999999779</v>
      </c>
      <c r="E103">
        <f>T!E103</f>
        <v>507.94230000000971</v>
      </c>
      <c r="F103">
        <f>T!F103</f>
        <v>-100.43560256171622</v>
      </c>
      <c r="G103">
        <f>T!G103</f>
        <v>-24.393000000018219</v>
      </c>
      <c r="H103">
        <f>T!H103</f>
        <v>-108</v>
      </c>
      <c r="I103">
        <f>T!N103</f>
        <v>0</v>
      </c>
    </row>
    <row r="104" spans="2:9">
      <c r="B104" t="s">
        <v>344</v>
      </c>
      <c r="C104">
        <f>T!C104</f>
        <v>6197.4568829997443</v>
      </c>
      <c r="D104">
        <f>T!D104</f>
        <v>6900.1601999999912</v>
      </c>
      <c r="E104">
        <f>T!E104</f>
        <v>6942.0734999999986</v>
      </c>
      <c r="F104">
        <f>T!F104</f>
        <v>6585.5913626223482</v>
      </c>
      <c r="G104">
        <f>T!G104</f>
        <v>6799.3390000001455</v>
      </c>
      <c r="H104">
        <f>T!H104</f>
        <v>7543</v>
      </c>
      <c r="I104">
        <f>T!N104</f>
        <v>0</v>
      </c>
    </row>
    <row r="105" spans="2:9">
      <c r="B105" t="s">
        <v>334</v>
      </c>
      <c r="C105">
        <f>T!C105</f>
        <v>6421.6280599997845</v>
      </c>
      <c r="D105">
        <f>T!D105</f>
        <v>7514.2046999999948</v>
      </c>
      <c r="E105">
        <f>T!E105</f>
        <v>7522.9976999999999</v>
      </c>
      <c r="F105">
        <f>T!F105</f>
        <v>7908.0123132445588</v>
      </c>
      <c r="G105">
        <f>T!G105</f>
        <v>7439.9940000001443</v>
      </c>
      <c r="H105">
        <f>T!H105</f>
        <v>6631</v>
      </c>
      <c r="I105">
        <f>T!N105</f>
        <v>0</v>
      </c>
    </row>
    <row r="106" spans="2:9">
      <c r="B106" t="s">
        <v>453</v>
      </c>
      <c r="C106">
        <f>T!C106</f>
        <v>224.17117700004019</v>
      </c>
      <c r="D106">
        <f>T!D106</f>
        <v>614.04450000000361</v>
      </c>
      <c r="E106">
        <f>T!E106</f>
        <v>580.92420000000129</v>
      </c>
      <c r="F106">
        <f>T!F106</f>
        <v>1322.4209506222105</v>
      </c>
      <c r="G106">
        <f>T!G106</f>
        <v>640.65499999999884</v>
      </c>
      <c r="H106">
        <f>T!H106</f>
        <v>-912</v>
      </c>
      <c r="I106">
        <f>T!N106</f>
        <v>0</v>
      </c>
    </row>
    <row r="107" spans="2:9">
      <c r="B107" t="s">
        <v>454</v>
      </c>
      <c r="C107">
        <f>T!C107</f>
        <v>6370.8576229997998</v>
      </c>
      <c r="D107">
        <f>T!D107</f>
        <v>7256.5697999999902</v>
      </c>
      <c r="E107">
        <f>T!E107</f>
        <v>7305.8106000000116</v>
      </c>
      <c r="F107">
        <f>T!F107</f>
        <v>7225.3169394542492</v>
      </c>
      <c r="G107">
        <f>T!G107</f>
        <v>7171.0950000002413</v>
      </c>
      <c r="H107">
        <f>T!H107</f>
        <v>6215</v>
      </c>
      <c r="I107">
        <f>T!N107</f>
        <v>0</v>
      </c>
    </row>
    <row r="108" spans="2:9">
      <c r="B108" t="s">
        <v>455</v>
      </c>
      <c r="C108">
        <f>T!C108</f>
        <v>50.770436999984668</v>
      </c>
      <c r="D108">
        <f>T!D108</f>
        <v>257.63490000000456</v>
      </c>
      <c r="E108">
        <f>T!E108</f>
        <v>217.18709999998828</v>
      </c>
      <c r="F108">
        <f>T!F108</f>
        <v>682.69537379030953</v>
      </c>
      <c r="G108">
        <f>T!G108</f>
        <v>268.89899999990303</v>
      </c>
      <c r="H108">
        <f>T!H108</f>
        <v>416</v>
      </c>
      <c r="I108">
        <f>T!N108</f>
        <v>0</v>
      </c>
    </row>
    <row r="109" spans="2:9">
      <c r="B109" t="s">
        <v>335</v>
      </c>
      <c r="C109">
        <f>T!C109/4</f>
        <v>-1572.729515750083</v>
      </c>
      <c r="D109">
        <f>T!D109/4</f>
        <v>-2028.1054500000009</v>
      </c>
      <c r="E109">
        <f>T!E109/4</f>
        <v>-2032.0622999999996</v>
      </c>
      <c r="F109">
        <f>T!F109/4</f>
        <v>-1707.618600744845</v>
      </c>
      <c r="G109">
        <f>T!G109/4</f>
        <v>-1655.1657500000529</v>
      </c>
      <c r="H109">
        <f>T!H109/4</f>
        <v>-1605.75</v>
      </c>
      <c r="I109">
        <f>T!N109/4</f>
        <v>0</v>
      </c>
    </row>
    <row r="110" spans="2:9">
      <c r="B110" t="s">
        <v>348</v>
      </c>
      <c r="C110">
        <f>T!C110/4</f>
        <v>19578.771676999895</v>
      </c>
      <c r="D110">
        <f>T!D110/4</f>
        <v>19780.732800000002</v>
      </c>
      <c r="E110">
        <f>T!E110/4</f>
        <v>19783.737075000005</v>
      </c>
      <c r="F110">
        <f>T!F110/4</f>
        <v>19886.263352360776</v>
      </c>
      <c r="G110">
        <f>T!G110/4</f>
        <v>19749.060500000196</v>
      </c>
      <c r="H110">
        <f>T!H110/4</f>
        <v>19876.5</v>
      </c>
      <c r="I110">
        <f>T!N110/4</f>
        <v>0</v>
      </c>
    </row>
    <row r="111" spans="2:9">
      <c r="B111" t="s">
        <v>336</v>
      </c>
      <c r="C111">
        <f>T!C111</f>
        <v>-14709.388924000181</v>
      </c>
      <c r="D111">
        <f>T!D111</f>
        <v>-14377.727400000003</v>
      </c>
      <c r="E111">
        <f>T!E111</f>
        <v>-14367.761999999995</v>
      </c>
      <c r="F111">
        <f>T!F111</f>
        <v>-14566.844239012011</v>
      </c>
      <c r="G111">
        <f>T!G111</f>
        <v>0</v>
      </c>
      <c r="H111">
        <f>T!H111</f>
        <v>-14010</v>
      </c>
      <c r="I111">
        <f>T!N111</f>
        <v>0</v>
      </c>
    </row>
    <row r="112" spans="2:9">
      <c r="B112" t="s">
        <v>337</v>
      </c>
      <c r="C112">
        <f>T!C112</f>
        <v>-10985.102862000153</v>
      </c>
      <c r="D112">
        <f>T!D112</f>
        <v>-8138.2146000000066</v>
      </c>
      <c r="E112">
        <f>T!E112</f>
        <v>-8144.9558999999863</v>
      </c>
      <c r="F112">
        <f>T!F112</f>
        <v>0</v>
      </c>
      <c r="G112">
        <f>T!G112</f>
        <v>0</v>
      </c>
      <c r="H112">
        <f>T!H112</f>
        <v>-9606</v>
      </c>
      <c r="I112">
        <f>T!N112</f>
        <v>0</v>
      </c>
    </row>
    <row r="113" spans="2:9">
      <c r="B113" t="s">
        <v>338</v>
      </c>
      <c r="C113">
        <f>T!C113</f>
        <v>-6271.9237800000992</v>
      </c>
      <c r="D113">
        <f>T!D113</f>
        <v>-6130.7727000000014</v>
      </c>
      <c r="E113">
        <f>T!E113</f>
        <v>-5192.5595999999932</v>
      </c>
      <c r="F113">
        <f>T!F113</f>
        <v>-5721.4243741610553</v>
      </c>
      <c r="G113">
        <f>T!G113</f>
        <v>0</v>
      </c>
      <c r="H113">
        <f>T!H113</f>
        <v>-5207</v>
      </c>
      <c r="I113">
        <f>T!N113</f>
        <v>0</v>
      </c>
    </row>
    <row r="114" spans="2:9">
      <c r="B114" t="s">
        <v>339</v>
      </c>
      <c r="C114">
        <f>T!C114</f>
        <v>-8798.4021940000894</v>
      </c>
      <c r="D114">
        <f>T!D114</f>
        <v>-8065.5258000000103</v>
      </c>
      <c r="E114">
        <f>T!E114</f>
        <v>-8350.7120999999897</v>
      </c>
      <c r="F114">
        <f>T!F114</f>
        <v>-8254.3534204467214</v>
      </c>
      <c r="G114">
        <f>T!G114</f>
        <v>0</v>
      </c>
      <c r="H114">
        <f>T!H114</f>
        <v>-9048</v>
      </c>
      <c r="I114">
        <f>T!N114</f>
        <v>0</v>
      </c>
    </row>
    <row r="115" spans="2:9">
      <c r="B115" t="s">
        <v>340</v>
      </c>
      <c r="C115">
        <f>T!C115</f>
        <v>-5785.6759560000282</v>
      </c>
      <c r="D115">
        <f>T!D115</f>
        <v>-5204.2836000000098</v>
      </c>
      <c r="E115">
        <f>T!E115</f>
        <v>-5312.7305999999953</v>
      </c>
      <c r="F115">
        <f>T!F115</f>
        <v>-5165.0306461699947</v>
      </c>
      <c r="G115">
        <f>T!G115</f>
        <v>0</v>
      </c>
      <c r="H115">
        <f>T!H115</f>
        <v>-5406</v>
      </c>
      <c r="I115">
        <f>T!N115</f>
        <v>0</v>
      </c>
    </row>
    <row r="116" spans="2:9">
      <c r="B116" t="s">
        <v>341</v>
      </c>
      <c r="C116">
        <f>T!C116</f>
        <v>-11617.948439000036</v>
      </c>
      <c r="D116">
        <f>T!D116</f>
        <v>-8147.0076000000117</v>
      </c>
      <c r="E116">
        <f>T!E116</f>
        <v>-8158.7315999999846</v>
      </c>
      <c r="F116">
        <f>T!F116</f>
        <v>-7808.6231142087126</v>
      </c>
      <c r="G116">
        <f>T!G116</f>
        <v>-10335.240000000398</v>
      </c>
      <c r="H116">
        <f>T!H116</f>
        <v>-7661</v>
      </c>
      <c r="I116">
        <f>T!N116</f>
        <v>0</v>
      </c>
    </row>
    <row r="117" spans="2:9">
      <c r="B117" t="s">
        <v>349</v>
      </c>
      <c r="C117">
        <f>T!C117/4</f>
        <v>10761.549429999979</v>
      </c>
      <c r="D117">
        <f>T!D117/4</f>
        <v>11427.529349999999</v>
      </c>
      <c r="E117">
        <f>T!E117/4</f>
        <v>11427.456074999998</v>
      </c>
      <c r="F117">
        <f>T!F117/4</f>
        <v>11237.588912539453</v>
      </c>
      <c r="G117">
        <f>T!G117/4</f>
        <v>10762.708500000195</v>
      </c>
      <c r="H117">
        <f>T!H117/4</f>
        <v>11270.75</v>
      </c>
      <c r="I117">
        <f>T!N117/4</f>
        <v>0</v>
      </c>
    </row>
    <row r="118" spans="2:9">
      <c r="B118" t="s">
        <v>345</v>
      </c>
      <c r="C118">
        <f>T!C118</f>
        <v>-130.60374799993588</v>
      </c>
      <c r="D118">
        <f>T!D118</f>
        <v>-883.98960000000079</v>
      </c>
      <c r="E118">
        <f>T!E118</f>
        <v>-882.23099999999249</v>
      </c>
      <c r="F118">
        <f>T!F118</f>
        <v>-1187.4385179241217</v>
      </c>
      <c r="G118">
        <f>T!G118</f>
        <v>-201.61899999979505</v>
      </c>
      <c r="H118">
        <f>T!H118</f>
        <v>-949</v>
      </c>
      <c r="I118">
        <f>T!N118</f>
        <v>0</v>
      </c>
    </row>
    <row r="119" spans="2:9">
      <c r="B119" t="s">
        <v>346</v>
      </c>
      <c r="C119">
        <f>T!C119</f>
        <v>2.0479500000001281</v>
      </c>
      <c r="D119">
        <f>T!D119</f>
        <v>-1076.263199999994</v>
      </c>
      <c r="E119">
        <f>T!E119</f>
        <v>-1075.9701000000132</v>
      </c>
      <c r="F119">
        <f>T!F119</f>
        <v>-369.13008963198808</v>
      </c>
      <c r="G119">
        <f>T!G119</f>
        <v>0</v>
      </c>
      <c r="H119">
        <f>T!H119</f>
        <v>-528</v>
      </c>
      <c r="I119">
        <f>T!N119</f>
        <v>0</v>
      </c>
    </row>
    <row r="120" spans="2:9">
      <c r="B120" t="s">
        <v>347</v>
      </c>
      <c r="C120">
        <f>T!C120</f>
        <v>-130.49553499999456</v>
      </c>
      <c r="D120">
        <f>T!D120</f>
        <v>-808.66290000000299</v>
      </c>
      <c r="E120">
        <f>T!E120</f>
        <v>-808.66290000000299</v>
      </c>
      <c r="F120">
        <f>T!F120</f>
        <v>-837.52327862627135</v>
      </c>
      <c r="G120">
        <f>T!G120</f>
        <v>-201.64199999980337</v>
      </c>
      <c r="H120">
        <f>T!H120</f>
        <v>-792</v>
      </c>
      <c r="I120">
        <f>T!N120</f>
        <v>0</v>
      </c>
    </row>
    <row r="121" spans="2:9">
      <c r="B121" t="str">
        <f>T!B121</f>
        <v>Latent Coil Load(kWh,th)</v>
      </c>
      <c r="C121">
        <f>T!C121</f>
        <v>0</v>
      </c>
      <c r="D121">
        <f>T!D121</f>
        <v>0</v>
      </c>
      <c r="E121">
        <f>T!E121</f>
        <v>0</v>
      </c>
      <c r="F121">
        <f>T!F121</f>
        <v>0</v>
      </c>
      <c r="G121">
        <f>T!G121</f>
        <v>0</v>
      </c>
      <c r="H121">
        <f>T!H121</f>
        <v>0</v>
      </c>
      <c r="I121">
        <f>T!N121</f>
        <v>0</v>
      </c>
    </row>
    <row r="122" spans="2:9">
      <c r="B122">
        <f>T!B122</f>
        <v>0</v>
      </c>
      <c r="C122" t="str">
        <f>T!C122</f>
        <v>TRNSYS</v>
      </c>
      <c r="D122" t="str">
        <f>T!D122</f>
        <v>DOE-2.2</v>
      </c>
      <c r="E122" t="str">
        <f>T!E122</f>
        <v>DOE21E-E</v>
      </c>
      <c r="F122" t="str">
        <f>T!F122</f>
        <v>Energy+</v>
      </c>
      <c r="G122" t="str">
        <f>T!G122</f>
        <v>CODYRUN</v>
      </c>
      <c r="H122" t="str">
        <f>T!H122</f>
        <v>HOT3000</v>
      </c>
      <c r="I122">
        <f>T!N122</f>
        <v>0</v>
      </c>
    </row>
    <row r="123" spans="2:9">
      <c r="B123">
        <f>T!B123</f>
        <v>0</v>
      </c>
      <c r="C123" t="s">
        <v>569</v>
      </c>
      <c r="D123" t="s">
        <v>570</v>
      </c>
      <c r="E123" t="s">
        <v>573</v>
      </c>
      <c r="F123" t="s">
        <v>617</v>
      </c>
      <c r="G123" t="s">
        <v>571</v>
      </c>
      <c r="H123" t="s">
        <v>572</v>
      </c>
      <c r="I123" t="s">
        <v>522</v>
      </c>
    </row>
    <row r="124" spans="2:9">
      <c r="B124" t="s">
        <v>343</v>
      </c>
      <c r="C124">
        <f>T!C124</f>
        <v>19320.635055107134</v>
      </c>
      <c r="D124">
        <f>T!D124</f>
        <v>19607.217600000004</v>
      </c>
      <c r="E124">
        <f>T!E124</f>
        <v>19612.2003</v>
      </c>
      <c r="F124">
        <f>T!F124</f>
        <v>19118.098969233924</v>
      </c>
      <c r="G124">
        <f>T!G124</f>
        <v>19575.692999999996</v>
      </c>
      <c r="H124">
        <f>T!H124</f>
        <v>19111</v>
      </c>
      <c r="I124">
        <f>T!N124</f>
        <v>0</v>
      </c>
    </row>
    <row r="125" spans="2:9">
      <c r="B125" t="s">
        <v>344</v>
      </c>
      <c r="C125">
        <f>T!C125</f>
        <v>13167.353602523046</v>
      </c>
      <c r="D125">
        <f>T!D125</f>
        <v>12172.736100000002</v>
      </c>
      <c r="E125">
        <f>T!E125</f>
        <v>12259.2006</v>
      </c>
      <c r="F125">
        <f>T!F125</f>
        <v>12519.249422273995</v>
      </c>
      <c r="G125">
        <f>T!G125</f>
        <v>12597.44899999999</v>
      </c>
      <c r="H125">
        <f>T!H125</f>
        <v>11157</v>
      </c>
      <c r="I125">
        <f>T!N125</f>
        <v>0</v>
      </c>
    </row>
    <row r="126" spans="2:9">
      <c r="B126" t="s">
        <v>334</v>
      </c>
      <c r="C126">
        <f>T!C126</f>
        <v>18164.375947827863</v>
      </c>
      <c r="D126">
        <f>T!D126</f>
        <v>15932.3298</v>
      </c>
      <c r="E126">
        <f>T!E126</f>
        <v>16178.533800000001</v>
      </c>
      <c r="F126">
        <f>T!F126</f>
        <v>17572.919147408411</v>
      </c>
      <c r="G126">
        <f>T!G126</f>
        <v>18528.229999999847</v>
      </c>
      <c r="H126">
        <f>T!H126</f>
        <v>17119</v>
      </c>
      <c r="I126">
        <f>T!N126</f>
        <v>0</v>
      </c>
    </row>
    <row r="127" spans="2:9">
      <c r="B127" t="s">
        <v>453</v>
      </c>
      <c r="C127">
        <f>T!C127</f>
        <v>4997.0223453048166</v>
      </c>
      <c r="D127">
        <f>T!D127</f>
        <v>3759.5936999999976</v>
      </c>
      <c r="E127">
        <f>T!E127</f>
        <v>3919.3332000000009</v>
      </c>
      <c r="F127">
        <f>T!F127</f>
        <v>5053.6697251344158</v>
      </c>
      <c r="G127">
        <f>T!G127</f>
        <v>5930.7809999998572</v>
      </c>
      <c r="H127">
        <f>T!H127</f>
        <v>5962</v>
      </c>
      <c r="I127">
        <f>T!N127</f>
        <v>0</v>
      </c>
    </row>
    <row r="128" spans="2:9">
      <c r="B128" t="s">
        <v>454</v>
      </c>
      <c r="C128">
        <f>T!C128</f>
        <v>15930.253809579826</v>
      </c>
      <c r="D128">
        <f>T!D128</f>
        <v>14487.639900000002</v>
      </c>
      <c r="E128">
        <f>T!E128</f>
        <v>14625.396899999996</v>
      </c>
      <c r="F128">
        <f>T!F128</f>
        <v>15578.213270168479</v>
      </c>
      <c r="G128">
        <f>T!G128</f>
        <v>15760.480999999916</v>
      </c>
      <c r="H128">
        <f>T!H128</f>
        <v>15279</v>
      </c>
      <c r="I128">
        <f>T!N128</f>
        <v>0</v>
      </c>
    </row>
    <row r="129" spans="2:9">
      <c r="B129" t="s">
        <v>455</v>
      </c>
      <c r="C129">
        <f>T!C129</f>
        <v>2234.1221382480362</v>
      </c>
      <c r="D129">
        <f>T!D129</f>
        <v>1444.6898999999976</v>
      </c>
      <c r="E129">
        <f>T!E129</f>
        <v>1553.136900000005</v>
      </c>
      <c r="F129">
        <f>T!F129</f>
        <v>1994.7058772399323</v>
      </c>
      <c r="G129">
        <f>T!G129</f>
        <v>2767.7489999999307</v>
      </c>
      <c r="H129">
        <f>T!H129</f>
        <v>1840</v>
      </c>
      <c r="I129">
        <f>T!N129</f>
        <v>0</v>
      </c>
    </row>
    <row r="130" spans="2:9">
      <c r="B130" t="s">
        <v>335</v>
      </c>
      <c r="C130">
        <f>T!C130</f>
        <v>-4747.9518136209954</v>
      </c>
      <c r="D130">
        <f>T!D130</f>
        <v>-5434.6602000000003</v>
      </c>
      <c r="E130">
        <f>T!E130</f>
        <v>-5529.0384000000031</v>
      </c>
      <c r="F130">
        <f>T!F130</f>
        <v>-4904.9759370761203</v>
      </c>
      <c r="G130">
        <f>T!G130</f>
        <v>-4263.7490000000616</v>
      </c>
      <c r="H130">
        <f>T!H130</f>
        <v>-4446</v>
      </c>
      <c r="I130">
        <f>T!N130</f>
        <v>0</v>
      </c>
    </row>
    <row r="131" spans="2:9">
      <c r="B131" t="s">
        <v>472</v>
      </c>
      <c r="C131">
        <f>T!C131</f>
        <v>4232.1083836100515</v>
      </c>
      <c r="D131">
        <f>T!D131</f>
        <v>3400.8392999999996</v>
      </c>
      <c r="E131">
        <f>T!E131</f>
        <v>3426.9251999999979</v>
      </c>
      <c r="F131">
        <f>T!F131</f>
        <v>4332.6355831830624</v>
      </c>
      <c r="G131">
        <f>T!G131</f>
        <v>4459.3389999999417</v>
      </c>
      <c r="H131">
        <f>T!H131</f>
        <v>4403</v>
      </c>
      <c r="I131">
        <f>T!N131</f>
        <v>0</v>
      </c>
    </row>
    <row r="132" spans="2:9">
      <c r="B132" t="s">
        <v>336</v>
      </c>
      <c r="C132">
        <f>T!C132</f>
        <v>3075.3435687279962</v>
      </c>
      <c r="D132">
        <f>T!D132</f>
        <v>2011.8384000000005</v>
      </c>
      <c r="E132">
        <f>T!E132</f>
        <v>2100.9408000000003</v>
      </c>
      <c r="F132">
        <f>T!F132</f>
        <v>2727.3458939895354</v>
      </c>
      <c r="G132">
        <f>T!G132</f>
        <v>0</v>
      </c>
      <c r="H132">
        <f>T!H132</f>
        <v>2650</v>
      </c>
      <c r="I132">
        <f>T!N132</f>
        <v>0</v>
      </c>
    </row>
    <row r="133" spans="2:9">
      <c r="B133" t="s">
        <v>337</v>
      </c>
      <c r="C133">
        <f>T!C133</f>
        <v>-768.91078720202859</v>
      </c>
      <c r="D133">
        <f>T!D133</f>
        <v>-2365.6101000000017</v>
      </c>
      <c r="E133">
        <f>T!E133</f>
        <v>-2303.4729000000007</v>
      </c>
      <c r="F133">
        <f>T!F133</f>
        <v>0</v>
      </c>
      <c r="G133">
        <f>T!G133</f>
        <v>0</v>
      </c>
      <c r="H133">
        <f>T!H133</f>
        <v>-2477</v>
      </c>
      <c r="I133">
        <f>T!N133</f>
        <v>0</v>
      </c>
    </row>
    <row r="134" spans="2:9">
      <c r="B134" t="s">
        <v>338</v>
      </c>
      <c r="C134">
        <f>T!C134</f>
        <v>-1545.6362949919603</v>
      </c>
      <c r="D134">
        <f>T!D134</f>
        <v>-1541.7060000000019</v>
      </c>
      <c r="E134">
        <f>T!E134</f>
        <v>-1217.2443000000021</v>
      </c>
      <c r="F134">
        <f>T!F134</f>
        <v>-1360.4827689334015</v>
      </c>
      <c r="G134">
        <f>T!G134</f>
        <v>0</v>
      </c>
      <c r="H134">
        <f>T!H134</f>
        <v>-1212</v>
      </c>
      <c r="I134">
        <f>T!N134</f>
        <v>0</v>
      </c>
    </row>
    <row r="135" spans="2:9">
      <c r="B135" t="s">
        <v>339</v>
      </c>
      <c r="C135">
        <f>T!C135</f>
        <v>-1872.1532978488867</v>
      </c>
      <c r="D135">
        <f>T!D135</f>
        <v>-1577.1710999999996</v>
      </c>
      <c r="E135">
        <f>T!E135</f>
        <v>-1721.9625000000015</v>
      </c>
      <c r="F135">
        <f>T!F135</f>
        <v>-1787.889672394489</v>
      </c>
      <c r="G135">
        <f>T!G135</f>
        <v>0</v>
      </c>
      <c r="H135">
        <f>T!H135</f>
        <v>-2010</v>
      </c>
      <c r="I135">
        <f>T!N135</f>
        <v>0</v>
      </c>
    </row>
    <row r="136" spans="2:9">
      <c r="B136" t="s">
        <v>340</v>
      </c>
      <c r="C136">
        <f>T!C136</f>
        <v>-929.82804491486968</v>
      </c>
      <c r="D136">
        <f>T!D136</f>
        <v>-699.04349999999977</v>
      </c>
      <c r="E136">
        <f>T!E136</f>
        <v>-798.11130000000048</v>
      </c>
      <c r="F136">
        <f>T!F136</f>
        <v>-802.86573875787872</v>
      </c>
      <c r="G136">
        <f>T!G136</f>
        <v>0</v>
      </c>
      <c r="H136">
        <f>T!H136</f>
        <v>-823</v>
      </c>
      <c r="I136">
        <f>T!N136</f>
        <v>0</v>
      </c>
    </row>
    <row r="137" spans="2:9">
      <c r="B137" t="s">
        <v>341</v>
      </c>
      <c r="C137">
        <f>T!C137</f>
        <v>-5451.8127927419882</v>
      </c>
      <c r="D137">
        <f>T!D137</f>
        <v>-3140.5665000000008</v>
      </c>
      <c r="E137">
        <f>T!E137</f>
        <v>-3140.8596000000034</v>
      </c>
      <c r="F137">
        <f>T!F137</f>
        <v>-4932.0180785274606</v>
      </c>
      <c r="G137">
        <f>T!G137</f>
        <v>-4304.0020000000986</v>
      </c>
      <c r="H137">
        <f>T!H137</f>
        <v>-4983</v>
      </c>
      <c r="I137">
        <f>T!N137</f>
        <v>0</v>
      </c>
    </row>
    <row r="138" spans="2:9">
      <c r="B138" t="s">
        <v>342</v>
      </c>
      <c r="C138">
        <f>T!C138</f>
        <v>17484.681420000055</v>
      </c>
      <c r="D138">
        <f>T!D138</f>
        <v>17615.016900000002</v>
      </c>
      <c r="E138">
        <f>T!E138</f>
        <v>17615.016900000002</v>
      </c>
      <c r="F138">
        <f>T!F138</f>
        <v>17488.84749972459</v>
      </c>
      <c r="G138">
        <f>T!G138</f>
        <v>17488.437999999947</v>
      </c>
      <c r="H138">
        <f>T!H138</f>
        <v>17340</v>
      </c>
      <c r="I138">
        <f>T!N138</f>
        <v>0</v>
      </c>
    </row>
    <row r="139" spans="2:9">
      <c r="B139" t="s">
        <v>345</v>
      </c>
      <c r="C139">
        <f>T!C139</f>
        <v>2.0047209999538609</v>
      </c>
      <c r="D139">
        <f>T!D139</f>
        <v>-288.11730000000171</v>
      </c>
      <c r="E139">
        <f>T!E139</f>
        <v>-288.11730000000171</v>
      </c>
      <c r="F139">
        <f>T!F139</f>
        <v>2.4787920240814856</v>
      </c>
      <c r="G139">
        <f>T!G139</f>
        <v>-8.6240000002690067</v>
      </c>
      <c r="H139">
        <f>T!H139</f>
        <v>-42</v>
      </c>
      <c r="I139">
        <f>T!N139</f>
        <v>0</v>
      </c>
    </row>
    <row r="140" spans="2:9">
      <c r="B140" t="s">
        <v>346</v>
      </c>
      <c r="C140">
        <f>T!C140</f>
        <v>-18313.306249999994</v>
      </c>
      <c r="D140">
        <f>T!D140</f>
        <v>-18285.336600000002</v>
      </c>
      <c r="E140">
        <f>T!E140</f>
        <v>-18285.629700000001</v>
      </c>
      <c r="F140">
        <f>T!F140</f>
        <v>-18231.674174693937</v>
      </c>
      <c r="G140">
        <f>T!G140</f>
        <v>-18229.954999999936</v>
      </c>
      <c r="H140">
        <f>T!H140</f>
        <v>-18084</v>
      </c>
      <c r="I140">
        <f>T!N140</f>
        <v>0</v>
      </c>
    </row>
    <row r="141" spans="2:9">
      <c r="B141" t="s">
        <v>347</v>
      </c>
      <c r="C141">
        <f>T!C141</f>
        <v>-0.97975819500048389</v>
      </c>
      <c r="D141">
        <f>T!D141</f>
        <v>-81.481800000000007</v>
      </c>
      <c r="E141">
        <f>T!E141</f>
        <v>-81.481800000000007</v>
      </c>
      <c r="F141">
        <f>T!F141</f>
        <v>-8.867157473872469</v>
      </c>
      <c r="G141">
        <f>T!G141</f>
        <v>-3.0859999999999999</v>
      </c>
      <c r="H141">
        <f>T!H141</f>
        <v>-2</v>
      </c>
      <c r="I141">
        <f>T!N141</f>
        <v>0</v>
      </c>
    </row>
    <row r="145" spans="2:9">
      <c r="B145" t="str">
        <f>T!B145</f>
        <v>Delta Various Annual Means (COP2, IDB)</v>
      </c>
      <c r="C145">
        <f>T!C145</f>
        <v>0</v>
      </c>
      <c r="D145">
        <f>T!D145</f>
        <v>0</v>
      </c>
      <c r="E145">
        <f>T!E145</f>
        <v>0</v>
      </c>
      <c r="F145">
        <f>T!F145</f>
        <v>0</v>
      </c>
      <c r="G145">
        <f>T!G145</f>
        <v>0</v>
      </c>
      <c r="H145">
        <f>T!H145</f>
        <v>0</v>
      </c>
      <c r="I145">
        <f>T!N145</f>
        <v>0</v>
      </c>
    </row>
    <row r="146" spans="2:9">
      <c r="B146" t="str">
        <f>T!B146</f>
        <v>COP2</v>
      </c>
      <c r="C146">
        <f>T!C146</f>
        <v>0</v>
      </c>
      <c r="D146">
        <f>T!D146</f>
        <v>0</v>
      </c>
      <c r="E146">
        <f>T!E146</f>
        <v>0</v>
      </c>
      <c r="F146">
        <f>T!F146</f>
        <v>0</v>
      </c>
      <c r="G146">
        <f>T!G146</f>
        <v>0</v>
      </c>
      <c r="H146">
        <f>T!H146</f>
        <v>0</v>
      </c>
      <c r="I146">
        <f>T!N146</f>
        <v>0</v>
      </c>
    </row>
    <row r="147" spans="2:9">
      <c r="B147">
        <f>T!B147</f>
        <v>0</v>
      </c>
      <c r="C147" t="str">
        <f>T!C147</f>
        <v>TRNSYS</v>
      </c>
      <c r="D147" t="str">
        <f>T!D147</f>
        <v>DOE-2.2</v>
      </c>
      <c r="E147" t="str">
        <f>T!E147</f>
        <v>DOE21E-E</v>
      </c>
      <c r="F147" t="str">
        <f>T!F147</f>
        <v>Energy+</v>
      </c>
      <c r="G147" t="str">
        <f>T!G147</f>
        <v>CODYRUN</v>
      </c>
      <c r="H147" t="str">
        <f>T!H147</f>
        <v>HOT3000</v>
      </c>
      <c r="I147">
        <f>T!N147</f>
        <v>0</v>
      </c>
    </row>
    <row r="148" spans="2:9">
      <c r="B148">
        <f>T!B148</f>
        <v>0</v>
      </c>
      <c r="C148" t="s">
        <v>569</v>
      </c>
      <c r="D148" t="s">
        <v>570</v>
      </c>
      <c r="E148" t="s">
        <v>573</v>
      </c>
      <c r="F148" t="s">
        <v>617</v>
      </c>
      <c r="G148" t="s">
        <v>571</v>
      </c>
      <c r="H148" t="s">
        <v>572</v>
      </c>
      <c r="I148" t="s">
        <v>522</v>
      </c>
    </row>
    <row r="149" spans="2:9">
      <c r="B149" t="s">
        <v>343</v>
      </c>
      <c r="C149">
        <f>T!C149</f>
        <v>0.16552233282530127</v>
      </c>
      <c r="D149">
        <f>T!D149</f>
        <v>0.17980020930713314</v>
      </c>
      <c r="E149">
        <f>T!E149</f>
        <v>0.18012945021843185</v>
      </c>
      <c r="F149">
        <f>T!F149</f>
        <v>0.16517544395384132</v>
      </c>
      <c r="G149">
        <f>T!G149</f>
        <v>0.17085733713324514</v>
      </c>
      <c r="H149">
        <f>T!H149</f>
        <v>0.14999999999999991</v>
      </c>
      <c r="I149">
        <f>T!N149</f>
        <v>0</v>
      </c>
    </row>
    <row r="150" spans="2:9">
      <c r="B150" t="s">
        <v>344</v>
      </c>
      <c r="C150">
        <f>T!C150</f>
        <v>0.17083237030228204</v>
      </c>
      <c r="D150">
        <f>T!D150</f>
        <v>0.22028933633201087</v>
      </c>
      <c r="E150">
        <f>T!E150</f>
        <v>0.21969251983271265</v>
      </c>
      <c r="F150">
        <f>T!F150</f>
        <v>0.17529849690866373</v>
      </c>
      <c r="G150">
        <f>T!G150</f>
        <v>0.17958347541332031</v>
      </c>
      <c r="H150">
        <f>T!H150</f>
        <v>0.16000000000000014</v>
      </c>
      <c r="I150">
        <f>T!N150</f>
        <v>0</v>
      </c>
    </row>
    <row r="151" spans="2:9">
      <c r="B151" t="s">
        <v>334</v>
      </c>
      <c r="C151">
        <f>T!C151</f>
        <v>0.2416630702180198</v>
      </c>
      <c r="D151">
        <f>T!D151</f>
        <v>0.25649070875822488</v>
      </c>
      <c r="E151">
        <f>T!E151</f>
        <v>0.29907491375648076</v>
      </c>
      <c r="F151">
        <f>T!F151</f>
        <v>0.26441609491045259</v>
      </c>
      <c r="G151">
        <f>T!G151</f>
        <v>0.27090438957405505</v>
      </c>
      <c r="H151">
        <f>T!H151</f>
        <v>0.22999999999999998</v>
      </c>
      <c r="I151">
        <f>T!N151</f>
        <v>0</v>
      </c>
    </row>
    <row r="152" spans="2:9">
      <c r="B152" t="s">
        <v>453</v>
      </c>
      <c r="C152">
        <f>T!C152</f>
        <v>7.083069991573776E-2</v>
      </c>
      <c r="D152">
        <f>T!D152</f>
        <v>3.6201372426214018E-2</v>
      </c>
      <c r="E152">
        <f>T!E152</f>
        <v>7.9382393923768113E-2</v>
      </c>
      <c r="F152">
        <f>T!F152</f>
        <v>8.9117598001788867E-2</v>
      </c>
      <c r="G152">
        <f>T!G152</f>
        <v>9.1320914160734734E-2</v>
      </c>
      <c r="H152">
        <f>T!H152</f>
        <v>6.999999999999984E-2</v>
      </c>
      <c r="I152">
        <f>T!N152</f>
        <v>0</v>
      </c>
    </row>
    <row r="153" spans="2:9">
      <c r="B153" t="s">
        <v>454</v>
      </c>
      <c r="C153">
        <f>T!C153</f>
        <v>0.20521092225697135</v>
      </c>
      <c r="D153">
        <f>T!D153</f>
        <v>0.23965789582697861</v>
      </c>
      <c r="E153">
        <f>T!E153</f>
        <v>0.25826036346901748</v>
      </c>
      <c r="F153">
        <f>T!F153</f>
        <v>0.22045495843896257</v>
      </c>
      <c r="G153">
        <f>T!G153</f>
        <v>0.22316083129132069</v>
      </c>
      <c r="H153">
        <f>T!H153</f>
        <v>0.18999999999999995</v>
      </c>
      <c r="I153">
        <f>T!N153</f>
        <v>0</v>
      </c>
    </row>
    <row r="154" spans="2:9">
      <c r="B154" t="s">
        <v>455</v>
      </c>
      <c r="C154">
        <f>T!C154</f>
        <v>3.6452147961048453E-2</v>
      </c>
      <c r="D154">
        <f>T!D154</f>
        <v>1.6832812931246277E-2</v>
      </c>
      <c r="E154">
        <f>T!E154</f>
        <v>4.081455028746328E-2</v>
      </c>
      <c r="F154">
        <f>T!F154</f>
        <v>4.3961136471490025E-2</v>
      </c>
      <c r="G154">
        <f>T!G154</f>
        <v>4.7743558282734355E-2</v>
      </c>
      <c r="H154">
        <f>T!H154</f>
        <v>4.0000000000000036E-2</v>
      </c>
      <c r="I154">
        <f>T!N154</f>
        <v>0</v>
      </c>
    </row>
    <row r="155" spans="2:9">
      <c r="B155" t="s">
        <v>335</v>
      </c>
      <c r="C155">
        <f>T!C155</f>
        <v>-1.1501304028538328E-4</v>
      </c>
      <c r="D155">
        <f>T!D155</f>
        <v>3.0960240556585639E-3</v>
      </c>
      <c r="E155">
        <f>T!E155</f>
        <v>-1.9178441745544283E-3</v>
      </c>
      <c r="F155">
        <f>T!F155</f>
        <v>4.3634996221117994E-3</v>
      </c>
      <c r="G155">
        <f>T!G155</f>
        <v>2.532500625511247E-3</v>
      </c>
      <c r="H155">
        <f>T!H155</f>
        <v>0</v>
      </c>
      <c r="I155">
        <f>T!N155</f>
        <v>0</v>
      </c>
    </row>
    <row r="156" spans="2:9">
      <c r="B156" t="s">
        <v>472</v>
      </c>
      <c r="C156">
        <f>T!C156</f>
        <v>0.41996347475500828</v>
      </c>
      <c r="D156">
        <f>T!D156</f>
        <v>0.46293089227817585</v>
      </c>
      <c r="E156">
        <f>T!E156</f>
        <v>0.46845118630956062</v>
      </c>
      <c r="F156">
        <f>T!F156</f>
        <v>0.43775165348703338</v>
      </c>
      <c r="G156">
        <f>T!G156</f>
        <v>0.44030929939147168</v>
      </c>
      <c r="H156">
        <f>T!H156</f>
        <v>0.43000000000000016</v>
      </c>
      <c r="I156">
        <f>T!N156</f>
        <v>0</v>
      </c>
    </row>
    <row r="157" spans="2:9">
      <c r="B157" t="s">
        <v>336</v>
      </c>
      <c r="C157">
        <f>T!C157</f>
        <v>1.210608694129256E-3</v>
      </c>
      <c r="D157">
        <f>T!D157</f>
        <v>1.3724131510370885E-2</v>
      </c>
      <c r="E157">
        <f>T!E157</f>
        <v>1.454754124542168E-2</v>
      </c>
      <c r="F157">
        <f>T!F157</f>
        <v>1.6855010360993461E-2</v>
      </c>
      <c r="G157">
        <f>T!G157</f>
        <v>0</v>
      </c>
      <c r="H157">
        <f>T!H157</f>
        <v>2.9999999999999805E-2</v>
      </c>
      <c r="I157">
        <f>T!N157</f>
        <v>0</v>
      </c>
    </row>
    <row r="158" spans="2:9">
      <c r="B158" t="s">
        <v>337</v>
      </c>
      <c r="C158">
        <f>T!C158</f>
        <v>-9.551085122376346E-3</v>
      </c>
      <c r="D158">
        <f>T!D158</f>
        <v>-2.5269055819481245E-2</v>
      </c>
      <c r="E158">
        <f>T!E158</f>
        <v>-2.6661273644267069E-2</v>
      </c>
      <c r="F158">
        <f>T!F158</f>
        <v>0</v>
      </c>
      <c r="G158">
        <f>T!G158</f>
        <v>0</v>
      </c>
      <c r="H158">
        <f>T!H158</f>
        <v>-2.0000000000000018E-2</v>
      </c>
      <c r="I158">
        <f>T!N158</f>
        <v>0</v>
      </c>
    </row>
    <row r="159" spans="2:9">
      <c r="B159" t="s">
        <v>338</v>
      </c>
      <c r="C159">
        <f>T!C159</f>
        <v>-2.2999937642001367E-2</v>
      </c>
      <c r="D159">
        <f>T!D159</f>
        <v>-2.2393893669617526E-2</v>
      </c>
      <c r="E159">
        <f>T!E159</f>
        <v>-1.9831019794521065E-2</v>
      </c>
      <c r="F159">
        <f>T!F159</f>
        <v>-2.0418772804253305E-2</v>
      </c>
      <c r="G159">
        <f>T!G159</f>
        <v>0</v>
      </c>
      <c r="H159">
        <f>T!H159</f>
        <v>-2.0000000000000018E-2</v>
      </c>
      <c r="I159">
        <f>T!N159</f>
        <v>0</v>
      </c>
    </row>
    <row r="160" spans="2:9">
      <c r="B160" t="s">
        <v>339</v>
      </c>
      <c r="C160">
        <f>T!C160</f>
        <v>-2.8270179604654722E-2</v>
      </c>
      <c r="D160">
        <f>T!D160</f>
        <v>-2.4649107315888763E-2</v>
      </c>
      <c r="E160">
        <f>T!E160</f>
        <v>-2.5889399176201255E-2</v>
      </c>
      <c r="F160">
        <f>T!F160</f>
        <v>-2.4350810618261054E-2</v>
      </c>
      <c r="G160">
        <f>T!G160</f>
        <v>0</v>
      </c>
      <c r="H160">
        <f>T!H160</f>
        <v>-2.0000000000000018E-2</v>
      </c>
      <c r="I160">
        <f>T!N160</f>
        <v>0</v>
      </c>
    </row>
    <row r="161" spans="2:9">
      <c r="B161" t="s">
        <v>340</v>
      </c>
      <c r="C161">
        <f>T!C161</f>
        <v>-1.7725316134948432E-2</v>
      </c>
      <c r="D161">
        <f>T!D161</f>
        <v>-1.5393276109397558E-2</v>
      </c>
      <c r="E161">
        <f>T!E161</f>
        <v>-1.5474084779643071E-2</v>
      </c>
      <c r="F161">
        <f>T!F161</f>
        <v>-1.4740312922222998E-2</v>
      </c>
      <c r="G161">
        <f>T!G161</f>
        <v>0</v>
      </c>
      <c r="H161">
        <f>T!H161</f>
        <v>-9.9999999999997868E-3</v>
      </c>
      <c r="I161">
        <f>T!N161</f>
        <v>0</v>
      </c>
    </row>
    <row r="162" spans="2:9">
      <c r="B162" t="s">
        <v>341</v>
      </c>
      <c r="C162">
        <f>T!C162</f>
        <v>-4.5013431078735344E-2</v>
      </c>
      <c r="D162">
        <f>T!D162</f>
        <v>-1.0183447425757386E-2</v>
      </c>
      <c r="E162">
        <f>T!E162</f>
        <v>-1.0822384240921856E-2</v>
      </c>
      <c r="F162">
        <f>T!F162</f>
        <v>-3.3871432050562422E-2</v>
      </c>
      <c r="G162">
        <f>T!G162</f>
        <v>-3.4365252209703989E-2</v>
      </c>
      <c r="H162">
        <f>T!H162</f>
        <v>-2.9999999999999805E-2</v>
      </c>
      <c r="I162">
        <f>T!N162</f>
        <v>0</v>
      </c>
    </row>
    <row r="163" spans="2:9">
      <c r="B163" t="s">
        <v>342</v>
      </c>
      <c r="C163">
        <f>T!C163</f>
        <v>0.40948138278354662</v>
      </c>
      <c r="D163">
        <f>T!D163</f>
        <v>0.41598491592011166</v>
      </c>
      <c r="E163">
        <f>T!E163</f>
        <v>0.4157662817379939</v>
      </c>
      <c r="F163">
        <f>T!F163</f>
        <v>0.40813576878035107</v>
      </c>
      <c r="G163">
        <f>T!G163</f>
        <v>0.39712878570291199</v>
      </c>
      <c r="H163">
        <f>T!H163</f>
        <v>0.4099999999999997</v>
      </c>
      <c r="I163">
        <f>T!N163</f>
        <v>0</v>
      </c>
    </row>
    <row r="164" spans="2:9">
      <c r="B164" t="s">
        <v>345</v>
      </c>
      <c r="C164">
        <f>T!C164</f>
        <v>0.582472929172408</v>
      </c>
      <c r="D164">
        <f>T!D164</f>
        <v>0.57413854735219161</v>
      </c>
      <c r="E164">
        <f>T!E164</f>
        <v>0.57203585317648553</v>
      </c>
      <c r="F164">
        <f>T!F164</f>
        <v>0.57773378434848244</v>
      </c>
      <c r="G164">
        <f>T!G164</f>
        <v>0.60629102758884601</v>
      </c>
      <c r="H164">
        <f>T!H164</f>
        <v>0.49000000000000021</v>
      </c>
      <c r="I164">
        <f>T!N164</f>
        <v>0</v>
      </c>
    </row>
    <row r="165" spans="2:9">
      <c r="B165" t="s">
        <v>346</v>
      </c>
      <c r="C165">
        <f>T!C165</f>
        <v>-0.24222778262640654</v>
      </c>
      <c r="D165">
        <f>T!D165</f>
        <v>-0.25848576199149109</v>
      </c>
      <c r="E165">
        <f>T!E165</f>
        <v>-0.25718157954594156</v>
      </c>
      <c r="F165">
        <f>T!F165</f>
        <v>-0.24762251643361433</v>
      </c>
      <c r="G165">
        <f>T!G165</f>
        <v>-0.27644510664767408</v>
      </c>
      <c r="H165">
        <f>T!H165</f>
        <v>-0.2200000000000002</v>
      </c>
      <c r="I165">
        <f>T!N165</f>
        <v>0</v>
      </c>
    </row>
    <row r="166" spans="2:9">
      <c r="B166" t="s">
        <v>347</v>
      </c>
      <c r="C166">
        <f>T!C166</f>
        <v>0.56009649461553357</v>
      </c>
      <c r="D166">
        <f>T!D166</f>
        <v>0.55852744677689747</v>
      </c>
      <c r="E166">
        <f>T!E166</f>
        <v>0.5603586594324832</v>
      </c>
      <c r="F166">
        <f>T!F166</f>
        <v>0.4697372067489245</v>
      </c>
      <c r="G166">
        <f>T!G166</f>
        <v>0.54603541998267113</v>
      </c>
      <c r="H166">
        <f>T!H166</f>
        <v>0.51000000000000023</v>
      </c>
      <c r="I166">
        <f>T!N166</f>
        <v>0</v>
      </c>
    </row>
    <row r="167" spans="2:9">
      <c r="B167" t="str">
        <f>T!B167</f>
        <v>IDB (°C)</v>
      </c>
      <c r="C167">
        <f>T!C167</f>
        <v>0</v>
      </c>
      <c r="D167">
        <f>T!D167</f>
        <v>0</v>
      </c>
      <c r="E167">
        <f>T!E167</f>
        <v>0</v>
      </c>
      <c r="F167">
        <f>T!F167</f>
        <v>0</v>
      </c>
      <c r="G167">
        <f>T!G167</f>
        <v>0</v>
      </c>
      <c r="H167">
        <f>T!H167</f>
        <v>0</v>
      </c>
      <c r="I167">
        <f>T!N167</f>
        <v>0</v>
      </c>
    </row>
    <row r="168" spans="2:9">
      <c r="B168">
        <f>T!B168</f>
        <v>0</v>
      </c>
      <c r="C168" t="str">
        <f>T!C168</f>
        <v>TRNSYS</v>
      </c>
      <c r="D168" t="str">
        <f>T!D168</f>
        <v>DOE-2.2</v>
      </c>
      <c r="E168" t="str">
        <f>T!E168</f>
        <v>DOE21E-E</v>
      </c>
      <c r="F168" t="str">
        <f>T!F168</f>
        <v>Energy+</v>
      </c>
      <c r="G168" t="str">
        <f>T!G168</f>
        <v>CODYRUN</v>
      </c>
      <c r="H168" t="str">
        <f>T!H168</f>
        <v>HOT3000</v>
      </c>
      <c r="I168">
        <f>T!N168</f>
        <v>0</v>
      </c>
    </row>
    <row r="169" spans="2:9">
      <c r="B169">
        <f>T!B169</f>
        <v>0</v>
      </c>
      <c r="C169" t="s">
        <v>569</v>
      </c>
      <c r="D169" t="s">
        <v>570</v>
      </c>
      <c r="E169" t="s">
        <v>573</v>
      </c>
      <c r="F169" t="s">
        <v>617</v>
      </c>
      <c r="G169" t="s">
        <v>571</v>
      </c>
      <c r="H169" t="s">
        <v>572</v>
      </c>
      <c r="I169" t="s">
        <v>522</v>
      </c>
    </row>
    <row r="170" spans="2:9">
      <c r="B170" t="s">
        <v>343</v>
      </c>
      <c r="C170">
        <f>T!C170</f>
        <v>0.13129856164381337</v>
      </c>
      <c r="D170">
        <f>T!D170</f>
        <v>5.5555555555560687E-2</v>
      </c>
      <c r="E170">
        <f>T!E170</f>
        <v>0</v>
      </c>
      <c r="F170">
        <f>T!F170</f>
        <v>2.3646671946799813E-3</v>
      </c>
      <c r="G170">
        <f>T!G170</f>
        <v>8.0616438356280185E-3</v>
      </c>
      <c r="H170">
        <f>T!H170</f>
        <v>2.0000000000003126E-2</v>
      </c>
      <c r="I170">
        <f>T!N170</f>
        <v>0</v>
      </c>
    </row>
    <row r="171" spans="2:9">
      <c r="B171" t="s">
        <v>344</v>
      </c>
      <c r="C171">
        <f>T!C171</f>
        <v>0.27622477625561714</v>
      </c>
      <c r="D171">
        <f>T!D171</f>
        <v>0.33333333333333925</v>
      </c>
      <c r="E171">
        <f>T!E171</f>
        <v>0.33333333333333925</v>
      </c>
      <c r="F171">
        <f>T!F171</f>
        <v>0.14305113383518986</v>
      </c>
      <c r="G171">
        <f>T!G171</f>
        <v>0.24570662100454754</v>
      </c>
      <c r="H171">
        <f>T!H171</f>
        <v>0.5400000000000027</v>
      </c>
      <c r="I171">
        <f>T!N171</f>
        <v>0</v>
      </c>
    </row>
    <row r="172" spans="2:9">
      <c r="B172" t="s">
        <v>334</v>
      </c>
      <c r="C172">
        <f>T!C172</f>
        <v>0.25545473744285019</v>
      </c>
      <c r="D172">
        <f>T!D172</f>
        <v>0.22222222222222499</v>
      </c>
      <c r="E172">
        <f>T!E172</f>
        <v>0.22222222222222499</v>
      </c>
      <c r="F172">
        <f>T!F172</f>
        <v>0.20615181614234501</v>
      </c>
      <c r="G172">
        <f>T!G172</f>
        <v>0.21382191780817195</v>
      </c>
      <c r="H172">
        <f>T!H172</f>
        <v>0.19000000000000128</v>
      </c>
      <c r="I172">
        <f>T!N172</f>
        <v>0</v>
      </c>
    </row>
    <row r="173" spans="2:9">
      <c r="B173" t="s">
        <v>453</v>
      </c>
      <c r="C173">
        <f>T!C173</f>
        <v>-2.0770038812766956E-2</v>
      </c>
      <c r="D173">
        <f>T!D173</f>
        <v>-0.11111111111111427</v>
      </c>
      <c r="E173">
        <f>T!E173</f>
        <v>-0.11111111111111427</v>
      </c>
      <c r="F173">
        <f>T!F173</f>
        <v>6.3100682307155154E-2</v>
      </c>
      <c r="G173">
        <f>T!G173</f>
        <v>-3.1884703196375597E-2</v>
      </c>
      <c r="H173">
        <f>T!H173</f>
        <v>-0.35000000000000142</v>
      </c>
      <c r="I173">
        <f>T!N173</f>
        <v>0</v>
      </c>
    </row>
    <row r="174" spans="2:9">
      <c r="B174" t="s">
        <v>454</v>
      </c>
      <c r="C174">
        <f>T!C174</f>
        <v>0.25135318493148162</v>
      </c>
      <c r="D174">
        <f>T!D174</f>
        <v>0.22222222222222499</v>
      </c>
      <c r="E174">
        <f>T!E174</f>
        <v>0.22222222222222499</v>
      </c>
      <c r="F174">
        <f>T!F174</f>
        <v>0.2213932691713012</v>
      </c>
      <c r="G174">
        <f>T!G174</f>
        <v>0.22721575342464106</v>
      </c>
      <c r="H174">
        <f>T!H174</f>
        <v>0.22000000000000242</v>
      </c>
      <c r="I174">
        <f>T!N174</f>
        <v>0</v>
      </c>
    </row>
    <row r="175" spans="2:9">
      <c r="B175" t="s">
        <v>455</v>
      </c>
      <c r="C175">
        <f>T!C175</f>
        <v>4.1015525113685669E-3</v>
      </c>
      <c r="D175">
        <f>T!D175</f>
        <v>0</v>
      </c>
      <c r="E175">
        <f>T!E175</f>
        <v>0</v>
      </c>
      <c r="F175">
        <f>T!F175</f>
        <v>-1.5241453028956187E-2</v>
      </c>
      <c r="G175">
        <f>T!G175</f>
        <v>-1.3393835616469119E-2</v>
      </c>
      <c r="H175">
        <f>T!H175</f>
        <v>-3.0000000000001137E-2</v>
      </c>
      <c r="I175">
        <f>T!N175</f>
        <v>0</v>
      </c>
    </row>
    <row r="176" spans="2:9">
      <c r="B176" t="s">
        <v>335</v>
      </c>
      <c r="C176">
        <f>T!C176</f>
        <v>2.0351909817350169</v>
      </c>
      <c r="D176">
        <f>T!D176</f>
        <v>2.1111111111111107</v>
      </c>
      <c r="E176">
        <f>T!E176</f>
        <v>2.1111111111111107</v>
      </c>
      <c r="F176">
        <f>T!F176</f>
        <v>2.1477256947672601</v>
      </c>
      <c r="G176">
        <f>T!G176</f>
        <v>2.1869520547945172</v>
      </c>
      <c r="H176">
        <f>T!H176</f>
        <v>2.16</v>
      </c>
      <c r="I176">
        <f>T!N176</f>
        <v>0</v>
      </c>
    </row>
    <row r="177" spans="2:9">
      <c r="B177" t="s">
        <v>472</v>
      </c>
      <c r="C177">
        <f>T!C177</f>
        <v>1.7406740296803136</v>
      </c>
      <c r="D177">
        <f>T!D177</f>
        <v>1.5555555555555536</v>
      </c>
      <c r="E177">
        <f>T!E177</f>
        <v>1.5</v>
      </c>
      <c r="F177">
        <f>T!F177</f>
        <v>1.3420175834029422</v>
      </c>
      <c r="G177">
        <f>T!G177</f>
        <v>1.3992294520547652</v>
      </c>
      <c r="H177">
        <f>T!H177</f>
        <v>1.3800000000000026</v>
      </c>
      <c r="I177">
        <f>T!N177</f>
        <v>0</v>
      </c>
    </row>
    <row r="178" spans="2:9">
      <c r="B178" t="s">
        <v>336</v>
      </c>
      <c r="C178">
        <f>T!C178</f>
        <v>0.50201984018265478</v>
      </c>
      <c r="D178">
        <f>T!D178</f>
        <v>0</v>
      </c>
      <c r="E178">
        <f>T!E178</f>
        <v>0</v>
      </c>
      <c r="F178">
        <f>T!F178</f>
        <v>1.3587400040400155E-3</v>
      </c>
      <c r="G178">
        <f>T!G178</f>
        <v>0</v>
      </c>
      <c r="H178">
        <f>T!H178</f>
        <v>0</v>
      </c>
      <c r="I178">
        <f>T!N178</f>
        <v>0</v>
      </c>
    </row>
    <row r="179" spans="2:9">
      <c r="B179" t="s">
        <v>337</v>
      </c>
      <c r="C179">
        <f>T!C179</f>
        <v>0.49787178082191019</v>
      </c>
      <c r="D179">
        <f>T!D179</f>
        <v>0</v>
      </c>
      <c r="E179">
        <f>T!E179</f>
        <v>0</v>
      </c>
      <c r="F179">
        <f>T!F179</f>
        <v>0</v>
      </c>
      <c r="G179">
        <f>T!G179</f>
        <v>0</v>
      </c>
      <c r="H179">
        <f>T!H179</f>
        <v>0</v>
      </c>
      <c r="I179">
        <f>T!N179</f>
        <v>0</v>
      </c>
    </row>
    <row r="180" spans="2:9">
      <c r="B180" t="s">
        <v>338</v>
      </c>
      <c r="C180">
        <f>T!C180</f>
        <v>0.30189928082198136</v>
      </c>
      <c r="D180">
        <f>T!D180</f>
        <v>0</v>
      </c>
      <c r="E180">
        <f>T!E180</f>
        <v>0</v>
      </c>
      <c r="F180">
        <f>T!F180</f>
        <v>-6.2526505463011972E-5</v>
      </c>
      <c r="G180">
        <f>T!G180</f>
        <v>0</v>
      </c>
      <c r="H180">
        <f>T!H180</f>
        <v>0</v>
      </c>
      <c r="I180">
        <f>T!N180</f>
        <v>0</v>
      </c>
    </row>
    <row r="181" spans="2:9">
      <c r="B181" t="s">
        <v>339</v>
      </c>
      <c r="C181">
        <f>T!C181</f>
        <v>0.36730779680366865</v>
      </c>
      <c r="D181">
        <f>T!D181</f>
        <v>0</v>
      </c>
      <c r="E181">
        <f>T!E181</f>
        <v>0</v>
      </c>
      <c r="F181">
        <f>T!F181</f>
        <v>-6.9725084234306678E-5</v>
      </c>
      <c r="G181">
        <f>T!G181</f>
        <v>0</v>
      </c>
      <c r="H181">
        <f>T!H181</f>
        <v>0</v>
      </c>
      <c r="I181">
        <f>T!N181</f>
        <v>0</v>
      </c>
    </row>
    <row r="182" spans="2:9">
      <c r="B182" t="s">
        <v>340</v>
      </c>
      <c r="C182">
        <f>T!C182</f>
        <v>0.28749655251141704</v>
      </c>
      <c r="D182">
        <f>T!D182</f>
        <v>0</v>
      </c>
      <c r="E182">
        <f>T!E182</f>
        <v>0</v>
      </c>
      <c r="F182">
        <f>T!F182</f>
        <v>-3.3825975634727001E-5</v>
      </c>
      <c r="G182">
        <f>T!G182</f>
        <v>0</v>
      </c>
      <c r="H182">
        <f>T!H182</f>
        <v>0</v>
      </c>
      <c r="I182">
        <f>T!N182</f>
        <v>0</v>
      </c>
    </row>
    <row r="183" spans="2:9">
      <c r="B183" t="s">
        <v>341</v>
      </c>
      <c r="C183">
        <f>T!C183</f>
        <v>-3.3900918367580601</v>
      </c>
      <c r="D183">
        <f>T!D183</f>
        <v>-3.3888888888888857</v>
      </c>
      <c r="E183">
        <f>T!E183</f>
        <v>-3.5</v>
      </c>
      <c r="F183">
        <f>T!F183</f>
        <v>-3.685407287967049</v>
      </c>
      <c r="G183">
        <f>T!G183</f>
        <v>-2.9838184931507072</v>
      </c>
      <c r="H183">
        <f>T!H183</f>
        <v>-1.129999999999999</v>
      </c>
      <c r="I183">
        <f>T!N183</f>
        <v>0</v>
      </c>
    </row>
    <row r="184" spans="2:9">
      <c r="B184" t="s">
        <v>342</v>
      </c>
      <c r="C184">
        <f>T!C184</f>
        <v>1.2445157952069188</v>
      </c>
      <c r="D184">
        <f>T!D184</f>
        <v>0.11111111111111072</v>
      </c>
      <c r="E184">
        <f>T!E184</f>
        <v>0.11111111111111072</v>
      </c>
      <c r="F184">
        <f>T!F184</f>
        <v>-2.2969494277099045E-2</v>
      </c>
      <c r="G184">
        <f>T!G184</f>
        <v>0</v>
      </c>
      <c r="H184">
        <f>T!H184</f>
        <v>0</v>
      </c>
      <c r="I184">
        <f>T!N184</f>
        <v>0</v>
      </c>
    </row>
    <row r="185" spans="2:9">
      <c r="B185" t="s">
        <v>345</v>
      </c>
      <c r="C185">
        <f>T!C185</f>
        <v>13.3271614098173</v>
      </c>
      <c r="D185">
        <f>T!D185</f>
        <v>13.611111111111111</v>
      </c>
      <c r="E185">
        <f>T!E185</f>
        <v>13.555555555555546</v>
      </c>
      <c r="F185">
        <f>T!F185</f>
        <v>13.502765643540672</v>
      </c>
      <c r="G185">
        <f>T!G185</f>
        <v>13.62885844748866</v>
      </c>
      <c r="H185">
        <f>T!H185</f>
        <v>15.8</v>
      </c>
      <c r="I185">
        <f>T!N185</f>
        <v>0</v>
      </c>
    </row>
    <row r="186" spans="2:9">
      <c r="B186" t="s">
        <v>346</v>
      </c>
      <c r="C186">
        <f>T!C186</f>
        <v>-0.20888162442924596</v>
      </c>
      <c r="D186">
        <f>T!D186</f>
        <v>-5.5555555555560687E-2</v>
      </c>
      <c r="E186">
        <f>T!E186</f>
        <v>0</v>
      </c>
      <c r="F186">
        <f>T!F186</f>
        <v>0.19140152601516291</v>
      </c>
      <c r="G186">
        <f>T!G186</f>
        <v>0</v>
      </c>
      <c r="H186">
        <f>T!H186</f>
        <v>0</v>
      </c>
      <c r="I186">
        <f>T!N186</f>
        <v>0</v>
      </c>
    </row>
    <row r="187" spans="2:9">
      <c r="B187" t="s">
        <v>347</v>
      </c>
      <c r="C187">
        <f>T!C187</f>
        <v>13.31593417237451</v>
      </c>
      <c r="D187">
        <f>T!D187</f>
        <v>13.555555555555561</v>
      </c>
      <c r="E187">
        <f>T!E187</f>
        <v>13.555555555555546</v>
      </c>
      <c r="F187">
        <f>T!F187</f>
        <v>13.520225258436518</v>
      </c>
      <c r="G187">
        <f>T!G187</f>
        <v>13.575986301369944</v>
      </c>
      <c r="H187">
        <f>T!H187</f>
        <v>15.71</v>
      </c>
      <c r="I187">
        <f>T!N187</f>
        <v>0</v>
      </c>
    </row>
    <row r="192" spans="2:9">
      <c r="B192" t="str">
        <f>T!B192</f>
        <v>Humidity Ratio (kg/kg)</v>
      </c>
      <c r="C192">
        <f>T!C192</f>
        <v>0</v>
      </c>
      <c r="D192">
        <f>T!D192</f>
        <v>0</v>
      </c>
      <c r="E192">
        <f>T!E192</f>
        <v>0</v>
      </c>
      <c r="F192">
        <f>T!F192</f>
        <v>0</v>
      </c>
      <c r="G192">
        <f>T!G192</f>
        <v>0</v>
      </c>
      <c r="H192">
        <f>T!H192</f>
        <v>0</v>
      </c>
      <c r="I192">
        <f>T!N192</f>
        <v>0</v>
      </c>
    </row>
    <row r="193" spans="2:9">
      <c r="B193">
        <f>T!B193</f>
        <v>0</v>
      </c>
      <c r="C193" t="str">
        <f>T!C193</f>
        <v>TRNSYS</v>
      </c>
      <c r="D193" t="str">
        <f>T!D193</f>
        <v>DOE-2.2</v>
      </c>
      <c r="E193" t="str">
        <f>T!E193</f>
        <v>DOE21E-E</v>
      </c>
      <c r="F193" t="str">
        <f>T!F193</f>
        <v>Energy+</v>
      </c>
      <c r="G193" t="str">
        <f>T!G193</f>
        <v>CODYRUN</v>
      </c>
      <c r="H193" t="str">
        <f>T!H193</f>
        <v>HOT3000</v>
      </c>
      <c r="I193">
        <f>T!N193</f>
        <v>0</v>
      </c>
    </row>
    <row r="194" spans="2:9">
      <c r="B194">
        <f>T!B194</f>
        <v>0</v>
      </c>
      <c r="C194" t="s">
        <v>569</v>
      </c>
      <c r="D194" t="s">
        <v>570</v>
      </c>
      <c r="E194" t="s">
        <v>573</v>
      </c>
      <c r="F194" t="s">
        <v>617</v>
      </c>
      <c r="G194" t="s">
        <v>571</v>
      </c>
      <c r="H194" t="s">
        <v>572</v>
      </c>
      <c r="I194" t="s">
        <v>522</v>
      </c>
    </row>
    <row r="195" spans="2:9">
      <c r="B195" t="s">
        <v>343</v>
      </c>
      <c r="C195">
        <f>T!C195</f>
        <v>2.0018038824201213E-3</v>
      </c>
      <c r="D195">
        <f>T!D195</f>
        <v>2.0999999999999994E-3</v>
      </c>
      <c r="E195">
        <f>T!E195</f>
        <v>2.0999999999999994E-3</v>
      </c>
      <c r="F195">
        <f>T!F195</f>
        <v>1.9881190888771418E-3</v>
      </c>
      <c r="G195">
        <f>T!G195</f>
        <v>1.9998186073059507E-3</v>
      </c>
      <c r="H195">
        <f>T!H195</f>
        <v>1.9000000000000006E-3</v>
      </c>
      <c r="I195">
        <f>T!N195</f>
        <v>0</v>
      </c>
    </row>
    <row r="196" spans="2:9">
      <c r="B196" t="s">
        <v>344</v>
      </c>
      <c r="C196">
        <f>T!C196</f>
        <v>9.189551221461395E-4</v>
      </c>
      <c r="D196">
        <f>T!D196</f>
        <v>8.9999999999999976E-4</v>
      </c>
      <c r="E196">
        <f>T!E196</f>
        <v>8.9999999999999976E-4</v>
      </c>
      <c r="F196">
        <f>T!F196</f>
        <v>8.7149856487888158E-4</v>
      </c>
      <c r="G196">
        <f>T!G196</f>
        <v>8.7437876712331483E-4</v>
      </c>
      <c r="H196">
        <f>T!H196</f>
        <v>7.0000000000000097E-4</v>
      </c>
      <c r="I196">
        <f>T!N196</f>
        <v>0</v>
      </c>
    </row>
    <row r="197" spans="2:9">
      <c r="B197" t="s">
        <v>334</v>
      </c>
      <c r="C197">
        <f>T!C197</f>
        <v>6.7186241552512523E-4</v>
      </c>
      <c r="D197">
        <f>T!D197</f>
        <v>7.0000000000000097E-4</v>
      </c>
      <c r="E197">
        <f>T!E197</f>
        <v>7.0000000000000097E-4</v>
      </c>
      <c r="F197">
        <f>T!F197</f>
        <v>7.1519293080870953E-4</v>
      </c>
      <c r="G197">
        <f>T!G197</f>
        <v>6.3678458904108982E-4</v>
      </c>
      <c r="H197">
        <f>T!H197</f>
        <v>7.0000000000000097E-4</v>
      </c>
      <c r="I197">
        <f>T!N197</f>
        <v>0</v>
      </c>
    </row>
    <row r="198" spans="2:9">
      <c r="B198" t="s">
        <v>453</v>
      </c>
      <c r="C198">
        <f>T!C198</f>
        <v>-2.4709270662101428E-4</v>
      </c>
      <c r="D198">
        <f>T!D198</f>
        <v>-1.9999999999999879E-4</v>
      </c>
      <c r="E198">
        <f>T!E198</f>
        <v>-1.9999999999999879E-4</v>
      </c>
      <c r="F198">
        <f>T!F198</f>
        <v>-1.5630563407017205E-4</v>
      </c>
      <c r="G198">
        <f>T!G198</f>
        <v>-2.3759417808222501E-4</v>
      </c>
      <c r="H198">
        <f>T!H198</f>
        <v>0</v>
      </c>
      <c r="I198">
        <f>T!N198</f>
        <v>0</v>
      </c>
    </row>
    <row r="199" spans="2:9">
      <c r="B199" t="s">
        <v>454</v>
      </c>
      <c r="C199">
        <f>T!C199</f>
        <v>7.2232370091324279E-4</v>
      </c>
      <c r="D199">
        <f>T!D199</f>
        <v>7.0000000000000097E-4</v>
      </c>
      <c r="E199">
        <f>T!E199</f>
        <v>7.0000000000000097E-4</v>
      </c>
      <c r="F199">
        <f>T!F199</f>
        <v>7.3674821021327795E-4</v>
      </c>
      <c r="G199">
        <f>T!G199</f>
        <v>6.9351347031964584E-4</v>
      </c>
      <c r="H199">
        <f>T!H199</f>
        <v>7.0000000000000097E-4</v>
      </c>
      <c r="I199">
        <f>T!N199</f>
        <v>0</v>
      </c>
    </row>
    <row r="200" spans="2:9">
      <c r="B200" t="s">
        <v>455</v>
      </c>
      <c r="C200">
        <f>T!C200</f>
        <v>-5.046128538811756E-5</v>
      </c>
      <c r="D200">
        <f>T!D200</f>
        <v>0</v>
      </c>
      <c r="E200">
        <f>T!E200</f>
        <v>0</v>
      </c>
      <c r="F200">
        <f>T!F200</f>
        <v>-2.1555279404568417E-5</v>
      </c>
      <c r="G200">
        <f>T!G200</f>
        <v>-5.672888127855602E-5</v>
      </c>
      <c r="H200">
        <f>T!H200</f>
        <v>0</v>
      </c>
      <c r="I200">
        <f>T!N200</f>
        <v>0</v>
      </c>
    </row>
    <row r="201" spans="2:9">
      <c r="B201" t="s">
        <v>335</v>
      </c>
      <c r="C201">
        <f>T!C201</f>
        <v>6.3684866095889241E-4</v>
      </c>
      <c r="D201">
        <f>T!D201</f>
        <v>8.0000000000000036E-4</v>
      </c>
      <c r="E201">
        <f>T!E201</f>
        <v>8.0000000000000036E-4</v>
      </c>
      <c r="F201">
        <f>T!F201</f>
        <v>6.3099153733846974E-4</v>
      </c>
      <c r="G201">
        <f>T!G201</f>
        <v>5.8372796803650775E-4</v>
      </c>
      <c r="H201">
        <f>T!H201</f>
        <v>5.6999999999999933E-4</v>
      </c>
      <c r="I201">
        <f>T!N201</f>
        <v>0</v>
      </c>
    </row>
    <row r="202" spans="2:9">
      <c r="B202" t="s">
        <v>472</v>
      </c>
      <c r="C202">
        <f>T!C202</f>
        <v>-5.6960109246573763E-4</v>
      </c>
      <c r="D202">
        <f>T!D202</f>
        <v>-5.0000000000000044E-4</v>
      </c>
      <c r="E202">
        <f>T!E202</f>
        <v>-5.0000000000000044E-4</v>
      </c>
      <c r="F202">
        <f>T!F202</f>
        <v>-5.59090523765347E-4</v>
      </c>
      <c r="G202">
        <f>T!G202</f>
        <v>-6.2237066210045662E-4</v>
      </c>
      <c r="H202">
        <f>T!H202</f>
        <v>-6.1999999999999902E-4</v>
      </c>
      <c r="I202">
        <f>T!N202</f>
        <v>0</v>
      </c>
    </row>
    <row r="203" spans="2:9">
      <c r="B203" t="s">
        <v>336</v>
      </c>
      <c r="C203">
        <f>T!C203</f>
        <v>7.3206289269409086E-4</v>
      </c>
      <c r="D203">
        <f>T!D203</f>
        <v>8.0000000000000036E-4</v>
      </c>
      <c r="E203">
        <f>T!E203</f>
        <v>8.0000000000000036E-4</v>
      </c>
      <c r="F203">
        <f>T!F203</f>
        <v>8.7651396751430369E-4</v>
      </c>
      <c r="G203">
        <f>T!G203</f>
        <v>0</v>
      </c>
      <c r="H203">
        <f>T!H203</f>
        <v>8.0000000000000036E-4</v>
      </c>
      <c r="I203">
        <f>T!N203</f>
        <v>0</v>
      </c>
    </row>
    <row r="204" spans="2:9">
      <c r="B204" t="s">
        <v>337</v>
      </c>
      <c r="C204">
        <f>T!C204</f>
        <v>6.7139499086758814E-4</v>
      </c>
      <c r="D204">
        <f>T!D204</f>
        <v>2.9999999999999992E-4</v>
      </c>
      <c r="E204">
        <f>T!E204</f>
        <v>2.9999999999999992E-4</v>
      </c>
      <c r="F204">
        <f>T!F204</f>
        <v>0</v>
      </c>
      <c r="G204">
        <f>T!G204</f>
        <v>0</v>
      </c>
      <c r="H204">
        <f>T!H204</f>
        <v>2.9999999999999992E-4</v>
      </c>
      <c r="I204">
        <f>T!N204</f>
        <v>0</v>
      </c>
    </row>
    <row r="205" spans="2:9">
      <c r="B205" t="s">
        <v>338</v>
      </c>
      <c r="C205">
        <f>T!C205</f>
        <v>1.948053356164315E-4</v>
      </c>
      <c r="D205">
        <f>T!D205</f>
        <v>2.0000000000000052E-4</v>
      </c>
      <c r="E205">
        <f>T!E205</f>
        <v>2.0000000000000052E-4</v>
      </c>
      <c r="F205">
        <f>T!F205</f>
        <v>1.8217592191088067E-4</v>
      </c>
      <c r="G205">
        <f>T!G205</f>
        <v>0</v>
      </c>
      <c r="H205">
        <f>T!H205</f>
        <v>9.9999999999999395E-5</v>
      </c>
      <c r="I205">
        <f>T!N205</f>
        <v>0</v>
      </c>
    </row>
    <row r="206" spans="2:9">
      <c r="B206" t="s">
        <v>339</v>
      </c>
      <c r="C206">
        <f>T!C206</f>
        <v>2.4119457648403946E-4</v>
      </c>
      <c r="D206">
        <f>T!D206</f>
        <v>2.0000000000000052E-4</v>
      </c>
      <c r="E206">
        <f>T!E206</f>
        <v>2.0000000000000052E-4</v>
      </c>
      <c r="F206">
        <f>T!F206</f>
        <v>2.2162878483350697E-4</v>
      </c>
      <c r="G206">
        <f>T!G206</f>
        <v>0</v>
      </c>
      <c r="H206">
        <f>T!H206</f>
        <v>2.0000000000000052E-4</v>
      </c>
      <c r="I206">
        <f>T!N206</f>
        <v>0</v>
      </c>
    </row>
    <row r="207" spans="2:9">
      <c r="B207" t="s">
        <v>340</v>
      </c>
      <c r="C207">
        <f>T!C207</f>
        <v>8.8737745433848519E-5</v>
      </c>
      <c r="D207">
        <f>T!D207</f>
        <v>9.9999999999999395E-5</v>
      </c>
      <c r="E207">
        <f>T!E207</f>
        <v>9.9999999999999395E-5</v>
      </c>
      <c r="F207">
        <f>T!F207</f>
        <v>6.5315778344969891E-5</v>
      </c>
      <c r="G207">
        <f>T!G207</f>
        <v>0</v>
      </c>
      <c r="H207">
        <f>T!H207</f>
        <v>0</v>
      </c>
      <c r="I207">
        <f>T!N207</f>
        <v>0</v>
      </c>
    </row>
    <row r="208" spans="2:9">
      <c r="B208" t="s">
        <v>341</v>
      </c>
      <c r="C208">
        <f>T!C208</f>
        <v>7.0621746232890983E-4</v>
      </c>
      <c r="D208">
        <f>T!D208</f>
        <v>0</v>
      </c>
      <c r="E208">
        <f>T!E208</f>
        <v>0</v>
      </c>
      <c r="F208">
        <f>T!F208</f>
        <v>-1.9753348091282319E-5</v>
      </c>
      <c r="G208">
        <f>T!G208</f>
        <v>1.0434691780819433E-3</v>
      </c>
      <c r="H208">
        <f>T!H208</f>
        <v>1.4999999999999996E-3</v>
      </c>
      <c r="I208">
        <f>T!N208</f>
        <v>0</v>
      </c>
    </row>
    <row r="209" spans="2:9">
      <c r="B209" t="s">
        <v>342</v>
      </c>
      <c r="C209">
        <f>T!C209</f>
        <v>3.7456849128538784E-4</v>
      </c>
      <c r="D209">
        <f>T!D209</f>
        <v>0</v>
      </c>
      <c r="E209">
        <f>T!E209</f>
        <v>0</v>
      </c>
      <c r="F209">
        <f>T!F209</f>
        <v>8.37685486957708E-6</v>
      </c>
      <c r="G209">
        <f>T!G209</f>
        <v>-8.8997821353319073E-7</v>
      </c>
      <c r="H209">
        <f>T!H209</f>
        <v>0</v>
      </c>
      <c r="I209">
        <f>T!N209</f>
        <v>0</v>
      </c>
    </row>
    <row r="210" spans="2:9">
      <c r="B210" t="s">
        <v>345</v>
      </c>
      <c r="C210">
        <f>T!C210</f>
        <v>7.0203072796806484E-3</v>
      </c>
      <c r="D210">
        <f>T!D210</f>
        <v>0</v>
      </c>
      <c r="E210">
        <f>T!E210</f>
        <v>0</v>
      </c>
      <c r="F210">
        <f>T!F210</f>
        <v>7.3646007556345296E-3</v>
      </c>
      <c r="G210">
        <f>T!G210</f>
        <v>6.9569328767116667E-3</v>
      </c>
      <c r="H210">
        <f>T!H210</f>
        <v>7.4700000000000009E-3</v>
      </c>
      <c r="I210">
        <f>T!N210</f>
        <v>0</v>
      </c>
    </row>
    <row r="211" spans="2:9">
      <c r="B211" t="s">
        <v>346</v>
      </c>
      <c r="C211">
        <f>T!C211</f>
        <v>-3.5487509520560241E-3</v>
      </c>
      <c r="D211">
        <f>T!D211</f>
        <v>0</v>
      </c>
      <c r="E211">
        <f>T!E211</f>
        <v>0</v>
      </c>
      <c r="F211">
        <f>T!F211</f>
        <v>-2.6608656183615556E-3</v>
      </c>
      <c r="G211">
        <f>T!G211</f>
        <v>-4.4207799086762129E-3</v>
      </c>
      <c r="H211">
        <f>T!H211</f>
        <v>-4.0299999999999997E-3</v>
      </c>
      <c r="I211">
        <f>T!N211</f>
        <v>0</v>
      </c>
    </row>
    <row r="212" spans="2:9">
      <c r="B212" t="s">
        <v>347</v>
      </c>
      <c r="C212">
        <f>T!C212</f>
        <v>1.766440163240555E-3</v>
      </c>
      <c r="D212">
        <f>T!D212</f>
        <v>0</v>
      </c>
      <c r="E212">
        <f>T!E212</f>
        <v>0</v>
      </c>
      <c r="F212">
        <f>T!F212</f>
        <v>2.4077235955689315E-3</v>
      </c>
      <c r="G212">
        <f>T!G212</f>
        <v>2.8944619863000192E-3</v>
      </c>
      <c r="H212">
        <f>T!H212</f>
        <v>2.5900000000000003E-3</v>
      </c>
      <c r="I212">
        <f>T!N212</f>
        <v>0</v>
      </c>
    </row>
    <row r="213" spans="2:9">
      <c r="B213" t="str">
        <f>T!B213</f>
        <v>Relative Humidity (%)</v>
      </c>
      <c r="C213">
        <f>T!C213</f>
        <v>0</v>
      </c>
      <c r="D213">
        <f>T!D213</f>
        <v>0</v>
      </c>
      <c r="E213">
        <f>T!E213</f>
        <v>0</v>
      </c>
      <c r="F213">
        <f>T!F213</f>
        <v>0</v>
      </c>
      <c r="G213">
        <f>T!G213</f>
        <v>0</v>
      </c>
      <c r="H213">
        <f>T!H213</f>
        <v>0</v>
      </c>
      <c r="I213">
        <f>T!N213</f>
        <v>0</v>
      </c>
    </row>
    <row r="214" spans="2:9">
      <c r="B214">
        <f>T!B214</f>
        <v>0</v>
      </c>
      <c r="C214" t="str">
        <f>T!C214</f>
        <v>TRNSYS</v>
      </c>
      <c r="D214" t="str">
        <f>T!D214</f>
        <v>DOE-2.2</v>
      </c>
      <c r="E214" t="str">
        <f>T!E214</f>
        <v>DOE21E-E</v>
      </c>
      <c r="F214" t="str">
        <f>T!F214</f>
        <v>Energy+</v>
      </c>
      <c r="G214" t="str">
        <f>T!G214</f>
        <v>CODYRUN</v>
      </c>
      <c r="H214" t="str">
        <f>T!H214</f>
        <v>HOT3000</v>
      </c>
      <c r="I214">
        <f>T!N214</f>
        <v>0</v>
      </c>
    </row>
    <row r="215" spans="2:9">
      <c r="B215">
        <f>T!B215</f>
        <v>0</v>
      </c>
      <c r="C215" t="s">
        <v>569</v>
      </c>
      <c r="D215" t="s">
        <v>570</v>
      </c>
      <c r="E215" t="s">
        <v>573</v>
      </c>
      <c r="F215" t="s">
        <v>617</v>
      </c>
      <c r="G215" t="s">
        <v>571</v>
      </c>
      <c r="H215" t="s">
        <v>572</v>
      </c>
      <c r="I215" t="s">
        <v>522</v>
      </c>
    </row>
    <row r="216" spans="2:9">
      <c r="B216" t="s">
        <v>343</v>
      </c>
      <c r="C216">
        <f>T!C216</f>
        <v>9.71584081050176</v>
      </c>
      <c r="D216">
        <f>T!D216</f>
        <v>10.25</v>
      </c>
      <c r="E216">
        <f>T!E216</f>
        <v>10.25</v>
      </c>
      <c r="F216">
        <f>T!F216</f>
        <v>10.016303972415322</v>
      </c>
      <c r="G216">
        <f>T!G216</f>
        <v>10.014840182646743</v>
      </c>
      <c r="H216">
        <f>T!H216</f>
        <v>9.8699999999999974</v>
      </c>
      <c r="I216">
        <f>T!N216</f>
        <v>0</v>
      </c>
    </row>
    <row r="217" spans="2:9">
      <c r="B217" t="s">
        <v>344</v>
      </c>
      <c r="C217">
        <f>T!C217</f>
        <v>3.3904429109588961</v>
      </c>
      <c r="D217">
        <f>T!D217</f>
        <v>2.9500000000000028</v>
      </c>
      <c r="E217">
        <f>T!E217</f>
        <v>2.9699999999999989</v>
      </c>
      <c r="F217">
        <f>T!F217</f>
        <v>3.5083361998683955</v>
      </c>
      <c r="G217">
        <f>T!G217</f>
        <v>3.2772831050228106</v>
      </c>
      <c r="H217">
        <f>T!H217</f>
        <v>2.009999999999998</v>
      </c>
      <c r="I217">
        <f>T!N217</f>
        <v>0</v>
      </c>
    </row>
    <row r="218" spans="2:9">
      <c r="B218" t="s">
        <v>334</v>
      </c>
      <c r="C218">
        <f>T!C218</f>
        <v>2.2296104452054237</v>
      </c>
      <c r="D218">
        <f>T!D218</f>
        <v>2.3200000000000003</v>
      </c>
      <c r="E218">
        <f>T!E218</f>
        <v>2.3699999999999974</v>
      </c>
      <c r="F218">
        <f>T!F218</f>
        <v>2.6617427477498623</v>
      </c>
      <c r="G218">
        <f>T!G218</f>
        <v>2.2586757990866175</v>
      </c>
      <c r="H218">
        <f>T!H218</f>
        <v>2.7700000000000031</v>
      </c>
      <c r="I218">
        <f>T!N218</f>
        <v>0</v>
      </c>
    </row>
    <row r="219" spans="2:9">
      <c r="B219" t="s">
        <v>453</v>
      </c>
      <c r="C219">
        <f>T!C219</f>
        <v>-1.1608324657534723</v>
      </c>
      <c r="D219">
        <f>T!D219</f>
        <v>-0.63000000000000256</v>
      </c>
      <c r="E219">
        <f>T!E219</f>
        <v>-0.60000000000000142</v>
      </c>
      <c r="F219">
        <f>T!F219</f>
        <v>-0.84659345211853321</v>
      </c>
      <c r="G219">
        <f>T!G219</f>
        <v>-1.0186073059361931</v>
      </c>
      <c r="H219">
        <f>T!H219</f>
        <v>0.76000000000000512</v>
      </c>
      <c r="I219">
        <f>T!N219</f>
        <v>0</v>
      </c>
    </row>
    <row r="220" spans="2:9">
      <c r="B220" t="s">
        <v>454</v>
      </c>
      <c r="C220">
        <f>T!C220</f>
        <v>2.4701719406391831</v>
      </c>
      <c r="D220">
        <f>T!D220</f>
        <v>2.4299999999999997</v>
      </c>
      <c r="E220">
        <f>T!E220</f>
        <v>2.4499999999999957</v>
      </c>
      <c r="F220">
        <f>T!F220</f>
        <v>2.7026421637180604</v>
      </c>
      <c r="G220">
        <f>T!G220</f>
        <v>2.470547945205503</v>
      </c>
      <c r="H220">
        <f>T!H220</f>
        <v>2.8500000000000014</v>
      </c>
      <c r="I220">
        <f>T!N220</f>
        <v>0</v>
      </c>
    </row>
    <row r="221" spans="2:9">
      <c r="B221" t="s">
        <v>455</v>
      </c>
      <c r="C221">
        <f>T!C221</f>
        <v>-0.24056149543375938</v>
      </c>
      <c r="D221">
        <f>T!D221</f>
        <v>-0.10999999999999943</v>
      </c>
      <c r="E221">
        <f>T!E221</f>
        <v>-7.9999999999998295E-2</v>
      </c>
      <c r="F221">
        <f>T!F221</f>
        <v>-4.0899415968198127E-2</v>
      </c>
      <c r="G221">
        <f>T!G221</f>
        <v>-0.2118721461188855</v>
      </c>
      <c r="H221">
        <f>T!H221</f>
        <v>-7.9999999999998295E-2</v>
      </c>
      <c r="I221">
        <f>T!N221</f>
        <v>0</v>
      </c>
    </row>
    <row r="222" spans="2:9">
      <c r="B222" t="s">
        <v>335</v>
      </c>
      <c r="C222">
        <f>T!C222</f>
        <v>-3.1309044748858241</v>
      </c>
      <c r="D222">
        <f>T!D222</f>
        <v>-2.8099999999999952</v>
      </c>
      <c r="E222">
        <f>T!E222</f>
        <v>-2.730000000000004</v>
      </c>
      <c r="F222">
        <f>T!F222</f>
        <v>-3.3505316843834692</v>
      </c>
      <c r="G222">
        <f>T!G222</f>
        <v>-3.5099315068494761</v>
      </c>
      <c r="H222">
        <f>T!H222</f>
        <v>-3.3699999999999974</v>
      </c>
      <c r="I222">
        <f>T!N222</f>
        <v>0</v>
      </c>
    </row>
    <row r="223" spans="2:9">
      <c r="B223" t="s">
        <v>472</v>
      </c>
      <c r="C223">
        <f>T!C223</f>
        <v>-7.5813861187215963</v>
      </c>
      <c r="D223">
        <f>T!D223</f>
        <v>-6.769999999999996</v>
      </c>
      <c r="E223">
        <f>T!E223</f>
        <v>-6.7899999999999991</v>
      </c>
      <c r="F223">
        <f>T!F223</f>
        <v>-6.5810420142511532</v>
      </c>
      <c r="G223">
        <f>T!G223</f>
        <v>-6.9551369862997703</v>
      </c>
      <c r="H223">
        <f>T!H223</f>
        <v>-6.7199999999999989</v>
      </c>
      <c r="I223">
        <f>T!N223</f>
        <v>0</v>
      </c>
    </row>
    <row r="224" spans="2:9">
      <c r="B224" t="s">
        <v>336</v>
      </c>
      <c r="C224">
        <f>T!C224</f>
        <v>2.1560376255706188</v>
      </c>
      <c r="D224">
        <f>T!D224</f>
        <v>3.9500000000000028</v>
      </c>
      <c r="E224">
        <f>T!E224</f>
        <v>3.9699999999999989</v>
      </c>
      <c r="F224">
        <f>T!F224</f>
        <v>4.3298394843467491</v>
      </c>
      <c r="G224">
        <f>T!G224</f>
        <v>0</v>
      </c>
      <c r="H224">
        <f>T!H224</f>
        <v>4.0799999999999983</v>
      </c>
      <c r="I224">
        <f>T!N224</f>
        <v>0</v>
      </c>
    </row>
    <row r="225" spans="2:9">
      <c r="B225" t="s">
        <v>337</v>
      </c>
      <c r="C225">
        <f>T!C225</f>
        <v>1.8822388470317151</v>
      </c>
      <c r="D225">
        <f>T!D225</f>
        <v>1.3900000000000006</v>
      </c>
      <c r="E225">
        <f>T!E225</f>
        <v>1.3500000000000014</v>
      </c>
      <c r="F225">
        <f>T!F225</f>
        <v>0</v>
      </c>
      <c r="G225">
        <f>T!G225</f>
        <v>0</v>
      </c>
      <c r="H225">
        <f>T!H225</f>
        <v>1.8200000000000003</v>
      </c>
      <c r="I225">
        <f>T!N225</f>
        <v>0</v>
      </c>
    </row>
    <row r="226" spans="2:9">
      <c r="B226" t="s">
        <v>338</v>
      </c>
      <c r="C226">
        <f>T!C226</f>
        <v>0.164507899543473</v>
      </c>
      <c r="D226">
        <f>T!D226</f>
        <v>0.88000000000000256</v>
      </c>
      <c r="E226">
        <f>T!E226</f>
        <v>0.68999999999999773</v>
      </c>
      <c r="F226">
        <f>T!F226</f>
        <v>0.90472324323579301</v>
      </c>
      <c r="G226">
        <f>T!G226</f>
        <v>0</v>
      </c>
      <c r="H226">
        <f>T!H226</f>
        <v>0.82999999999999829</v>
      </c>
      <c r="I226">
        <f>T!N226</f>
        <v>0</v>
      </c>
    </row>
    <row r="227" spans="2:9">
      <c r="B227" t="s">
        <v>339</v>
      </c>
      <c r="C227">
        <f>T!C227</f>
        <v>0.20708473744288369</v>
      </c>
      <c r="D227">
        <f>T!D227</f>
        <v>0.91000000000000369</v>
      </c>
      <c r="E227">
        <f>T!E227</f>
        <v>1.019999999999996</v>
      </c>
      <c r="F227">
        <f>T!F227</f>
        <v>1.0996807144149443</v>
      </c>
      <c r="G227">
        <f>T!G227</f>
        <v>0</v>
      </c>
      <c r="H227">
        <f>T!H227</f>
        <v>1.240000000000002</v>
      </c>
      <c r="I227">
        <f>T!N227</f>
        <v>0</v>
      </c>
    </row>
    <row r="228" spans="2:9">
      <c r="B228" t="s">
        <v>340</v>
      </c>
      <c r="C228">
        <f>T!C228</f>
        <v>-0.28509143835612605</v>
      </c>
      <c r="D228">
        <f>T!D228</f>
        <v>0.20000000000000284</v>
      </c>
      <c r="E228">
        <f>T!E228</f>
        <v>0.28999999999999915</v>
      </c>
      <c r="F228">
        <f>T!F228</f>
        <v>0.32416350654671078</v>
      </c>
      <c r="G228">
        <f>T!G228</f>
        <v>0</v>
      </c>
      <c r="H228">
        <f>T!H228</f>
        <v>0.29999999999999716</v>
      </c>
      <c r="I228">
        <f>T!N228</f>
        <v>0</v>
      </c>
    </row>
    <row r="229" spans="2:9">
      <c r="B229" t="s">
        <v>341</v>
      </c>
      <c r="C229">
        <f>T!C229</f>
        <v>17.911262100456398</v>
      </c>
      <c r="D229">
        <f>T!D229</f>
        <v>0</v>
      </c>
      <c r="E229">
        <f>T!E229</f>
        <v>0</v>
      </c>
      <c r="F229">
        <f>T!F229</f>
        <v>9.9914558361476011</v>
      </c>
      <c r="G229">
        <f>T!G229</f>
        <v>18.115753424659552</v>
      </c>
      <c r="H229">
        <f>T!H229</f>
        <v>15.799999999999997</v>
      </c>
      <c r="I229">
        <f>T!N229</f>
        <v>0</v>
      </c>
    </row>
    <row r="230" spans="2:9">
      <c r="B230" t="s">
        <v>342</v>
      </c>
      <c r="C230">
        <f>T!C230</f>
        <v>-2.3475590686273549</v>
      </c>
      <c r="D230">
        <f>T!D230</f>
        <v>0</v>
      </c>
      <c r="E230">
        <f>T!E230</f>
        <v>0</v>
      </c>
      <c r="F230">
        <f>T!F230</f>
        <v>0.11781526126443254</v>
      </c>
      <c r="G230">
        <f>T!G230</f>
        <v>-1.0620915032731659E-2</v>
      </c>
      <c r="H230">
        <f>T!H230</f>
        <v>0.10999999999999943</v>
      </c>
      <c r="I230">
        <f>T!N230</f>
        <v>0</v>
      </c>
    </row>
    <row r="231" spans="2:9">
      <c r="B231" t="s">
        <v>345</v>
      </c>
      <c r="C231">
        <f>T!C231</f>
        <v>-8.4070569178079779</v>
      </c>
      <c r="D231">
        <f>T!D231</f>
        <v>0</v>
      </c>
      <c r="E231">
        <f>T!E231</f>
        <v>0</v>
      </c>
      <c r="F231">
        <f>T!F231</f>
        <v>-7.2115222511503916</v>
      </c>
      <c r="G231">
        <f>T!G231</f>
        <v>-10.088127853884934</v>
      </c>
      <c r="H231">
        <f>T!H231</f>
        <v>-14.800000000000004</v>
      </c>
      <c r="I231">
        <f>T!N231</f>
        <v>0</v>
      </c>
    </row>
    <row r="232" spans="2:9">
      <c r="B232" t="s">
        <v>346</v>
      </c>
      <c r="C232">
        <f>T!C232</f>
        <v>-19.79618232876696</v>
      </c>
      <c r="D232">
        <f>T!D232</f>
        <v>0</v>
      </c>
      <c r="E232">
        <f>T!E232</f>
        <v>0</v>
      </c>
      <c r="F232">
        <f>T!F232</f>
        <v>-10.40469219254431</v>
      </c>
      <c r="G232">
        <f>T!G232</f>
        <v>-24.490296803649507</v>
      </c>
      <c r="H232">
        <f>T!H232</f>
        <v>-24.129999999999995</v>
      </c>
      <c r="I232">
        <f>T!N232</f>
        <v>0</v>
      </c>
    </row>
    <row r="233" spans="2:9">
      <c r="B233" t="s">
        <v>347</v>
      </c>
      <c r="C233">
        <f>T!C233</f>
        <v>-11.896106038813087</v>
      </c>
      <c r="D233">
        <f>T!D233</f>
        <v>0</v>
      </c>
      <c r="E233">
        <f>T!E233</f>
        <v>0</v>
      </c>
      <c r="F233">
        <f>T!F233</f>
        <v>-7.5468826748804503</v>
      </c>
      <c r="G233">
        <f>T!G233</f>
        <v>-3.17625570775607</v>
      </c>
      <c r="H233">
        <f>T!H233</f>
        <v>-14.620000000000001</v>
      </c>
      <c r="I233">
        <f>T!N233</f>
        <v>0</v>
      </c>
    </row>
    <row r="242" spans="2:9">
      <c r="B242" t="str">
        <f>T!B242</f>
        <v>Delta Hourly Integrated Maximum Total Consumptions</v>
      </c>
      <c r="C242">
        <f>T!C242</f>
        <v>0</v>
      </c>
      <c r="D242">
        <f>T!D242</f>
        <v>0</v>
      </c>
      <c r="E242">
        <f>T!E242</f>
        <v>0</v>
      </c>
      <c r="F242">
        <f>T!F242</f>
        <v>0</v>
      </c>
      <c r="G242">
        <f>T!G242</f>
        <v>0</v>
      </c>
      <c r="H242">
        <f>T!H242</f>
        <v>0</v>
      </c>
      <c r="I242">
        <f>T!N242</f>
        <v>0</v>
      </c>
    </row>
    <row r="243" spans="2:9">
      <c r="B243" t="str">
        <f>T!B243</f>
        <v>Total Consumption (Wh,e)</v>
      </c>
      <c r="C243">
        <f>T!C243</f>
        <v>0</v>
      </c>
      <c r="D243">
        <f>T!D243</f>
        <v>0</v>
      </c>
      <c r="E243">
        <f>T!E243</f>
        <v>0</v>
      </c>
      <c r="F243">
        <f>T!F243</f>
        <v>0</v>
      </c>
      <c r="G243">
        <f>T!G243</f>
        <v>0</v>
      </c>
      <c r="H243">
        <f>T!H243</f>
        <v>0</v>
      </c>
      <c r="I243">
        <f>T!N243</f>
        <v>0</v>
      </c>
    </row>
    <row r="244" spans="2:9">
      <c r="B244">
        <f>T!B244</f>
        <v>0</v>
      </c>
      <c r="C244" t="str">
        <f>T!C244</f>
        <v>TRNSYS</v>
      </c>
      <c r="D244" t="str">
        <f>T!D244</f>
        <v>DOE-2.2</v>
      </c>
      <c r="E244" t="str">
        <f>T!E244</f>
        <v>DOE21E-E</v>
      </c>
      <c r="F244" t="str">
        <f>T!F244</f>
        <v>Energy+</v>
      </c>
      <c r="G244" t="str">
        <f>T!G244</f>
        <v>CODYRUN</v>
      </c>
      <c r="H244" t="str">
        <f>T!H244</f>
        <v>HOT3000</v>
      </c>
      <c r="I244">
        <f>T!N244</f>
        <v>0</v>
      </c>
    </row>
    <row r="245" spans="2:9">
      <c r="B245">
        <f>T!B245</f>
        <v>0</v>
      </c>
      <c r="C245" t="s">
        <v>569</v>
      </c>
      <c r="D245" t="s">
        <v>570</v>
      </c>
      <c r="E245" t="s">
        <v>573</v>
      </c>
      <c r="F245" t="s">
        <v>617</v>
      </c>
      <c r="G245" t="s">
        <v>571</v>
      </c>
      <c r="H245" t="s">
        <v>572</v>
      </c>
      <c r="I245" t="s">
        <v>522</v>
      </c>
    </row>
    <row r="246" spans="2:9">
      <c r="B246" t="s">
        <v>343</v>
      </c>
      <c r="C246">
        <f>T!C246</f>
        <v>968.3644875039754</v>
      </c>
      <c r="D246">
        <f>T!D246</f>
        <v>1019</v>
      </c>
      <c r="E246">
        <f>T!E246</f>
        <v>993</v>
      </c>
      <c r="F246">
        <f>T!F246</f>
        <v>576.37039825340071</v>
      </c>
      <c r="G246">
        <f>T!G246</f>
        <v>721</v>
      </c>
      <c r="H246">
        <f>T!H246</f>
        <v>614</v>
      </c>
      <c r="I246">
        <f>T!N246</f>
        <v>0</v>
      </c>
    </row>
    <row r="247" spans="2:9">
      <c r="B247" t="s">
        <v>344</v>
      </c>
      <c r="C247">
        <f>T!C247</f>
        <v>1402.1615356183192</v>
      </c>
      <c r="D247">
        <f>T!D247</f>
        <v>1352</v>
      </c>
      <c r="E247">
        <f>T!E247</f>
        <v>1379</v>
      </c>
      <c r="F247">
        <f>T!F247</f>
        <v>993.1302551726003</v>
      </c>
      <c r="G247">
        <f>T!G247</f>
        <v>1172</v>
      </c>
      <c r="H247">
        <f>T!H247</f>
        <v>1327</v>
      </c>
      <c r="I247">
        <f>T!N247</f>
        <v>0</v>
      </c>
    </row>
    <row r="248" spans="2:9">
      <c r="B248" t="s">
        <v>334</v>
      </c>
      <c r="C248">
        <f>T!C248</f>
        <v>1720.6639535603426</v>
      </c>
      <c r="D248">
        <f>T!D248</f>
        <v>1648</v>
      </c>
      <c r="E248">
        <f>T!E248</f>
        <v>1805</v>
      </c>
      <c r="F248">
        <f>T!F248</f>
        <v>1360.5259578706009</v>
      </c>
      <c r="G248">
        <f>T!G248</f>
        <v>1535</v>
      </c>
      <c r="H248">
        <f>T!H248</f>
        <v>1787</v>
      </c>
      <c r="I248">
        <f>T!N248</f>
        <v>0</v>
      </c>
    </row>
    <row r="249" spans="2:9">
      <c r="B249" t="s">
        <v>453</v>
      </c>
      <c r="C249">
        <f>T!C249</f>
        <v>318.50241794202338</v>
      </c>
      <c r="D249">
        <f>T!D249</f>
        <v>296</v>
      </c>
      <c r="E249">
        <f>T!E249</f>
        <v>426</v>
      </c>
      <c r="F249">
        <f>T!F249</f>
        <v>367.3957026980006</v>
      </c>
      <c r="G249">
        <f>T!G249</f>
        <v>363</v>
      </c>
      <c r="H249">
        <f>T!H249</f>
        <v>460</v>
      </c>
      <c r="I249">
        <f>T!N249</f>
        <v>0</v>
      </c>
    </row>
    <row r="250" spans="2:9">
      <c r="B250" t="s">
        <v>454</v>
      </c>
      <c r="C250">
        <f>T!C250</f>
        <v>1554.8647652256695</v>
      </c>
      <c r="D250">
        <f>T!D250</f>
        <v>1594</v>
      </c>
      <c r="E250">
        <f>T!E250</f>
        <v>1588</v>
      </c>
      <c r="F250">
        <f>T!F250</f>
        <v>1179.2168695704004</v>
      </c>
      <c r="G250">
        <f>T!G250</f>
        <v>1345</v>
      </c>
      <c r="H250">
        <f>T!H250</f>
        <v>1553</v>
      </c>
      <c r="I250">
        <f>T!N250</f>
        <v>0</v>
      </c>
    </row>
    <row r="251" spans="2:9">
      <c r="B251" t="s">
        <v>455</v>
      </c>
      <c r="C251">
        <f>T!C251</f>
        <v>165.79918833467309</v>
      </c>
      <c r="D251">
        <f>T!D251</f>
        <v>54</v>
      </c>
      <c r="E251">
        <f>T!E251</f>
        <v>217</v>
      </c>
      <c r="F251">
        <f>T!F251</f>
        <v>181.30908830020053</v>
      </c>
      <c r="G251">
        <f>T!G251</f>
        <v>190</v>
      </c>
      <c r="H251">
        <f>T!H251</f>
        <v>234</v>
      </c>
      <c r="I251">
        <f>T!N251</f>
        <v>0</v>
      </c>
    </row>
    <row r="252" spans="2:9">
      <c r="B252" t="s">
        <v>335</v>
      </c>
      <c r="C252">
        <f>T!C252</f>
        <v>0.85194168084126431</v>
      </c>
      <c r="D252">
        <f>T!D252</f>
        <v>90</v>
      </c>
      <c r="E252">
        <f>T!E252</f>
        <v>0</v>
      </c>
      <c r="F252">
        <f>T!F252</f>
        <v>-7.2418474992446136E-3</v>
      </c>
      <c r="G252">
        <f>T!G252</f>
        <v>0</v>
      </c>
      <c r="H252">
        <f>T!H252</f>
        <v>-2</v>
      </c>
      <c r="I252">
        <f>T!N252</f>
        <v>0</v>
      </c>
    </row>
    <row r="253" spans="2:9">
      <c r="B253" t="s">
        <v>472</v>
      </c>
      <c r="C253">
        <f>T!C253</f>
        <v>1143.4651129168324</v>
      </c>
      <c r="D253">
        <f>T!D253</f>
        <v>1172</v>
      </c>
      <c r="E253">
        <f>T!E253</f>
        <v>1124</v>
      </c>
      <c r="F253">
        <f>T!F253</f>
        <v>780.71954574939991</v>
      </c>
      <c r="G253">
        <f>T!G253</f>
        <v>931</v>
      </c>
      <c r="H253">
        <f>T!H253</f>
        <v>1214</v>
      </c>
      <c r="I253">
        <f>T!N253</f>
        <v>0</v>
      </c>
    </row>
    <row r="254" spans="2:9">
      <c r="B254" t="s">
        <v>336</v>
      </c>
      <c r="C254">
        <f>T!C254</f>
        <v>1.8306604180033901</v>
      </c>
      <c r="D254">
        <f>T!D254</f>
        <v>0</v>
      </c>
      <c r="E254">
        <f>T!E254</f>
        <v>75</v>
      </c>
      <c r="F254">
        <f>T!F254</f>
        <v>-1.1540031598997302E-2</v>
      </c>
      <c r="G254">
        <f>T!G254</f>
        <v>0</v>
      </c>
      <c r="H254">
        <f>T!H254</f>
        <v>-29</v>
      </c>
      <c r="I254">
        <f>T!N254</f>
        <v>0</v>
      </c>
    </row>
    <row r="255" spans="2:9">
      <c r="B255" t="s">
        <v>337</v>
      </c>
      <c r="C255">
        <f>T!C255</f>
        <v>1.8306604180033901</v>
      </c>
      <c r="D255">
        <f>T!D255</f>
        <v>0</v>
      </c>
      <c r="E255">
        <f>T!E255</f>
        <v>0</v>
      </c>
      <c r="F255">
        <f>T!F255</f>
        <v>0</v>
      </c>
      <c r="G255">
        <f>T!G255</f>
        <v>0</v>
      </c>
      <c r="H255">
        <f>T!H255</f>
        <v>1</v>
      </c>
      <c r="I255">
        <f>T!N255</f>
        <v>0</v>
      </c>
    </row>
    <row r="256" spans="2:9">
      <c r="B256" t="s">
        <v>338</v>
      </c>
      <c r="C256">
        <f>T!C256</f>
        <v>0</v>
      </c>
      <c r="D256">
        <f>T!D256</f>
        <v>0</v>
      </c>
      <c r="E256">
        <f>T!E256</f>
        <v>0</v>
      </c>
      <c r="F256">
        <f>T!F256</f>
        <v>0</v>
      </c>
      <c r="G256">
        <f>T!G256</f>
        <v>0</v>
      </c>
      <c r="H256">
        <f>T!H256</f>
        <v>0</v>
      </c>
      <c r="I256">
        <f>T!N256</f>
        <v>0</v>
      </c>
    </row>
    <row r="257" spans="2:9">
      <c r="B257" t="s">
        <v>339</v>
      </c>
      <c r="C257">
        <f>T!C257</f>
        <v>0</v>
      </c>
      <c r="D257">
        <f>T!D257</f>
        <v>0</v>
      </c>
      <c r="E257">
        <f>T!E257</f>
        <v>0</v>
      </c>
      <c r="F257">
        <f>T!F257</f>
        <v>1.0004441719502211E-10</v>
      </c>
      <c r="G257">
        <f>T!G257</f>
        <v>0</v>
      </c>
      <c r="H257">
        <f>T!H257</f>
        <v>0</v>
      </c>
      <c r="I257">
        <f>T!N257</f>
        <v>0</v>
      </c>
    </row>
    <row r="258" spans="2:9">
      <c r="B258" t="s">
        <v>340</v>
      </c>
      <c r="C258">
        <f>T!C258</f>
        <v>0</v>
      </c>
      <c r="D258">
        <f>T!D258</f>
        <v>0</v>
      </c>
      <c r="E258">
        <f>T!E258</f>
        <v>0</v>
      </c>
      <c r="F258">
        <f>T!F258</f>
        <v>1.0004441719502211E-10</v>
      </c>
      <c r="G258">
        <f>T!G258</f>
        <v>0</v>
      </c>
      <c r="H258">
        <f>T!H258</f>
        <v>-87</v>
      </c>
      <c r="I258">
        <f>T!N258</f>
        <v>0</v>
      </c>
    </row>
    <row r="259" spans="2:9">
      <c r="B259" t="s">
        <v>341</v>
      </c>
      <c r="C259">
        <f>T!C259</f>
        <v>-1459.5539439853874</v>
      </c>
      <c r="D259">
        <f>T!D259</f>
        <v>-1133</v>
      </c>
      <c r="E259">
        <f>T!E259</f>
        <v>-1177</v>
      </c>
      <c r="F259">
        <f>T!F259</f>
        <v>-1557.1914618373303</v>
      </c>
      <c r="G259">
        <f>T!G259</f>
        <v>-1755</v>
      </c>
      <c r="H259">
        <f>T!H259</f>
        <v>-1274</v>
      </c>
      <c r="I259">
        <f>T!N259</f>
        <v>0</v>
      </c>
    </row>
    <row r="260" spans="2:9">
      <c r="B260" t="s">
        <v>342</v>
      </c>
      <c r="C260">
        <f>T!C260</f>
        <v>1038.4136281133397</v>
      </c>
      <c r="D260">
        <f>T!D260</f>
        <v>1159</v>
      </c>
      <c r="E260">
        <f>T!E260</f>
        <v>1162</v>
      </c>
      <c r="F260">
        <f>T!F260</f>
        <v>1012.2339726927694</v>
      </c>
      <c r="G260">
        <f>T!G260</f>
        <v>1009</v>
      </c>
      <c r="H260">
        <f>T!H260</f>
        <v>1070</v>
      </c>
      <c r="I260">
        <f>T!N260</f>
        <v>0</v>
      </c>
    </row>
    <row r="261" spans="2:9">
      <c r="B261" t="s">
        <v>345</v>
      </c>
      <c r="C261">
        <f>T!C261</f>
        <v>-1668.6417470918586</v>
      </c>
      <c r="D261">
        <f>T!D261</f>
        <v>-1451</v>
      </c>
      <c r="E261">
        <f>T!E261</f>
        <v>-1483</v>
      </c>
      <c r="F261">
        <f>T!F261</f>
        <v>-1673.5790227854923</v>
      </c>
      <c r="G261">
        <f>T!G261</f>
        <v>-1625</v>
      </c>
      <c r="H261">
        <f>T!H261</f>
        <v>-1099</v>
      </c>
      <c r="I261">
        <f>T!N261</f>
        <v>0</v>
      </c>
    </row>
    <row r="262" spans="2:9">
      <c r="B262" t="s">
        <v>346</v>
      </c>
      <c r="C262">
        <f>T!C262</f>
        <v>-2138.1545786625256</v>
      </c>
      <c r="D262">
        <f>T!D262</f>
        <v>-2372</v>
      </c>
      <c r="E262">
        <f>T!E262</f>
        <v>-2370</v>
      </c>
      <c r="F262">
        <f>T!F262</f>
        <v>-2145.4765133609162</v>
      </c>
      <c r="G262">
        <f>T!G262</f>
        <v>-2185</v>
      </c>
      <c r="H262">
        <f>T!H262</f>
        <v>-2185</v>
      </c>
      <c r="I262">
        <f>T!N262</f>
        <v>0</v>
      </c>
    </row>
    <row r="263" spans="2:9">
      <c r="B263" t="s">
        <v>347</v>
      </c>
      <c r="C263">
        <f>T!C263</f>
        <v>-1494.1291365557972</v>
      </c>
      <c r="D263">
        <f>T!D263</f>
        <v>-1593</v>
      </c>
      <c r="E263">
        <f>T!E263</f>
        <v>-1593</v>
      </c>
      <c r="F263">
        <f>T!F263</f>
        <v>-1308.453809558202</v>
      </c>
      <c r="G263">
        <f>T!G263</f>
        <v>-1495</v>
      </c>
      <c r="H263">
        <f>T!H263</f>
        <v>-1514</v>
      </c>
      <c r="I263">
        <f>T!N263</f>
        <v>0</v>
      </c>
    </row>
    <row r="267" spans="2:9">
      <c r="B267" t="str">
        <f>T!B267</f>
        <v>Sensible + Latent Coil Load (Wh,th)</v>
      </c>
      <c r="C267">
        <f>T!C267</f>
        <v>0</v>
      </c>
      <c r="D267">
        <f>T!D267</f>
        <v>0</v>
      </c>
      <c r="E267">
        <f>T!E267</f>
        <v>0</v>
      </c>
      <c r="F267">
        <f>T!F267</f>
        <v>0</v>
      </c>
      <c r="G267">
        <f>T!G267</f>
        <v>0</v>
      </c>
      <c r="H267">
        <f>T!H267</f>
        <v>0</v>
      </c>
      <c r="I267">
        <f>T!N267</f>
        <v>0</v>
      </c>
    </row>
    <row r="268" spans="2:9">
      <c r="B268">
        <f>T!B268</f>
        <v>0</v>
      </c>
      <c r="C268" t="str">
        <f>T!C268</f>
        <v>TRNSYS</v>
      </c>
      <c r="D268" t="str">
        <f>T!D268</f>
        <v>DOE-2.2</v>
      </c>
      <c r="E268" t="str">
        <f>T!E268</f>
        <v>DOE21E-E</v>
      </c>
      <c r="F268" t="str">
        <f>T!F268</f>
        <v>Energy+</v>
      </c>
      <c r="G268" t="str">
        <f>T!G268</f>
        <v>CODYRUN</v>
      </c>
      <c r="H268" t="str">
        <f>T!H268</f>
        <v>HOT3000</v>
      </c>
      <c r="I268">
        <f>T!N268</f>
        <v>0</v>
      </c>
    </row>
    <row r="269" spans="2:9">
      <c r="B269">
        <f>T!B269</f>
        <v>0</v>
      </c>
      <c r="C269" t="s">
        <v>569</v>
      </c>
      <c r="D269" t="s">
        <v>570</v>
      </c>
      <c r="E269" t="s">
        <v>573</v>
      </c>
      <c r="F269" t="s">
        <v>617</v>
      </c>
      <c r="G269" t="s">
        <v>571</v>
      </c>
      <c r="H269" t="s">
        <v>572</v>
      </c>
      <c r="I269" t="s">
        <v>522</v>
      </c>
    </row>
    <row r="270" spans="2:9">
      <c r="B270" t="s">
        <v>343</v>
      </c>
      <c r="C270">
        <f>T!C270</f>
        <v>5153.9500000000007</v>
      </c>
      <c r="D270">
        <f>T!D270</f>
        <v>5349</v>
      </c>
      <c r="E270">
        <f>T!E270</f>
        <v>5578</v>
      </c>
      <c r="F270">
        <f>T!F270</f>
        <v>4315.0470648236151</v>
      </c>
      <c r="G270">
        <f>T!G270</f>
        <v>4759</v>
      </c>
      <c r="H270">
        <f>T!H270</f>
        <v>4919</v>
      </c>
      <c r="I270">
        <f>T!N270</f>
        <v>0</v>
      </c>
    </row>
    <row r="271" spans="2:9">
      <c r="B271" t="s">
        <v>344</v>
      </c>
      <c r="C271">
        <f>T!C271</f>
        <v>8143.5499999999993</v>
      </c>
      <c r="D271">
        <f>T!D271</f>
        <v>22412</v>
      </c>
      <c r="E271">
        <f>T!E271</f>
        <v>22368</v>
      </c>
      <c r="F271">
        <f>T!F271</f>
        <v>7039.5416400005561</v>
      </c>
      <c r="G271">
        <f>T!G271</f>
        <v>7402</v>
      </c>
      <c r="H271">
        <f>T!H271</f>
        <v>7848</v>
      </c>
      <c r="I271">
        <f>T!N271</f>
        <v>0</v>
      </c>
    </row>
    <row r="272" spans="2:9">
      <c r="B272" t="s">
        <v>334</v>
      </c>
      <c r="C272">
        <f>T!C272</f>
        <v>11317.95</v>
      </c>
      <c r="D272">
        <f>T!D272</f>
        <v>12227</v>
      </c>
      <c r="E272">
        <f>T!E272</f>
        <v>33117</v>
      </c>
      <c r="F272">
        <f>T!F272</f>
        <v>10540.471101330557</v>
      </c>
      <c r="G272">
        <f>T!G272</f>
        <v>11476</v>
      </c>
      <c r="H272">
        <f>T!H272</f>
        <v>10343</v>
      </c>
      <c r="I272">
        <f>T!N272</f>
        <v>0</v>
      </c>
    </row>
    <row r="273" spans="2:9">
      <c r="B273" t="s">
        <v>453</v>
      </c>
      <c r="C273">
        <f>T!C273</f>
        <v>3174.4000000000015</v>
      </c>
      <c r="D273">
        <f>T!D273</f>
        <v>-10185</v>
      </c>
      <c r="E273">
        <f>T!E273</f>
        <v>10749</v>
      </c>
      <c r="F273">
        <f>T!F273</f>
        <v>3500.9294613300008</v>
      </c>
      <c r="G273">
        <f>T!G273</f>
        <v>4074</v>
      </c>
      <c r="H273">
        <f>T!H273</f>
        <v>2495</v>
      </c>
      <c r="I273">
        <f>T!N273</f>
        <v>0</v>
      </c>
    </row>
    <row r="274" spans="2:9">
      <c r="B274" t="s">
        <v>454</v>
      </c>
      <c r="C274">
        <f>T!C274</f>
        <v>9477.6499999999978</v>
      </c>
      <c r="D274">
        <f>T!D274</f>
        <v>19418</v>
      </c>
      <c r="E274">
        <f>T!E274</f>
        <v>28094</v>
      </c>
      <c r="F274">
        <f>T!F274</f>
        <v>8550.9999096952815</v>
      </c>
      <c r="G274">
        <f>T!G274</f>
        <v>8864</v>
      </c>
      <c r="H274">
        <f>T!H274</f>
        <v>9060</v>
      </c>
      <c r="I274">
        <f>T!N274</f>
        <v>0</v>
      </c>
    </row>
    <row r="275" spans="2:9">
      <c r="B275" t="s">
        <v>455</v>
      </c>
      <c r="C275">
        <f>T!C275</f>
        <v>1840.3000000000029</v>
      </c>
      <c r="D275">
        <f>T!D275</f>
        <v>-7191</v>
      </c>
      <c r="E275">
        <f>T!E275</f>
        <v>5023</v>
      </c>
      <c r="F275">
        <f>T!F275</f>
        <v>1989.4711916352753</v>
      </c>
      <c r="G275">
        <f>T!G275</f>
        <v>2612</v>
      </c>
      <c r="H275">
        <f>T!H275</f>
        <v>1283</v>
      </c>
      <c r="I275">
        <f>T!N275</f>
        <v>0</v>
      </c>
    </row>
    <row r="276" spans="2:9">
      <c r="B276" t="s">
        <v>335</v>
      </c>
      <c r="C276">
        <f>T!C276</f>
        <v>-82.319999999999709</v>
      </c>
      <c r="D276">
        <f>T!D276</f>
        <v>0</v>
      </c>
      <c r="E276">
        <f>T!E276</f>
        <v>-1</v>
      </c>
      <c r="F276">
        <f>T!F276</f>
        <v>-2.5077169717405923E-2</v>
      </c>
      <c r="G276">
        <f>T!G276</f>
        <v>0</v>
      </c>
      <c r="H276">
        <f>T!H276</f>
        <v>5</v>
      </c>
      <c r="I276">
        <f>T!N276</f>
        <v>0</v>
      </c>
    </row>
    <row r="277" spans="2:9">
      <c r="B277" t="s">
        <v>472</v>
      </c>
      <c r="C277">
        <f>T!C277</f>
        <v>6683.1100000000042</v>
      </c>
      <c r="D277">
        <f>T!D277</f>
        <v>9212</v>
      </c>
      <c r="E277">
        <f>T!E277</f>
        <v>9564</v>
      </c>
      <c r="F277">
        <f>T!F277</f>
        <v>5634.0124646983386</v>
      </c>
      <c r="G277">
        <f>T!G277</f>
        <v>5820</v>
      </c>
      <c r="H277">
        <f>T!H277</f>
        <v>6379</v>
      </c>
      <c r="I277">
        <f>T!N277</f>
        <v>0</v>
      </c>
    </row>
    <row r="278" spans="2:9">
      <c r="B278" t="s">
        <v>336</v>
      </c>
      <c r="C278">
        <f>T!C278</f>
        <v>9004.5499999999993</v>
      </c>
      <c r="D278">
        <f>T!D278</f>
        <v>9142</v>
      </c>
      <c r="E278">
        <f>T!E278</f>
        <v>18383</v>
      </c>
      <c r="F278">
        <f>T!F278</f>
        <v>8054.7321813286107</v>
      </c>
      <c r="G278">
        <f>T!G278</f>
        <v>0</v>
      </c>
      <c r="H278">
        <f>T!H278</f>
        <v>8702</v>
      </c>
      <c r="I278">
        <f>T!N278</f>
        <v>0</v>
      </c>
    </row>
    <row r="279" spans="2:9">
      <c r="B279" t="s">
        <v>337</v>
      </c>
      <c r="C279">
        <f>T!C279</f>
        <v>-82.319999999999709</v>
      </c>
      <c r="D279">
        <f>T!D279</f>
        <v>0</v>
      </c>
      <c r="E279">
        <f>T!E279</f>
        <v>0</v>
      </c>
      <c r="F279">
        <f>T!F279</f>
        <v>0</v>
      </c>
      <c r="G279">
        <f>T!G279</f>
        <v>0</v>
      </c>
      <c r="H279">
        <f>T!H279</f>
        <v>1</v>
      </c>
      <c r="I279">
        <f>T!N279</f>
        <v>0</v>
      </c>
    </row>
    <row r="280" spans="2:9">
      <c r="B280" t="s">
        <v>338</v>
      </c>
      <c r="C280">
        <f>T!C280</f>
        <v>0</v>
      </c>
      <c r="D280">
        <f>T!D280</f>
        <v>0</v>
      </c>
      <c r="E280">
        <f>T!E280</f>
        <v>0</v>
      </c>
      <c r="F280">
        <f>T!F280</f>
        <v>0</v>
      </c>
      <c r="G280">
        <f>T!G280</f>
        <v>0</v>
      </c>
      <c r="H280">
        <f>T!H280</f>
        <v>0</v>
      </c>
      <c r="I280">
        <f>T!N280</f>
        <v>0</v>
      </c>
    </row>
    <row r="281" spans="2:9">
      <c r="B281" t="s">
        <v>339</v>
      </c>
      <c r="C281">
        <f>T!C281</f>
        <v>0</v>
      </c>
      <c r="D281">
        <f>T!D281</f>
        <v>0</v>
      </c>
      <c r="E281">
        <f>T!E281</f>
        <v>0</v>
      </c>
      <c r="F281">
        <f>T!F281</f>
        <v>2.7648638933897018E-10</v>
      </c>
      <c r="G281">
        <f>T!G281</f>
        <v>0</v>
      </c>
      <c r="H281">
        <f>T!H281</f>
        <v>0</v>
      </c>
      <c r="I281">
        <f>T!N281</f>
        <v>0</v>
      </c>
    </row>
    <row r="282" spans="2:9">
      <c r="B282" t="s">
        <v>340</v>
      </c>
      <c r="C282">
        <f>T!C282</f>
        <v>0</v>
      </c>
      <c r="D282">
        <f>T!D282</f>
        <v>0</v>
      </c>
      <c r="E282">
        <f>T!E282</f>
        <v>0</v>
      </c>
      <c r="F282">
        <f>T!F282</f>
        <v>2.7648638933897018E-10</v>
      </c>
      <c r="G282">
        <f>T!G282</f>
        <v>0</v>
      </c>
      <c r="H282">
        <f>T!H282</f>
        <v>-295</v>
      </c>
      <c r="I282">
        <f>T!N282</f>
        <v>0</v>
      </c>
    </row>
    <row r="283" spans="2:9">
      <c r="B283" t="s">
        <v>341</v>
      </c>
      <c r="C283">
        <f>T!C283</f>
        <v>-4688.5400000000009</v>
      </c>
      <c r="D283">
        <f>T!D283</f>
        <v>-3694</v>
      </c>
      <c r="E283">
        <f>T!E283</f>
        <v>-3749</v>
      </c>
      <c r="F283">
        <f>T!F283</f>
        <v>-5401.0537022594981</v>
      </c>
      <c r="G283">
        <f>T!G283</f>
        <v>-5935</v>
      </c>
      <c r="H283">
        <f>T!H283</f>
        <v>-4517</v>
      </c>
      <c r="I283">
        <f>T!N283</f>
        <v>0</v>
      </c>
    </row>
    <row r="284" spans="2:9">
      <c r="B284" t="s">
        <v>342</v>
      </c>
      <c r="C284">
        <f>T!C284</f>
        <v>3107.5400000000009</v>
      </c>
      <c r="D284">
        <f>T!D284</f>
        <v>3481</v>
      </c>
      <c r="E284">
        <f>T!E284</f>
        <v>3482</v>
      </c>
      <c r="F284">
        <f>T!F284</f>
        <v>3538.1292354497782</v>
      </c>
      <c r="G284">
        <f>T!G284</f>
        <v>3381</v>
      </c>
      <c r="H284">
        <f>T!H284</f>
        <v>3542</v>
      </c>
      <c r="I284">
        <f>T!N284</f>
        <v>0</v>
      </c>
    </row>
    <row r="285" spans="2:9">
      <c r="B285" t="s">
        <v>345</v>
      </c>
      <c r="C285">
        <f>T!C285</f>
        <v>410.17000000000189</v>
      </c>
      <c r="D285">
        <f>T!D285</f>
        <v>-412</v>
      </c>
      <c r="E285">
        <f>T!E285</f>
        <v>-412</v>
      </c>
      <c r="F285">
        <f>T!F285</f>
        <v>-166.72959005152734</v>
      </c>
      <c r="G285">
        <f>T!G285</f>
        <v>8</v>
      </c>
      <c r="H285">
        <f>T!H285</f>
        <v>-881</v>
      </c>
      <c r="I285">
        <f>T!N285</f>
        <v>0</v>
      </c>
    </row>
    <row r="286" spans="2:9">
      <c r="B286" t="s">
        <v>346</v>
      </c>
      <c r="C286">
        <f>T!C286</f>
        <v>-7651.41</v>
      </c>
      <c r="D286">
        <f>T!D286</f>
        <v>-8131</v>
      </c>
      <c r="E286">
        <f>T!E286</f>
        <v>-8131</v>
      </c>
      <c r="F286">
        <f>T!F286</f>
        <v>-8000.279931511639</v>
      </c>
      <c r="G286">
        <f>T!G286</f>
        <v>-7791</v>
      </c>
      <c r="H286">
        <f>T!H286</f>
        <v>-7929</v>
      </c>
      <c r="I286">
        <f>T!N286</f>
        <v>0</v>
      </c>
    </row>
    <row r="287" spans="2:9">
      <c r="B287" t="s">
        <v>347</v>
      </c>
      <c r="C287">
        <f>T!C287</f>
        <v>500.20000000000073</v>
      </c>
      <c r="D287">
        <f>T!D287</f>
        <v>-291</v>
      </c>
      <c r="E287">
        <f>T!E287</f>
        <v>-292</v>
      </c>
      <c r="F287">
        <f>T!F287</f>
        <v>-273.70410940313741</v>
      </c>
      <c r="G287">
        <f>T!G287</f>
        <v>-30</v>
      </c>
      <c r="H287">
        <f>T!H287</f>
        <v>-302</v>
      </c>
      <c r="I287">
        <f>T!N287</f>
        <v>0</v>
      </c>
    </row>
    <row r="288" spans="2:9">
      <c r="B288" t="str">
        <f>T!B288</f>
        <v>Sensible Coil Load (Wh,th)</v>
      </c>
      <c r="C288">
        <f>T!C288</f>
        <v>0</v>
      </c>
      <c r="D288">
        <f>T!D288</f>
        <v>0</v>
      </c>
      <c r="E288">
        <f>T!E288</f>
        <v>0</v>
      </c>
      <c r="F288">
        <f>T!F288</f>
        <v>0</v>
      </c>
      <c r="G288">
        <f>T!G288</f>
        <v>0</v>
      </c>
      <c r="H288">
        <f>T!H288</f>
        <v>0</v>
      </c>
      <c r="I288">
        <f>T!N288</f>
        <v>0</v>
      </c>
    </row>
    <row r="289" spans="2:9">
      <c r="B289">
        <f>T!B289</f>
        <v>0</v>
      </c>
      <c r="C289" t="str">
        <f>T!C289</f>
        <v>TRNSYS</v>
      </c>
      <c r="D289" t="str">
        <f>T!D289</f>
        <v>DOE-2.2</v>
      </c>
      <c r="E289" t="str">
        <f>T!E289</f>
        <v>DOE21E-E</v>
      </c>
      <c r="F289" t="str">
        <f>T!F289</f>
        <v>Energy+</v>
      </c>
      <c r="G289" t="str">
        <f>T!G289</f>
        <v>CODYRUN</v>
      </c>
      <c r="H289" t="str">
        <f>T!H289</f>
        <v>HOT3000</v>
      </c>
      <c r="I289">
        <f>T!N289</f>
        <v>0</v>
      </c>
    </row>
    <row r="290" spans="2:9">
      <c r="B290">
        <f>T!B290</f>
        <v>0</v>
      </c>
      <c r="C290" t="s">
        <v>569</v>
      </c>
      <c r="D290" t="s">
        <v>570</v>
      </c>
      <c r="E290" t="s">
        <v>573</v>
      </c>
      <c r="F290" t="s">
        <v>617</v>
      </c>
      <c r="G290" t="s">
        <v>571</v>
      </c>
      <c r="H290" t="s">
        <v>572</v>
      </c>
      <c r="I290" t="s">
        <v>522</v>
      </c>
    </row>
    <row r="291" spans="2:9">
      <c r="B291" t="s">
        <v>343</v>
      </c>
      <c r="C291">
        <f>T!C291</f>
        <v>-183.10000000000218</v>
      </c>
      <c r="D291">
        <f>T!D291</f>
        <v>-123</v>
      </c>
      <c r="E291">
        <f>T!E291</f>
        <v>-86</v>
      </c>
      <c r="F291">
        <f>T!F291</f>
        <v>-318.11036637811048</v>
      </c>
      <c r="G291">
        <f>T!G291</f>
        <v>-379</v>
      </c>
      <c r="H291">
        <f>T!H291</f>
        <v>-259</v>
      </c>
      <c r="I291">
        <f>T!N291</f>
        <v>0</v>
      </c>
    </row>
    <row r="292" spans="2:9">
      <c r="B292" t="s">
        <v>344</v>
      </c>
      <c r="C292">
        <f>T!C292</f>
        <v>8038.1999999999971</v>
      </c>
      <c r="D292">
        <f>T!D292</f>
        <v>7916</v>
      </c>
      <c r="E292">
        <f>T!E292</f>
        <v>7867</v>
      </c>
      <c r="F292">
        <f>T!F292</f>
        <v>8065.549900512724</v>
      </c>
      <c r="G292">
        <f>T!G292</f>
        <v>7677</v>
      </c>
      <c r="H292">
        <f>T!H292</f>
        <v>8059</v>
      </c>
      <c r="I292">
        <f>T!N292</f>
        <v>0</v>
      </c>
    </row>
    <row r="293" spans="2:9">
      <c r="B293" t="s">
        <v>334</v>
      </c>
      <c r="C293">
        <f>T!C293</f>
        <v>9948.6999999999971</v>
      </c>
      <c r="D293">
        <f>T!D293</f>
        <v>10207</v>
      </c>
      <c r="E293">
        <f>T!E293</f>
        <v>11285</v>
      </c>
      <c r="F293">
        <f>T!F293</f>
        <v>11229.01763063022</v>
      </c>
      <c r="G293">
        <f>T!G293</f>
        <v>10540</v>
      </c>
      <c r="H293">
        <f>T!H293</f>
        <v>10513</v>
      </c>
      <c r="I293">
        <f>T!N293</f>
        <v>0</v>
      </c>
    </row>
    <row r="294" spans="2:9">
      <c r="B294" t="s">
        <v>453</v>
      </c>
      <c r="C294">
        <f>T!C294</f>
        <v>1910.5</v>
      </c>
      <c r="D294">
        <f>T!D294</f>
        <v>2291</v>
      </c>
      <c r="E294">
        <f>T!E294</f>
        <v>3418</v>
      </c>
      <c r="F294">
        <f>T!F294</f>
        <v>3163.4677301174961</v>
      </c>
      <c r="G294">
        <f>T!G294</f>
        <v>2863</v>
      </c>
      <c r="H294">
        <f>T!H294</f>
        <v>2454</v>
      </c>
      <c r="I294">
        <f>T!N294</f>
        <v>0</v>
      </c>
    </row>
    <row r="295" spans="2:9">
      <c r="B295" t="s">
        <v>454</v>
      </c>
      <c r="C295">
        <f>T!C295</f>
        <v>9551.5</v>
      </c>
      <c r="D295">
        <f>T!D295</f>
        <v>8883</v>
      </c>
      <c r="E295">
        <f>T!E295</f>
        <v>8881</v>
      </c>
      <c r="F295">
        <f>T!F295</f>
        <v>9273.9255864577244</v>
      </c>
      <c r="G295">
        <f>T!G295</f>
        <v>9483</v>
      </c>
      <c r="H295">
        <f>T!H295</f>
        <v>9272</v>
      </c>
      <c r="I295">
        <f>T!N295</f>
        <v>0</v>
      </c>
    </row>
    <row r="296" spans="2:9">
      <c r="B296" t="s">
        <v>455</v>
      </c>
      <c r="C296">
        <f>T!C296</f>
        <v>397.19999999999709</v>
      </c>
      <c r="D296">
        <f>T!D296</f>
        <v>1324</v>
      </c>
      <c r="E296">
        <f>T!E296</f>
        <v>2404</v>
      </c>
      <c r="F296">
        <f>T!F296</f>
        <v>1955.0920441724957</v>
      </c>
      <c r="G296">
        <f>T!G296</f>
        <v>1057</v>
      </c>
      <c r="H296">
        <f>T!H296</f>
        <v>1241</v>
      </c>
      <c r="I296">
        <f>T!N296</f>
        <v>0</v>
      </c>
    </row>
    <row r="297" spans="2:9">
      <c r="B297" t="s">
        <v>335</v>
      </c>
      <c r="C297">
        <f>T!C297</f>
        <v>9.9999999998544808E-2</v>
      </c>
      <c r="D297">
        <f>T!D297</f>
        <v>0</v>
      </c>
      <c r="E297">
        <f>T!E297</f>
        <v>0</v>
      </c>
      <c r="F297">
        <f>T!F297</f>
        <v>-3.9521538055851124E-2</v>
      </c>
      <c r="G297">
        <f>T!G297</f>
        <v>0</v>
      </c>
      <c r="H297">
        <f>T!H297</f>
        <v>-32</v>
      </c>
      <c r="I297">
        <f>T!N297</f>
        <v>0</v>
      </c>
    </row>
    <row r="298" spans="2:9">
      <c r="B298" t="s">
        <v>472</v>
      </c>
      <c r="C298">
        <f>T!C298</f>
        <v>8783.2999999999993</v>
      </c>
      <c r="D298">
        <f>T!D298</f>
        <v>8908</v>
      </c>
      <c r="E298">
        <f>T!E298</f>
        <v>8860</v>
      </c>
      <c r="F298">
        <f>T!F298</f>
        <v>8946.1220933002223</v>
      </c>
      <c r="G298">
        <f>T!G298</f>
        <v>8524</v>
      </c>
      <c r="H298">
        <f>T!H298</f>
        <v>9271</v>
      </c>
      <c r="I298">
        <f>T!N298</f>
        <v>0</v>
      </c>
    </row>
    <row r="299" spans="2:9">
      <c r="B299" t="s">
        <v>336</v>
      </c>
      <c r="C299">
        <f>T!C299</f>
        <v>9.9999999998544808E-2</v>
      </c>
      <c r="D299">
        <f>T!D299</f>
        <v>0</v>
      </c>
      <c r="E299">
        <f>T!E299</f>
        <v>0</v>
      </c>
      <c r="F299">
        <f>T!F299</f>
        <v>-5.3330178750911728E-2</v>
      </c>
      <c r="G299">
        <f>T!G299</f>
        <v>0</v>
      </c>
      <c r="H299">
        <f>T!H299</f>
        <v>-31</v>
      </c>
      <c r="I299">
        <f>T!N299</f>
        <v>0</v>
      </c>
    </row>
    <row r="300" spans="2:9">
      <c r="B300" t="s">
        <v>337</v>
      </c>
      <c r="C300">
        <f>T!C300</f>
        <v>-11.700000000000728</v>
      </c>
      <c r="D300">
        <f>T!D300</f>
        <v>0</v>
      </c>
      <c r="E300">
        <f>T!E300</f>
        <v>0</v>
      </c>
      <c r="F300">
        <f>T!F300</f>
        <v>0</v>
      </c>
      <c r="G300">
        <f>T!G300</f>
        <v>0</v>
      </c>
      <c r="H300">
        <f>T!H300</f>
        <v>-15</v>
      </c>
      <c r="I300">
        <f>T!N300</f>
        <v>0</v>
      </c>
    </row>
    <row r="301" spans="2:9">
      <c r="B301" t="s">
        <v>338</v>
      </c>
      <c r="C301">
        <f>T!C301</f>
        <v>0</v>
      </c>
      <c r="D301">
        <f>T!D301</f>
        <v>0</v>
      </c>
      <c r="E301">
        <f>T!E301</f>
        <v>0</v>
      </c>
      <c r="F301">
        <f>T!F301</f>
        <v>2.9103830456733704E-11</v>
      </c>
      <c r="G301">
        <f>T!G301</f>
        <v>0</v>
      </c>
      <c r="H301">
        <f>T!H301</f>
        <v>-15</v>
      </c>
      <c r="I301">
        <f>T!N301</f>
        <v>0</v>
      </c>
    </row>
    <row r="302" spans="2:9">
      <c r="B302" t="s">
        <v>339</v>
      </c>
      <c r="C302">
        <f>T!C302</f>
        <v>0</v>
      </c>
      <c r="D302">
        <f>T!D302</f>
        <v>0</v>
      </c>
      <c r="E302">
        <f>T!E302</f>
        <v>0</v>
      </c>
      <c r="F302">
        <f>T!F302</f>
        <v>5.0204107537865639E-10</v>
      </c>
      <c r="G302">
        <f>T!G302</f>
        <v>0</v>
      </c>
      <c r="H302">
        <f>T!H302</f>
        <v>-15</v>
      </c>
      <c r="I302">
        <f>T!N302</f>
        <v>0</v>
      </c>
    </row>
    <row r="303" spans="2:9">
      <c r="B303" t="s">
        <v>340</v>
      </c>
      <c r="C303">
        <f>T!C303</f>
        <v>0</v>
      </c>
      <c r="D303">
        <f>T!D303</f>
        <v>0</v>
      </c>
      <c r="E303">
        <f>T!E303</f>
        <v>0</v>
      </c>
      <c r="F303">
        <f>T!F303</f>
        <v>3.0559021979570389E-10</v>
      </c>
      <c r="G303">
        <f>T!G303</f>
        <v>0</v>
      </c>
      <c r="H303">
        <f>T!H303</f>
        <v>-33</v>
      </c>
      <c r="I303">
        <f>T!N303</f>
        <v>0</v>
      </c>
    </row>
    <row r="304" spans="2:9">
      <c r="B304" t="s">
        <v>341</v>
      </c>
      <c r="C304">
        <f>T!C304</f>
        <v>-3728.2000000000007</v>
      </c>
      <c r="D304">
        <f>T!D304</f>
        <v>-3194</v>
      </c>
      <c r="E304">
        <f>T!E304</f>
        <v>-3197</v>
      </c>
      <c r="F304">
        <f>T!F304</f>
        <v>-3667.2650504874728</v>
      </c>
      <c r="G304">
        <f>T!G304</f>
        <v>-4681</v>
      </c>
      <c r="H304">
        <f>T!H304</f>
        <v>-3090</v>
      </c>
      <c r="I304">
        <f>T!N304</f>
        <v>0</v>
      </c>
    </row>
    <row r="305" spans="2:9">
      <c r="B305" t="s">
        <v>342</v>
      </c>
      <c r="C305">
        <f>T!C305</f>
        <v>2180</v>
      </c>
      <c r="D305">
        <f>T!D305</f>
        <v>2504</v>
      </c>
      <c r="E305">
        <f>T!E305</f>
        <v>2505</v>
      </c>
      <c r="F305">
        <f>T!F305</f>
        <v>2432.0565721222229</v>
      </c>
      <c r="G305">
        <f>T!G305</f>
        <v>2345</v>
      </c>
      <c r="H305">
        <f>T!H305</f>
        <v>2451</v>
      </c>
      <c r="I305">
        <f>T!N305</f>
        <v>0</v>
      </c>
    </row>
    <row r="306" spans="2:9">
      <c r="B306" t="s">
        <v>345</v>
      </c>
      <c r="C306">
        <f>T!C306</f>
        <v>286.79999999999927</v>
      </c>
      <c r="D306">
        <f>T!D306</f>
        <v>-309</v>
      </c>
      <c r="E306">
        <f>T!E306</f>
        <v>-304</v>
      </c>
      <c r="F306">
        <f>T!F306</f>
        <v>-413.52130712541839</v>
      </c>
      <c r="G306">
        <f>T!G306</f>
        <v>-210</v>
      </c>
      <c r="H306">
        <f>T!H306</f>
        <v>-717</v>
      </c>
      <c r="I306">
        <f>T!N306</f>
        <v>0</v>
      </c>
    </row>
    <row r="307" spans="2:9">
      <c r="B307" t="s">
        <v>346</v>
      </c>
      <c r="C307">
        <f>T!C307</f>
        <v>284.89999999999782</v>
      </c>
      <c r="D307">
        <f>T!D307</f>
        <v>-433</v>
      </c>
      <c r="E307">
        <f>T!E307</f>
        <v>-433</v>
      </c>
      <c r="F307">
        <f>T!F307</f>
        <v>-139.77028901427548</v>
      </c>
      <c r="G307">
        <f>T!G307</f>
        <v>0</v>
      </c>
      <c r="H307">
        <f>T!H307</f>
        <v>-192</v>
      </c>
      <c r="I307">
        <f>T!N307</f>
        <v>0</v>
      </c>
    </row>
    <row r="308" spans="2:9">
      <c r="B308" t="s">
        <v>347</v>
      </c>
      <c r="C308">
        <f>T!C308</f>
        <v>500.20000000000073</v>
      </c>
      <c r="D308">
        <f>T!D308</f>
        <v>-291</v>
      </c>
      <c r="E308">
        <f>T!E308</f>
        <v>-292</v>
      </c>
      <c r="F308">
        <f>T!F308</f>
        <v>-273.70410940313741</v>
      </c>
      <c r="G308">
        <f>T!G308</f>
        <v>-35</v>
      </c>
      <c r="H308">
        <f>T!H308</f>
        <v>-302</v>
      </c>
      <c r="I308">
        <f>T!N308</f>
        <v>0</v>
      </c>
    </row>
    <row r="309" spans="2:9">
      <c r="B309" t="str">
        <f>T!B309</f>
        <v>Latent Coil Load (Wh,th)</v>
      </c>
      <c r="C309">
        <f>T!C309</f>
        <v>0</v>
      </c>
      <c r="D309">
        <f>T!D309</f>
        <v>0</v>
      </c>
      <c r="E309">
        <f>T!E309</f>
        <v>0</v>
      </c>
      <c r="F309">
        <f>T!F309</f>
        <v>0</v>
      </c>
      <c r="G309">
        <f>T!G309</f>
        <v>0</v>
      </c>
      <c r="H309">
        <f>T!H309</f>
        <v>0</v>
      </c>
      <c r="I309">
        <f>T!N309</f>
        <v>0</v>
      </c>
    </row>
    <row r="310" spans="2:9">
      <c r="B310">
        <f>T!B310</f>
        <v>0</v>
      </c>
      <c r="C310" t="str">
        <f>T!C310</f>
        <v>TRNSYS</v>
      </c>
      <c r="D310" t="str">
        <f>T!D310</f>
        <v>DOE-2.2</v>
      </c>
      <c r="E310" t="str">
        <f>T!E310</f>
        <v>DOE21E-E</v>
      </c>
      <c r="F310" t="str">
        <f>T!F310</f>
        <v>Energy+</v>
      </c>
      <c r="G310" t="str">
        <f>T!G310</f>
        <v>CODYRUN</v>
      </c>
      <c r="H310" t="str">
        <f>T!H310</f>
        <v>HOT3000</v>
      </c>
      <c r="I310">
        <f>T!N310</f>
        <v>0</v>
      </c>
    </row>
    <row r="311" spans="2:9">
      <c r="B311">
        <f>T!B311</f>
        <v>0</v>
      </c>
      <c r="C311" t="s">
        <v>569</v>
      </c>
      <c r="D311" t="s">
        <v>570</v>
      </c>
      <c r="E311" t="s">
        <v>573</v>
      </c>
      <c r="F311" t="s">
        <v>617</v>
      </c>
      <c r="G311" t="s">
        <v>571</v>
      </c>
      <c r="H311" t="s">
        <v>572</v>
      </c>
      <c r="I311" t="s">
        <v>522</v>
      </c>
    </row>
    <row r="312" spans="2:9">
      <c r="B312" t="s">
        <v>343</v>
      </c>
      <c r="C312">
        <f>T!C312</f>
        <v>6271.2999999999993</v>
      </c>
      <c r="D312">
        <f>T!D312</f>
        <v>5835</v>
      </c>
      <c r="E312">
        <f>T!E312</f>
        <v>5876</v>
      </c>
      <c r="F312">
        <f>T!F312</f>
        <v>6049.2222306026397</v>
      </c>
      <c r="G312">
        <f>T!G312</f>
        <v>5737</v>
      </c>
      <c r="H312">
        <f>T!H312</f>
        <v>5685</v>
      </c>
      <c r="I312">
        <f>T!N312</f>
        <v>0</v>
      </c>
    </row>
    <row r="313" spans="2:9">
      <c r="B313" t="s">
        <v>344</v>
      </c>
      <c r="C313">
        <f>T!C313</f>
        <v>13511.599999999999</v>
      </c>
      <c r="D313">
        <f>T!D313</f>
        <v>22193</v>
      </c>
      <c r="E313">
        <f>T!E313</f>
        <v>22109</v>
      </c>
      <c r="F313">
        <f>T!F313</f>
        <v>12161.089970704275</v>
      </c>
      <c r="G313">
        <f>T!G313</f>
        <v>11322</v>
      </c>
      <c r="H313">
        <f>T!H313</f>
        <v>11537</v>
      </c>
      <c r="I313">
        <f>T!N313</f>
        <v>0</v>
      </c>
    </row>
    <row r="314" spans="2:9">
      <c r="B314" t="s">
        <v>334</v>
      </c>
      <c r="C314">
        <f>T!C314</f>
        <v>18189.5</v>
      </c>
      <c r="D314">
        <f>T!D314</f>
        <v>17637</v>
      </c>
      <c r="E314">
        <f>T!E314</f>
        <v>31415</v>
      </c>
      <c r="F314">
        <f>T!F314</f>
        <v>17001.615463166723</v>
      </c>
      <c r="G314">
        <f>T!G314</f>
        <v>17809</v>
      </c>
      <c r="H314">
        <f>T!H314</f>
        <v>17096</v>
      </c>
      <c r="I314">
        <f>T!N314</f>
        <v>0</v>
      </c>
    </row>
    <row r="315" spans="2:9">
      <c r="B315" t="s">
        <v>453</v>
      </c>
      <c r="C315">
        <f>T!C315</f>
        <v>4677.9000000000015</v>
      </c>
      <c r="D315">
        <f>T!D315</f>
        <v>-4556</v>
      </c>
      <c r="E315">
        <f>T!E315</f>
        <v>9306</v>
      </c>
      <c r="F315">
        <f>T!F315</f>
        <v>4840.525492462446</v>
      </c>
      <c r="G315">
        <f>T!G315</f>
        <v>6487</v>
      </c>
      <c r="H315">
        <f>T!H315</f>
        <v>5559</v>
      </c>
      <c r="I315">
        <f>T!N315</f>
        <v>0</v>
      </c>
    </row>
    <row r="316" spans="2:9">
      <c r="B316" t="s">
        <v>454</v>
      </c>
      <c r="C316">
        <f>T!C316</f>
        <v>15212.599999999999</v>
      </c>
      <c r="D316">
        <f>T!D316</f>
        <v>21147</v>
      </c>
      <c r="E316">
        <f>T!E316</f>
        <v>26617</v>
      </c>
      <c r="F316">
        <f>T!F316</f>
        <v>13840.680225111611</v>
      </c>
      <c r="G316">
        <f>T!G316</f>
        <v>13850</v>
      </c>
      <c r="H316">
        <f>T!H316</f>
        <v>13402</v>
      </c>
      <c r="I316">
        <f>T!N316</f>
        <v>0</v>
      </c>
    </row>
    <row r="317" spans="2:9">
      <c r="B317" t="s">
        <v>455</v>
      </c>
      <c r="C317">
        <f>T!C317</f>
        <v>2976.9000000000015</v>
      </c>
      <c r="D317">
        <f>T!D317</f>
        <v>-3510</v>
      </c>
      <c r="E317">
        <f>T!E317</f>
        <v>4798</v>
      </c>
      <c r="F317">
        <f>T!F317</f>
        <v>3160.9352380551099</v>
      </c>
      <c r="G317">
        <f>T!G317</f>
        <v>3959</v>
      </c>
      <c r="H317">
        <f>T!H317</f>
        <v>3694</v>
      </c>
      <c r="I317">
        <f>T!N317</f>
        <v>0</v>
      </c>
    </row>
    <row r="318" spans="2:9">
      <c r="B318" t="s">
        <v>335</v>
      </c>
      <c r="C318">
        <f>T!C318</f>
        <v>115.55999999999949</v>
      </c>
      <c r="D318">
        <f>T!D318</f>
        <v>-1</v>
      </c>
      <c r="E318">
        <f>T!E318</f>
        <v>-1</v>
      </c>
      <c r="F318">
        <f>T!F318</f>
        <v>0.55758901077751943</v>
      </c>
      <c r="G318">
        <f>T!G318</f>
        <v>380</v>
      </c>
      <c r="H318">
        <f>T!H318</f>
        <v>1211</v>
      </c>
      <c r="I318">
        <f>T!N318</f>
        <v>0</v>
      </c>
    </row>
    <row r="319" spans="2:9">
      <c r="B319" t="s">
        <v>472</v>
      </c>
      <c r="C319">
        <f>T!C319</f>
        <v>-360.54000000000087</v>
      </c>
      <c r="D319">
        <f>T!D319</f>
        <v>722</v>
      </c>
      <c r="E319">
        <f>T!E319</f>
        <v>942</v>
      </c>
      <c r="F319">
        <f>T!F319</f>
        <v>-1687.8651001075559</v>
      </c>
      <c r="G319">
        <f>T!G319</f>
        <v>-1516</v>
      </c>
      <c r="H319">
        <f>T!H319</f>
        <v>-1458</v>
      </c>
      <c r="I319">
        <f>T!N319</f>
        <v>0</v>
      </c>
    </row>
    <row r="320" spans="2:9">
      <c r="B320" t="s">
        <v>336</v>
      </c>
      <c r="C320">
        <f>T!C320</f>
        <v>17439.599999999999</v>
      </c>
      <c r="D320">
        <f>T!D320</f>
        <v>16274</v>
      </c>
      <c r="E320">
        <f>T!E320</f>
        <v>23002</v>
      </c>
      <c r="F320">
        <f>T!F320</f>
        <v>16172.591647627169</v>
      </c>
      <c r="G320">
        <f>T!G320</f>
        <v>0</v>
      </c>
      <c r="H320">
        <f>T!H320</f>
        <v>16253</v>
      </c>
      <c r="I320">
        <f>T!N320</f>
        <v>0</v>
      </c>
    </row>
    <row r="321" spans="2:9">
      <c r="B321" t="s">
        <v>337</v>
      </c>
      <c r="C321">
        <f>T!C321</f>
        <v>1503.1999999999989</v>
      </c>
      <c r="D321">
        <f>T!D321</f>
        <v>0</v>
      </c>
      <c r="E321">
        <f>T!E321</f>
        <v>-3</v>
      </c>
      <c r="F321">
        <f>T!F321</f>
        <v>0</v>
      </c>
      <c r="G321">
        <f>T!G321</f>
        <v>0</v>
      </c>
      <c r="H321">
        <f>T!H321</f>
        <v>-15</v>
      </c>
      <c r="I321">
        <f>T!N321</f>
        <v>0</v>
      </c>
    </row>
    <row r="322" spans="2:9">
      <c r="B322" t="s">
        <v>338</v>
      </c>
      <c r="C322">
        <f>T!C322</f>
        <v>115.34000000000015</v>
      </c>
      <c r="D322">
        <f>T!D322</f>
        <v>0</v>
      </c>
      <c r="E322">
        <f>T!E322</f>
        <v>0</v>
      </c>
      <c r="F322">
        <f>T!F322</f>
        <v>-1.3824319466948509E-10</v>
      </c>
      <c r="G322">
        <f>T!G322</f>
        <v>0</v>
      </c>
      <c r="H322">
        <f>T!H322</f>
        <v>2</v>
      </c>
      <c r="I322">
        <f>T!N322</f>
        <v>0</v>
      </c>
    </row>
    <row r="323" spans="2:9">
      <c r="B323" t="s">
        <v>339</v>
      </c>
      <c r="C323">
        <f>T!C323</f>
        <v>0</v>
      </c>
      <c r="D323">
        <f>T!D323</f>
        <v>1801</v>
      </c>
      <c r="E323">
        <f>T!E323</f>
        <v>1707</v>
      </c>
      <c r="F323">
        <f>T!F323</f>
        <v>780.23981644727792</v>
      </c>
      <c r="G323">
        <f>T!G323</f>
        <v>0</v>
      </c>
      <c r="H323">
        <f>T!H323</f>
        <v>2</v>
      </c>
      <c r="I323">
        <f>T!N323</f>
        <v>0</v>
      </c>
    </row>
    <row r="324" spans="2:9">
      <c r="B324" t="s">
        <v>340</v>
      </c>
      <c r="C324">
        <f>T!C324</f>
        <v>0</v>
      </c>
      <c r="D324">
        <f>T!D324</f>
        <v>0</v>
      </c>
      <c r="E324">
        <f>T!E324</f>
        <v>-3</v>
      </c>
      <c r="F324">
        <f>T!F324</f>
        <v>-8.3673512563109398E-11</v>
      </c>
      <c r="G324">
        <f>T!G324</f>
        <v>0</v>
      </c>
      <c r="H324">
        <f>T!H324</f>
        <v>-253</v>
      </c>
      <c r="I324">
        <f>T!N324</f>
        <v>0</v>
      </c>
    </row>
    <row r="325" spans="2:9">
      <c r="B325" t="s">
        <v>341</v>
      </c>
      <c r="C325">
        <f>T!C325</f>
        <v>-1670.2400000000007</v>
      </c>
      <c r="D325">
        <f>T!D325</f>
        <v>-1571</v>
      </c>
      <c r="E325">
        <f>T!E325</f>
        <v>-1661</v>
      </c>
      <c r="F325">
        <f>T!F325</f>
        <v>-2686.1278053429451</v>
      </c>
      <c r="G325">
        <f>T!G325</f>
        <v>-2570</v>
      </c>
      <c r="H325">
        <f>T!H325</f>
        <v>-2630</v>
      </c>
      <c r="I325">
        <f>T!N325</f>
        <v>0</v>
      </c>
    </row>
    <row r="326" spans="2:9">
      <c r="B326" t="s">
        <v>342</v>
      </c>
      <c r="C326">
        <f>T!C326</f>
        <v>927.09999999999945</v>
      </c>
      <c r="D326">
        <f>T!D326</f>
        <v>990</v>
      </c>
      <c r="E326">
        <f>T!E326</f>
        <v>990</v>
      </c>
      <c r="F326">
        <f>T!F326</f>
        <v>1132.0803152907229</v>
      </c>
      <c r="G326">
        <f>T!G326</f>
        <v>1045</v>
      </c>
      <c r="H326">
        <f>T!H326</f>
        <v>1112</v>
      </c>
      <c r="I326">
        <f>T!N326</f>
        <v>0</v>
      </c>
    </row>
    <row r="327" spans="2:9">
      <c r="B327" t="s">
        <v>345</v>
      </c>
      <c r="C327">
        <f>T!C327</f>
        <v>123.36999999999989</v>
      </c>
      <c r="D327">
        <f>T!D327</f>
        <v>-122</v>
      </c>
      <c r="E327">
        <f>T!E327</f>
        <v>-122</v>
      </c>
      <c r="F327">
        <f>T!F327</f>
        <v>221.16939294900021</v>
      </c>
      <c r="G327">
        <f>T!G327</f>
        <v>212</v>
      </c>
      <c r="H327">
        <f>T!H327</f>
        <v>-144</v>
      </c>
      <c r="I327">
        <f>T!N327</f>
        <v>0</v>
      </c>
    </row>
    <row r="328" spans="2:9">
      <c r="B328" t="s">
        <v>346</v>
      </c>
      <c r="C328">
        <f>T!C328</f>
        <v>-7965.4599999999837</v>
      </c>
      <c r="D328">
        <f>T!D328</f>
        <v>-7733</v>
      </c>
      <c r="E328">
        <f>T!E328</f>
        <v>-7733</v>
      </c>
      <c r="F328">
        <f>T!F328</f>
        <v>-7798.7788782143725</v>
      </c>
      <c r="G328">
        <f>T!G328</f>
        <v>-7626</v>
      </c>
      <c r="H328">
        <f>T!H328</f>
        <v>-7726.1</v>
      </c>
      <c r="I328">
        <f>T!N328</f>
        <v>0</v>
      </c>
    </row>
    <row r="329" spans="2:9">
      <c r="B329" t="s">
        <v>347</v>
      </c>
      <c r="C329">
        <f>T!C329</f>
        <v>-627.18599999998196</v>
      </c>
      <c r="D329">
        <f>T!D329</f>
        <v>0</v>
      </c>
      <c r="E329">
        <f>T!E329</f>
        <v>0</v>
      </c>
      <c r="F329">
        <f>T!F329</f>
        <v>-1636.3589513277084</v>
      </c>
      <c r="G329">
        <f>T!G329</f>
        <v>-841</v>
      </c>
      <c r="H329">
        <f>T!H329</f>
        <v>-1181</v>
      </c>
      <c r="I329">
        <f>T!N329</f>
        <v>0</v>
      </c>
    </row>
    <row r="339" spans="2:9">
      <c r="B339" t="str">
        <f>T!B339</f>
        <v>Delta Hourly Integrated Maximum and Minimum COP2 and Zone Conditions (IDB, Humidity Ratio, Relative Humidity)</v>
      </c>
      <c r="C339">
        <f>T!C339</f>
        <v>0</v>
      </c>
      <c r="D339">
        <f>T!D339</f>
        <v>0</v>
      </c>
      <c r="E339">
        <f>T!E339</f>
        <v>0</v>
      </c>
      <c r="F339">
        <f>T!F339</f>
        <v>0</v>
      </c>
      <c r="G339">
        <f>T!G339</f>
        <v>0</v>
      </c>
      <c r="H339">
        <f>T!H339</f>
        <v>0</v>
      </c>
      <c r="I339">
        <f>T!N339</f>
        <v>0</v>
      </c>
    </row>
    <row r="340" spans="2:9">
      <c r="B340">
        <f>T!B340</f>
        <v>0</v>
      </c>
      <c r="C340">
        <f>T!C340</f>
        <v>0</v>
      </c>
      <c r="D340">
        <f>T!D340</f>
        <v>0</v>
      </c>
      <c r="E340">
        <f>T!E340</f>
        <v>0</v>
      </c>
      <c r="F340">
        <f>T!F340</f>
        <v>0</v>
      </c>
      <c r="G340">
        <f>T!G340</f>
        <v>0</v>
      </c>
      <c r="H340">
        <f>T!H340</f>
        <v>0</v>
      </c>
      <c r="I340">
        <f>T!N340</f>
        <v>0</v>
      </c>
    </row>
    <row r="341" spans="2:9">
      <c r="B341" t="str">
        <f>T!B341</f>
        <v>Delta Hourly Integrated Maximum and Minimum COP2</v>
      </c>
      <c r="C341">
        <f>T!C341</f>
        <v>0</v>
      </c>
      <c r="D341">
        <f>T!D341</f>
        <v>0</v>
      </c>
      <c r="E341">
        <f>T!E341</f>
        <v>0</v>
      </c>
      <c r="F341">
        <f>T!F341</f>
        <v>0</v>
      </c>
      <c r="G341">
        <f>T!G341</f>
        <v>0</v>
      </c>
      <c r="H341">
        <f>T!H341</f>
        <v>0</v>
      </c>
      <c r="I341">
        <f>T!N341</f>
        <v>0</v>
      </c>
    </row>
    <row r="342" spans="2:9">
      <c r="B342" t="str">
        <f>T!B342</f>
        <v>Maximum COP2</v>
      </c>
      <c r="C342">
        <f>T!C342</f>
        <v>0</v>
      </c>
      <c r="D342">
        <f>T!D342</f>
        <v>0</v>
      </c>
      <c r="E342">
        <f>T!E342</f>
        <v>0</v>
      </c>
      <c r="F342">
        <f>T!F342</f>
        <v>0</v>
      </c>
      <c r="G342">
        <f>T!G342</f>
        <v>0</v>
      </c>
      <c r="H342">
        <f>T!H342</f>
        <v>0</v>
      </c>
      <c r="I342">
        <f>T!N342</f>
        <v>0</v>
      </c>
    </row>
    <row r="343" spans="2:9">
      <c r="B343">
        <f>T!B343</f>
        <v>0</v>
      </c>
      <c r="C343" t="str">
        <f>T!C343</f>
        <v>TRNSYS</v>
      </c>
      <c r="D343" t="str">
        <f>T!D343</f>
        <v>DOE-2.2</v>
      </c>
      <c r="E343" t="str">
        <f>T!E343</f>
        <v>DOE21E-E</v>
      </c>
      <c r="F343" t="str">
        <f>T!F343</f>
        <v>Energy+</v>
      </c>
      <c r="G343" t="str">
        <f>T!G343</f>
        <v>CODYRUN</v>
      </c>
      <c r="H343" t="str">
        <f>T!H343</f>
        <v>HOT3000</v>
      </c>
      <c r="I343">
        <f>T!N343</f>
        <v>0</v>
      </c>
    </row>
    <row r="344" spans="2:9">
      <c r="B344">
        <f>T!B344</f>
        <v>0</v>
      </c>
      <c r="C344" t="s">
        <v>569</v>
      </c>
      <c r="D344" t="s">
        <v>570</v>
      </c>
      <c r="E344" t="s">
        <v>573</v>
      </c>
      <c r="F344" t="s">
        <v>617</v>
      </c>
      <c r="G344" t="s">
        <v>571</v>
      </c>
      <c r="H344" t="s">
        <v>572</v>
      </c>
      <c r="I344" t="s">
        <v>522</v>
      </c>
    </row>
    <row r="345" spans="2:9">
      <c r="B345" t="s">
        <v>343</v>
      </c>
      <c r="C345">
        <f>T!C345</f>
        <v>-2.503710504220269E-2</v>
      </c>
      <c r="D345">
        <f>T!D345</f>
        <v>0.2719999999999998</v>
      </c>
      <c r="E345">
        <f>T!E345</f>
        <v>0.27099999999999991</v>
      </c>
      <c r="F345">
        <f>T!F345</f>
        <v>0.27226166768202509</v>
      </c>
      <c r="G345">
        <f>T!G345</f>
        <v>0.25702934970804447</v>
      </c>
      <c r="H345">
        <f>T!H345</f>
        <v>0.24000000000000021</v>
      </c>
      <c r="I345">
        <f>T!N345</f>
        <v>0</v>
      </c>
    </row>
    <row r="346" spans="2:9">
      <c r="B346" t="s">
        <v>344</v>
      </c>
      <c r="C346">
        <f>T!C346</f>
        <v>0</v>
      </c>
      <c r="D346">
        <f>T!D346</f>
        <v>1.2739999999999996</v>
      </c>
      <c r="E346">
        <f>T!E346</f>
        <v>1.1099999999999994</v>
      </c>
      <c r="F346">
        <f>T!F346</f>
        <v>4.1596239215089259E-2</v>
      </c>
      <c r="G346">
        <f>T!G346</f>
        <v>7.2694012320202006E-2</v>
      </c>
      <c r="H346">
        <f>T!H346</f>
        <v>0.5</v>
      </c>
      <c r="I346">
        <f>T!N346</f>
        <v>0</v>
      </c>
    </row>
    <row r="347" spans="2:9">
      <c r="B347" t="s">
        <v>334</v>
      </c>
      <c r="C347">
        <f>T!C347</f>
        <v>0</v>
      </c>
      <c r="D347">
        <f>T!D347</f>
        <v>0.23999999999999977</v>
      </c>
      <c r="E347">
        <f>T!E347</f>
        <v>1.7379999999999995</v>
      </c>
      <c r="F347">
        <f>T!F347</f>
        <v>0.17298837863495686</v>
      </c>
      <c r="G347">
        <f>T!G347</f>
        <v>0.25133541762216671</v>
      </c>
      <c r="H347">
        <f>T!H347</f>
        <v>0.16999999999999993</v>
      </c>
      <c r="I347">
        <f>T!N347</f>
        <v>0</v>
      </c>
    </row>
    <row r="348" spans="2:9">
      <c r="B348" t="s">
        <v>453</v>
      </c>
      <c r="C348">
        <f>T!C348</f>
        <v>0</v>
      </c>
      <c r="D348">
        <f>T!D348</f>
        <v>-1.0339999999999998</v>
      </c>
      <c r="E348">
        <f>T!E348</f>
        <v>0.62800000000000011</v>
      </c>
      <c r="F348">
        <f>T!F348</f>
        <v>0.1313921394198676</v>
      </c>
      <c r="G348">
        <f>T!G348</f>
        <v>0.17864140530196471</v>
      </c>
      <c r="H348">
        <f>T!H348</f>
        <v>-0.33000000000000007</v>
      </c>
      <c r="I348">
        <f>T!N348</f>
        <v>0</v>
      </c>
    </row>
    <row r="349" spans="2:9">
      <c r="B349" t="s">
        <v>454</v>
      </c>
      <c r="C349">
        <f>T!C349</f>
        <v>0</v>
      </c>
      <c r="D349">
        <f>T!D349</f>
        <v>0.75200000000000022</v>
      </c>
      <c r="E349">
        <f>T!E349</f>
        <v>1.4820000000000002</v>
      </c>
      <c r="F349">
        <f>T!F349</f>
        <v>9.152234678082527E-2</v>
      </c>
      <c r="G349">
        <f>T!G349</f>
        <v>0.14655015781869229</v>
      </c>
      <c r="H349">
        <f>T!H349</f>
        <v>7.0000000000000284E-2</v>
      </c>
      <c r="I349">
        <f>T!N349</f>
        <v>0</v>
      </c>
    </row>
    <row r="350" spans="2:9">
      <c r="B350" t="s">
        <v>455</v>
      </c>
      <c r="C350">
        <f>T!C350</f>
        <v>0</v>
      </c>
      <c r="D350">
        <f>T!D350</f>
        <v>-0.51200000000000045</v>
      </c>
      <c r="E350">
        <f>T!E350</f>
        <v>0.25599999999999934</v>
      </c>
      <c r="F350">
        <f>T!F350</f>
        <v>8.1466031854131593E-2</v>
      </c>
      <c r="G350">
        <f>T!G350</f>
        <v>0.10478525980347442</v>
      </c>
      <c r="H350">
        <f>T!H350</f>
        <v>9.9999999999999645E-2</v>
      </c>
      <c r="I350">
        <f>T!N350</f>
        <v>0</v>
      </c>
    </row>
    <row r="351" spans="2:9">
      <c r="B351" t="s">
        <v>335</v>
      </c>
      <c r="C351">
        <f>T!C351</f>
        <v>0</v>
      </c>
      <c r="D351">
        <f>T!D351</f>
        <v>1.9999999999999574E-2</v>
      </c>
      <c r="E351">
        <f>T!E351</f>
        <v>5.9999999999997833E-3</v>
      </c>
      <c r="F351">
        <f>T!F351</f>
        <v>0.42215893494423673</v>
      </c>
      <c r="G351">
        <f>T!G351</f>
        <v>6.1488078409198899E-2</v>
      </c>
      <c r="H351">
        <f>T!H351</f>
        <v>0</v>
      </c>
      <c r="I351">
        <f>T!N351</f>
        <v>0</v>
      </c>
    </row>
    <row r="352" spans="2:9">
      <c r="B352" t="s">
        <v>472</v>
      </c>
      <c r="C352">
        <f>T!C352</f>
        <v>0.23262741822968813</v>
      </c>
      <c r="D352">
        <f>T!D352</f>
        <v>0.55899999999999972</v>
      </c>
      <c r="E352">
        <f>T!E352</f>
        <v>0.5699999999999994</v>
      </c>
      <c r="F352">
        <f>T!F352</f>
        <v>0.50758073013964866</v>
      </c>
      <c r="G352">
        <f>T!G352</f>
        <v>0.56139931610307636</v>
      </c>
      <c r="H352">
        <f>T!H352</f>
        <v>0.5600000000000005</v>
      </c>
      <c r="I352">
        <f>T!N352</f>
        <v>0</v>
      </c>
    </row>
    <row r="353" spans="2:9">
      <c r="B353" t="s">
        <v>336</v>
      </c>
      <c r="C353">
        <f>T!C353</f>
        <v>-9.1397944443967205E-2</v>
      </c>
      <c r="D353">
        <f>T!D353</f>
        <v>0.21899999999999986</v>
      </c>
      <c r="E353">
        <f>T!E353</f>
        <v>0.91899999999999959</v>
      </c>
      <c r="F353">
        <f>T!F353</f>
        <v>0.17296994164320045</v>
      </c>
      <c r="G353">
        <f>T!G353</f>
        <v>0</v>
      </c>
      <c r="H353">
        <f>T!H353</f>
        <v>0.16999999999999993</v>
      </c>
      <c r="I353">
        <f>T!N353</f>
        <v>0</v>
      </c>
    </row>
    <row r="354" spans="2:9">
      <c r="B354" t="s">
        <v>337</v>
      </c>
      <c r="C354">
        <f>T!C354</f>
        <v>-0.28042792095087998</v>
      </c>
      <c r="D354">
        <f>T!D354</f>
        <v>3.3999999999999808E-2</v>
      </c>
      <c r="E354">
        <f>T!E354</f>
        <v>-2.0000000000002238E-3</v>
      </c>
      <c r="F354">
        <f>T!F354</f>
        <v>0</v>
      </c>
      <c r="G354">
        <f>T!G354</f>
        <v>0</v>
      </c>
      <c r="H354">
        <f>T!H354</f>
        <v>-4.0000000000000036E-2</v>
      </c>
      <c r="I354">
        <f>T!N354</f>
        <v>0</v>
      </c>
    </row>
    <row r="355" spans="2:9">
      <c r="B355" t="s">
        <v>338</v>
      </c>
      <c r="C355">
        <f>T!C355</f>
        <v>-0.38704909834862278</v>
      </c>
      <c r="D355">
        <f>T!D355</f>
        <v>-6.2000000000000277E-2</v>
      </c>
      <c r="E355">
        <f>T!E355</f>
        <v>-9.8000000000000309E-2</v>
      </c>
      <c r="F355">
        <f>T!F355</f>
        <v>-7.8559344622752825E-2</v>
      </c>
      <c r="G355">
        <f>T!G355</f>
        <v>0</v>
      </c>
      <c r="H355">
        <f>T!H355</f>
        <v>6.0000000000000053E-2</v>
      </c>
      <c r="I355">
        <f>T!N355</f>
        <v>0</v>
      </c>
    </row>
    <row r="356" spans="2:9">
      <c r="B356" t="s">
        <v>339</v>
      </c>
      <c r="C356">
        <f>T!C356</f>
        <v>-0.38704909834862278</v>
      </c>
      <c r="D356">
        <f>T!D356</f>
        <v>-6.4000000000000057E-2</v>
      </c>
      <c r="E356">
        <f>T!E356</f>
        <v>-9.8000000000000309E-2</v>
      </c>
      <c r="F356">
        <f>T!F356</f>
        <v>-0.11876839272381767</v>
      </c>
      <c r="G356">
        <f>T!G356</f>
        <v>0</v>
      </c>
      <c r="H356">
        <f>T!H356</f>
        <v>5.0000000000000266E-2</v>
      </c>
      <c r="I356">
        <f>T!N356</f>
        <v>0</v>
      </c>
    </row>
    <row r="357" spans="2:9">
      <c r="B357" t="s">
        <v>340</v>
      </c>
      <c r="C357">
        <f>T!C357</f>
        <v>-0.28486266604066124</v>
      </c>
      <c r="D357">
        <f>T!D357</f>
        <v>-9.5000000000000195E-2</v>
      </c>
      <c r="E357">
        <f>T!E357</f>
        <v>-9.8000000000000309E-2</v>
      </c>
      <c r="F357">
        <f>T!F357</f>
        <v>-0.11876839272382078</v>
      </c>
      <c r="G357">
        <f>T!G357</f>
        <v>0</v>
      </c>
      <c r="H357">
        <f>T!H357</f>
        <v>-6.999999999999984E-2</v>
      </c>
      <c r="I357">
        <f>T!N357</f>
        <v>0</v>
      </c>
    </row>
    <row r="358" spans="2:9">
      <c r="B358" t="s">
        <v>341</v>
      </c>
      <c r="C358">
        <f>T!C358</f>
        <v>0.10680263386901867</v>
      </c>
      <c r="D358">
        <f>T!D358</f>
        <v>3.4979999999999998</v>
      </c>
      <c r="E358">
        <f>T!E358</f>
        <v>1.444</v>
      </c>
      <c r="F358">
        <f>T!F358</f>
        <v>0.31113093132894454</v>
      </c>
      <c r="G358">
        <f>T!G358</f>
        <v>0.31401119721875537</v>
      </c>
      <c r="H358">
        <f>T!H358</f>
        <v>0.25999999999999979</v>
      </c>
      <c r="I358">
        <f>T!N358</f>
        <v>0</v>
      </c>
    </row>
    <row r="359" spans="2:9">
      <c r="B359" t="s">
        <v>342</v>
      </c>
      <c r="C359">
        <f>T!C359</f>
        <v>0.41740162823860505</v>
      </c>
      <c r="D359">
        <f>T!D359</f>
        <v>0</v>
      </c>
      <c r="E359">
        <f>T!E359</f>
        <v>0</v>
      </c>
      <c r="F359">
        <f>T!F359</f>
        <v>0.47259136106608768</v>
      </c>
      <c r="G359">
        <f>T!G359</f>
        <v>0.50496243692161258</v>
      </c>
      <c r="H359">
        <f>T!H359</f>
        <v>0.39000000000000057</v>
      </c>
      <c r="I359">
        <f>T!N359</f>
        <v>0</v>
      </c>
    </row>
    <row r="360" spans="2:9">
      <c r="B360" t="s">
        <v>345</v>
      </c>
      <c r="C360">
        <f>T!C360</f>
        <v>0.90401996268755447</v>
      </c>
      <c r="D360">
        <f>T!D360</f>
        <v>1.4290000000000003</v>
      </c>
      <c r="E360">
        <f>T!E360</f>
        <v>1.3789999999999996</v>
      </c>
      <c r="F360">
        <f>T!F360</f>
        <v>0.83955293398003983</v>
      </c>
      <c r="G360">
        <f>T!G360</f>
        <v>0.8363252567480095</v>
      </c>
      <c r="H360">
        <f>T!H360</f>
        <v>0.5600000000000005</v>
      </c>
      <c r="I360">
        <f>T!N360</f>
        <v>0</v>
      </c>
    </row>
    <row r="361" spans="2:9">
      <c r="B361" t="s">
        <v>346</v>
      </c>
      <c r="C361">
        <f>T!C361</f>
        <v>-0.26906792864342766</v>
      </c>
      <c r="D361">
        <f>T!D361</f>
        <v>-3.3860000000000001</v>
      </c>
      <c r="E361">
        <f>T!E361</f>
        <v>-1.4510000000000001</v>
      </c>
      <c r="F361">
        <f>T!F361</f>
        <v>-0.31412736189766077</v>
      </c>
      <c r="G361">
        <f>T!G361</f>
        <v>-0.34457714151234953</v>
      </c>
      <c r="H361">
        <f>T!H361</f>
        <v>-0.25999999999999979</v>
      </c>
      <c r="I361">
        <f>T!N361</f>
        <v>0</v>
      </c>
    </row>
    <row r="362" spans="2:9">
      <c r="B362" t="s">
        <v>347</v>
      </c>
      <c r="C362">
        <f>T!C362</f>
        <v>0.79447541603758243</v>
      </c>
      <c r="D362">
        <f>T!D362</f>
        <v>0.81900000000000039</v>
      </c>
      <c r="E362">
        <f>T!E362</f>
        <v>0.97299999999999986</v>
      </c>
      <c r="F362">
        <f>T!F362</f>
        <v>0.69872584650537961</v>
      </c>
      <c r="G362">
        <f>T!G362</f>
        <v>0.48982188295165363</v>
      </c>
      <c r="H362">
        <f>T!H362</f>
        <v>0.48</v>
      </c>
      <c r="I362">
        <f>T!N362</f>
        <v>0</v>
      </c>
    </row>
    <row r="363" spans="2:9">
      <c r="B363" t="str">
        <f>T!B363</f>
        <v>Minimum COP2</v>
      </c>
      <c r="C363">
        <f>T!C363</f>
        <v>0</v>
      </c>
      <c r="D363">
        <f>T!D363</f>
        <v>0</v>
      </c>
      <c r="E363">
        <f>T!E363</f>
        <v>0</v>
      </c>
      <c r="F363">
        <f>T!F363</f>
        <v>0</v>
      </c>
      <c r="G363">
        <f>T!G363</f>
        <v>0</v>
      </c>
      <c r="H363">
        <f>T!H363</f>
        <v>0</v>
      </c>
      <c r="I363">
        <f>T!N363</f>
        <v>0</v>
      </c>
    </row>
    <row r="364" spans="2:9">
      <c r="B364">
        <f>T!B364</f>
        <v>0</v>
      </c>
      <c r="C364" t="str">
        <f>T!C364</f>
        <v>TRNSYS</v>
      </c>
      <c r="D364" t="str">
        <f>T!D364</f>
        <v>DOE-2.2</v>
      </c>
      <c r="E364" t="str">
        <f>T!E364</f>
        <v>DOE21E-E</v>
      </c>
      <c r="F364" t="str">
        <f>T!F364</f>
        <v>Energy+</v>
      </c>
      <c r="G364" t="str">
        <f>T!G364</f>
        <v>CODYRUN</v>
      </c>
      <c r="H364" t="str">
        <f>T!H364</f>
        <v>HOT3000</v>
      </c>
      <c r="I364">
        <f>T!N364</f>
        <v>0</v>
      </c>
    </row>
    <row r="365" spans="2:9">
      <c r="B365">
        <f>T!B365</f>
        <v>0</v>
      </c>
      <c r="C365" t="s">
        <v>569</v>
      </c>
      <c r="D365" t="s">
        <v>570</v>
      </c>
      <c r="E365" t="s">
        <v>573</v>
      </c>
      <c r="F365" t="s">
        <v>617</v>
      </c>
      <c r="G365" t="s">
        <v>571</v>
      </c>
      <c r="H365" t="s">
        <v>572</v>
      </c>
      <c r="I365" t="s">
        <v>522</v>
      </c>
    </row>
    <row r="366" spans="2:9">
      <c r="B366" t="s">
        <v>343</v>
      </c>
      <c r="C366">
        <f>T!C366</f>
        <v>7.2168953545786341E-2</v>
      </c>
      <c r="D366">
        <f>T!D366</f>
        <v>5.2000000000000046E-2</v>
      </c>
      <c r="E366">
        <f>T!E366</f>
        <v>4.9999999999999822E-2</v>
      </c>
      <c r="F366">
        <f>T!F366</f>
        <v>9.273313228388691E-2</v>
      </c>
      <c r="G366">
        <f>T!G366</f>
        <v>8.7015424049905921E-2</v>
      </c>
      <c r="H366">
        <f>T!H366</f>
        <v>6.0000000000000053E-2</v>
      </c>
      <c r="I366">
        <f>T!N366</f>
        <v>0</v>
      </c>
    </row>
    <row r="367" spans="2:9">
      <c r="B367" t="s">
        <v>344</v>
      </c>
      <c r="C367">
        <f>T!C367</f>
        <v>3.2137147461959614E-2</v>
      </c>
      <c r="D367">
        <f>T!D367</f>
        <v>3.0000000000001137E-3</v>
      </c>
      <c r="E367">
        <f>T!E367</f>
        <v>4.0000000000000036E-3</v>
      </c>
      <c r="F367">
        <f>T!F367</f>
        <v>4.868888079806899E-2</v>
      </c>
      <c r="G367">
        <f>T!G367</f>
        <v>2.8893343731450472E-2</v>
      </c>
      <c r="H367">
        <f>T!H367</f>
        <v>2.0000000000000018E-2</v>
      </c>
      <c r="I367">
        <f>T!N367</f>
        <v>0</v>
      </c>
    </row>
    <row r="368" spans="2:9">
      <c r="B368" t="s">
        <v>334</v>
      </c>
      <c r="C368">
        <f>T!C368</f>
        <v>3.2137147461959614E-2</v>
      </c>
      <c r="D368">
        <f>T!D368</f>
        <v>0</v>
      </c>
      <c r="E368">
        <f>T!E368</f>
        <v>0</v>
      </c>
      <c r="F368">
        <f>T!F368</f>
        <v>5.4160676258335094E-2</v>
      </c>
      <c r="G368">
        <f>T!G368</f>
        <v>3.7696176579154805E-2</v>
      </c>
      <c r="H368">
        <f>T!H368</f>
        <v>2.9999999999999805E-2</v>
      </c>
      <c r="I368">
        <f>T!N368</f>
        <v>0</v>
      </c>
    </row>
    <row r="369" spans="2:9">
      <c r="B369" t="s">
        <v>453</v>
      </c>
      <c r="C369">
        <f>T!C369</f>
        <v>0</v>
      </c>
      <c r="D369">
        <f>T!D369</f>
        <v>-3.0000000000001137E-3</v>
      </c>
      <c r="E369">
        <f>T!E369</f>
        <v>-4.0000000000000036E-3</v>
      </c>
      <c r="F369">
        <f>T!F369</f>
        <v>5.4717954602661045E-3</v>
      </c>
      <c r="G369">
        <f>T!G369</f>
        <v>8.8028328477043338E-3</v>
      </c>
      <c r="H369">
        <f>T!H369</f>
        <v>9.9999999999997868E-3</v>
      </c>
      <c r="I369">
        <f>T!N369</f>
        <v>0</v>
      </c>
    </row>
    <row r="370" spans="2:9">
      <c r="B370" t="s">
        <v>454</v>
      </c>
      <c r="C370">
        <f>T!C370</f>
        <v>3.2137147461959614E-2</v>
      </c>
      <c r="D370">
        <f>T!D370</f>
        <v>0</v>
      </c>
      <c r="E370">
        <f>T!E370</f>
        <v>0</v>
      </c>
      <c r="F370">
        <f>T!F370</f>
        <v>5.4160676258335094E-2</v>
      </c>
      <c r="G370">
        <f>T!G370</f>
        <v>3.7696176579154805E-2</v>
      </c>
      <c r="H370">
        <f>T!H370</f>
        <v>2.9999999999999805E-2</v>
      </c>
      <c r="I370">
        <f>T!N370</f>
        <v>0</v>
      </c>
    </row>
    <row r="371" spans="2:9">
      <c r="B371" t="s">
        <v>455</v>
      </c>
      <c r="C371">
        <f>T!C371</f>
        <v>0</v>
      </c>
      <c r="D371">
        <f>T!D371</f>
        <v>0</v>
      </c>
      <c r="E371">
        <f>T!E371</f>
        <v>0</v>
      </c>
      <c r="F371">
        <f>T!F371</f>
        <v>0</v>
      </c>
      <c r="G371">
        <f>T!G371</f>
        <v>0</v>
      </c>
      <c r="H371">
        <f>T!H371</f>
        <v>0</v>
      </c>
      <c r="I371">
        <f>T!N371</f>
        <v>0</v>
      </c>
    </row>
    <row r="372" spans="2:9">
      <c r="B372" t="s">
        <v>335</v>
      </c>
      <c r="C372">
        <f>T!C372</f>
        <v>-2.6371945346084225E-3</v>
      </c>
      <c r="D372">
        <f>T!D372</f>
        <v>0</v>
      </c>
      <c r="E372">
        <f>T!E372</f>
        <v>0</v>
      </c>
      <c r="F372">
        <f>T!F372</f>
        <v>-8.3390732097399223E-8</v>
      </c>
      <c r="G372">
        <f>T!G372</f>
        <v>2.7963113494866576E-4</v>
      </c>
      <c r="H372">
        <f>T!H372</f>
        <v>0</v>
      </c>
      <c r="I372">
        <f>T!N372</f>
        <v>0</v>
      </c>
    </row>
    <row r="373" spans="2:9">
      <c r="B373" t="s">
        <v>472</v>
      </c>
      <c r="C373">
        <f>T!C373</f>
        <v>3.2137147461959614E-2</v>
      </c>
      <c r="D373">
        <f>T!D373</f>
        <v>9.9999999999988987E-4</v>
      </c>
      <c r="E373">
        <f>T!E373</f>
        <v>0</v>
      </c>
      <c r="F373">
        <f>T!F373</f>
        <v>5.4162993142750526E-2</v>
      </c>
      <c r="G373">
        <f>T!G373</f>
        <v>3.7696176579154805E-2</v>
      </c>
      <c r="H373">
        <f>T!H373</f>
        <v>2.9999999999999805E-2</v>
      </c>
      <c r="I373">
        <f>T!N373</f>
        <v>0</v>
      </c>
    </row>
    <row r="374" spans="2:9">
      <c r="B374" t="s">
        <v>336</v>
      </c>
      <c r="C374">
        <f>T!C374</f>
        <v>-1.1154911313208782E-2</v>
      </c>
      <c r="D374">
        <f>T!D374</f>
        <v>-6.4000000000000057E-2</v>
      </c>
      <c r="E374">
        <f>T!E374</f>
        <v>-6.6000000000000281E-2</v>
      </c>
      <c r="F374">
        <f>T!F374</f>
        <v>-4.2364992269838808E-7</v>
      </c>
      <c r="G374">
        <f>T!G374</f>
        <v>0</v>
      </c>
      <c r="H374">
        <f>T!H374</f>
        <v>0</v>
      </c>
      <c r="I374">
        <f>T!N374</f>
        <v>0</v>
      </c>
    </row>
    <row r="375" spans="2:9">
      <c r="B375" t="s">
        <v>337</v>
      </c>
      <c r="C375">
        <f>T!C375</f>
        <v>-7.2339227856548227E-3</v>
      </c>
      <c r="D375">
        <f>T!D375</f>
        <v>0</v>
      </c>
      <c r="E375">
        <f>T!E375</f>
        <v>0</v>
      </c>
      <c r="F375">
        <f>T!F375</f>
        <v>0</v>
      </c>
      <c r="G375">
        <f>T!G375</f>
        <v>0</v>
      </c>
      <c r="H375">
        <f>T!H375</f>
        <v>0</v>
      </c>
      <c r="I375">
        <f>T!N375</f>
        <v>0</v>
      </c>
    </row>
    <row r="376" spans="2:9">
      <c r="B376" t="s">
        <v>338</v>
      </c>
      <c r="C376">
        <f>T!C376</f>
        <v>0</v>
      </c>
      <c r="D376">
        <f>T!D376</f>
        <v>0</v>
      </c>
      <c r="E376">
        <f>T!E376</f>
        <v>0</v>
      </c>
      <c r="F376">
        <f>T!F376</f>
        <v>0</v>
      </c>
      <c r="G376">
        <f>T!G376</f>
        <v>0</v>
      </c>
      <c r="H376">
        <f>T!H376</f>
        <v>0</v>
      </c>
      <c r="I376">
        <f>T!N376</f>
        <v>0</v>
      </c>
    </row>
    <row r="377" spans="2:9">
      <c r="B377" t="s">
        <v>339</v>
      </c>
      <c r="C377">
        <f>T!C377</f>
        <v>-2.1928500576346988E-2</v>
      </c>
      <c r="D377">
        <f>T!D377</f>
        <v>-6.4000000000000057E-2</v>
      </c>
      <c r="E377">
        <f>T!E377</f>
        <v>-6.6000000000000281E-2</v>
      </c>
      <c r="F377">
        <f>T!F377</f>
        <v>4.8849813083506888E-15</v>
      </c>
      <c r="G377">
        <f>T!G377</f>
        <v>0</v>
      </c>
      <c r="H377">
        <f>T!H377</f>
        <v>0</v>
      </c>
      <c r="I377">
        <f>T!N377</f>
        <v>0</v>
      </c>
    </row>
    <row r="378" spans="2:9">
      <c r="B378" t="s">
        <v>340</v>
      </c>
      <c r="C378">
        <f>T!C378</f>
        <v>-1.0584563811382619E-2</v>
      </c>
      <c r="D378">
        <f>T!D378</f>
        <v>-6.4000000000000057E-2</v>
      </c>
      <c r="E378">
        <f>T!E378</f>
        <v>-6.6000000000000281E-2</v>
      </c>
      <c r="F378">
        <f>T!F378</f>
        <v>0</v>
      </c>
      <c r="G378">
        <f>T!G378</f>
        <v>0</v>
      </c>
      <c r="H378">
        <f>T!H378</f>
        <v>0</v>
      </c>
      <c r="I378">
        <f>T!N378</f>
        <v>0</v>
      </c>
    </row>
    <row r="379" spans="2:9">
      <c r="B379" t="s">
        <v>341</v>
      </c>
      <c r="C379">
        <f>T!C379</f>
        <v>-0.1078688539372723</v>
      </c>
      <c r="D379">
        <f>T!D379</f>
        <v>-0.10499999999999998</v>
      </c>
      <c r="E379">
        <f>T!E379</f>
        <v>-0.14900000000000002</v>
      </c>
      <c r="F379">
        <f>T!F379</f>
        <v>-7.9651908256616721E-2</v>
      </c>
      <c r="G379">
        <f>T!G379</f>
        <v>-0.11916499482050069</v>
      </c>
      <c r="H379">
        <f>T!H379</f>
        <v>-0.10000000000000009</v>
      </c>
      <c r="I379">
        <f>T!N379</f>
        <v>0</v>
      </c>
    </row>
    <row r="380" spans="2:9">
      <c r="B380" t="s">
        <v>342</v>
      </c>
      <c r="C380">
        <f>T!C380</f>
        <v>0.20276147008734036</v>
      </c>
      <c r="D380">
        <f>T!D380</f>
        <v>0.12400000000000011</v>
      </c>
      <c r="E380">
        <f>T!E380</f>
        <v>0</v>
      </c>
      <c r="F380">
        <f>T!F380</f>
        <v>0.20450675292110843</v>
      </c>
      <c r="G380">
        <f>T!G380</f>
        <v>0.21527193535405598</v>
      </c>
      <c r="H380">
        <f>T!H380</f>
        <v>0.18999999999999995</v>
      </c>
      <c r="I380">
        <f>T!N380</f>
        <v>0</v>
      </c>
    </row>
    <row r="381" spans="2:9">
      <c r="B381" t="s">
        <v>345</v>
      </c>
      <c r="C381">
        <f>T!C381</f>
        <v>0.46938675252422701</v>
      </c>
      <c r="D381">
        <f>T!D381</f>
        <v>0.47599999999999998</v>
      </c>
      <c r="E381">
        <f>T!E381</f>
        <v>0.41999999999999993</v>
      </c>
      <c r="F381">
        <f>T!F381</f>
        <v>0.47145034592826551</v>
      </c>
      <c r="G381">
        <f>T!G381</f>
        <v>0.56074008550788701</v>
      </c>
      <c r="H381">
        <f>T!H381</f>
        <v>0.42999999999999972</v>
      </c>
      <c r="I381">
        <f>T!N381</f>
        <v>0</v>
      </c>
    </row>
    <row r="382" spans="2:9">
      <c r="B382" t="s">
        <v>346</v>
      </c>
      <c r="C382">
        <f>T!C382</f>
        <v>-0.18393149263882336</v>
      </c>
      <c r="D382">
        <f>T!D382</f>
        <v>-0.19799999999999995</v>
      </c>
      <c r="E382">
        <f>T!E382</f>
        <v>-0.15399999999999991</v>
      </c>
      <c r="F382">
        <f>T!F382</f>
        <v>-0.20025311402758561</v>
      </c>
      <c r="G382">
        <f>T!G382</f>
        <v>-0.19318171278046226</v>
      </c>
      <c r="H382">
        <f>T!H382</f>
        <v>-0.18999999999999995</v>
      </c>
      <c r="I382">
        <f>T!N382</f>
        <v>0</v>
      </c>
    </row>
    <row r="383" spans="2:9">
      <c r="B383" t="s">
        <v>347</v>
      </c>
      <c r="C383">
        <f>T!C383</f>
        <v>0.4794993906284315</v>
      </c>
      <c r="D383">
        <f>T!D383</f>
        <v>0.45900000000000007</v>
      </c>
      <c r="E383">
        <f>T!E383</f>
        <v>0.45999999999999996</v>
      </c>
      <c r="F383">
        <f>T!F383</f>
        <v>0.37916582296593271</v>
      </c>
      <c r="G383">
        <f>T!G383</f>
        <v>0.54916352304412008</v>
      </c>
      <c r="H383">
        <f>T!H383</f>
        <v>0.44000000000000039</v>
      </c>
      <c r="I383">
        <f>T!N383</f>
        <v>0</v>
      </c>
    </row>
    <row r="386" spans="2:9">
      <c r="B386" t="str">
        <f>T!B386</f>
        <v>Delta Hourly Integrated Maximum and Minimum IDB</v>
      </c>
      <c r="C386">
        <f>T!C386</f>
        <v>0</v>
      </c>
      <c r="D386">
        <f>T!D386</f>
        <v>0</v>
      </c>
      <c r="E386">
        <f>T!E386</f>
        <v>0</v>
      </c>
      <c r="F386">
        <f>T!F386</f>
        <v>0</v>
      </c>
      <c r="G386">
        <f>T!G386</f>
        <v>0</v>
      </c>
      <c r="H386">
        <f>T!H386</f>
        <v>0</v>
      </c>
      <c r="I386">
        <f>T!N386</f>
        <v>0</v>
      </c>
    </row>
    <row r="387" spans="2:9">
      <c r="B387" t="str">
        <f>T!B387</f>
        <v>Maximum IDB (°C)</v>
      </c>
      <c r="C387">
        <f>T!C387</f>
        <v>0</v>
      </c>
      <c r="D387">
        <f>T!D387</f>
        <v>0</v>
      </c>
      <c r="E387">
        <f>T!E387</f>
        <v>0</v>
      </c>
      <c r="F387">
        <f>T!F387</f>
        <v>0</v>
      </c>
      <c r="G387">
        <f>T!G387</f>
        <v>0</v>
      </c>
      <c r="H387">
        <f>T!H387</f>
        <v>0</v>
      </c>
      <c r="I387">
        <f>T!N387</f>
        <v>0</v>
      </c>
    </row>
    <row r="388" spans="2:9">
      <c r="B388">
        <f>T!B388</f>
        <v>0</v>
      </c>
      <c r="C388" t="str">
        <f>T!C388</f>
        <v>TRNSYS</v>
      </c>
      <c r="D388" t="str">
        <f>T!D388</f>
        <v>DOE-2.2</v>
      </c>
      <c r="E388" t="str">
        <f>T!E388</f>
        <v>DOE21E-E</v>
      </c>
      <c r="F388" t="str">
        <f>T!F388</f>
        <v>Energy+</v>
      </c>
      <c r="G388" t="str">
        <f>T!G388</f>
        <v>CODYRUN</v>
      </c>
      <c r="H388" t="str">
        <f>T!H388</f>
        <v>HOT3000</v>
      </c>
      <c r="I388">
        <f>T!N388</f>
        <v>0</v>
      </c>
    </row>
    <row r="389" spans="2:9">
      <c r="B389">
        <f>T!B389</f>
        <v>0</v>
      </c>
      <c r="C389" t="s">
        <v>569</v>
      </c>
      <c r="D389" t="s">
        <v>570</v>
      </c>
      <c r="E389" t="s">
        <v>573</v>
      </c>
      <c r="F389" t="s">
        <v>617</v>
      </c>
      <c r="G389" t="s">
        <v>571</v>
      </c>
      <c r="H389" t="s">
        <v>572</v>
      </c>
      <c r="I389" t="s">
        <v>522</v>
      </c>
    </row>
    <row r="390" spans="2:9">
      <c r="B390" t="s">
        <v>343</v>
      </c>
      <c r="C390">
        <f>T!C390</f>
        <v>0.87790000000000035</v>
      </c>
      <c r="D390">
        <f>T!D390</f>
        <v>1.7800000000000011</v>
      </c>
      <c r="E390">
        <f>T!E390</f>
        <v>1.6099999999999994</v>
      </c>
      <c r="F390">
        <f>T!F390</f>
        <v>1.5534270710994988</v>
      </c>
      <c r="G390">
        <f>T!G390</f>
        <v>1.5700000000000003</v>
      </c>
      <c r="H390">
        <f>T!H390</f>
        <v>1</v>
      </c>
      <c r="I390">
        <f>T!N390</f>
        <v>0</v>
      </c>
    </row>
    <row r="391" spans="2:9">
      <c r="B391" t="s">
        <v>344</v>
      </c>
      <c r="C391">
        <f>T!C391</f>
        <v>6.160499999999999</v>
      </c>
      <c r="D391">
        <f>T!D391</f>
        <v>6.5</v>
      </c>
      <c r="E391">
        <f>T!E391</f>
        <v>6.3900000000000006</v>
      </c>
      <c r="F391">
        <f>T!F391</f>
        <v>6.8406885385305003</v>
      </c>
      <c r="G391">
        <f>T!G391</f>
        <v>7.27</v>
      </c>
      <c r="H391">
        <f>T!H391</f>
        <v>5.4599999999999973</v>
      </c>
      <c r="I391">
        <f>T!N391</f>
        <v>0</v>
      </c>
    </row>
    <row r="392" spans="2:9">
      <c r="B392" t="s">
        <v>334</v>
      </c>
      <c r="C392">
        <f>T!C392</f>
        <v>6.0322000000000031</v>
      </c>
      <c r="D392">
        <f>T!D392</f>
        <v>6.6099999999999994</v>
      </c>
      <c r="E392">
        <f>T!E392</f>
        <v>6.8900000000000006</v>
      </c>
      <c r="F392">
        <f>T!F392</f>
        <v>6.4929797817577004</v>
      </c>
      <c r="G392">
        <f>T!G392</f>
        <v>6.8499999999999979</v>
      </c>
      <c r="H392">
        <f>T!H392</f>
        <v>5.1099999999999994</v>
      </c>
      <c r="I392">
        <f>T!N392</f>
        <v>0</v>
      </c>
    </row>
    <row r="393" spans="2:9">
      <c r="B393" t="s">
        <v>453</v>
      </c>
      <c r="C393">
        <f>T!C393</f>
        <v>-0.12829999999999586</v>
      </c>
      <c r="D393">
        <f>T!D393</f>
        <v>0.10999999999999943</v>
      </c>
      <c r="E393">
        <f>T!E393</f>
        <v>0.5</v>
      </c>
      <c r="F393">
        <f>T!F393</f>
        <v>-0.34770875677279989</v>
      </c>
      <c r="G393">
        <f>T!G393</f>
        <v>-0.42000000000000171</v>
      </c>
      <c r="H393">
        <f>T!H393</f>
        <v>-0.34999999999999787</v>
      </c>
      <c r="I393">
        <f>T!N393</f>
        <v>0</v>
      </c>
    </row>
    <row r="394" spans="2:9">
      <c r="B394" t="s">
        <v>454</v>
      </c>
      <c r="C394">
        <f>T!C394</f>
        <v>6.1067000000000036</v>
      </c>
      <c r="D394">
        <f>T!D394</f>
        <v>6.5</v>
      </c>
      <c r="E394">
        <f>T!E394</f>
        <v>6.4499999999999993</v>
      </c>
      <c r="F394">
        <f>T!F394</f>
        <v>6.7418690787871007</v>
      </c>
      <c r="G394">
        <f>T!G394</f>
        <v>7.0999999999999979</v>
      </c>
      <c r="H394">
        <f>T!H394</f>
        <v>5.389999999999997</v>
      </c>
      <c r="I394">
        <f>T!N394</f>
        <v>0</v>
      </c>
    </row>
    <row r="395" spans="2:9">
      <c r="B395" t="s">
        <v>455</v>
      </c>
      <c r="C395">
        <f>T!C395</f>
        <v>-7.4500000000000455E-2</v>
      </c>
      <c r="D395">
        <f>T!D395</f>
        <v>0.10999999999999943</v>
      </c>
      <c r="E395">
        <f>T!E395</f>
        <v>0.44000000000000128</v>
      </c>
      <c r="F395">
        <f>T!F395</f>
        <v>-0.24888929702940032</v>
      </c>
      <c r="G395">
        <f>T!G395</f>
        <v>-0.25</v>
      </c>
      <c r="H395">
        <f>T!H395</f>
        <v>-0.27999999999999758</v>
      </c>
      <c r="I395">
        <f>T!N395</f>
        <v>0</v>
      </c>
    </row>
    <row r="396" spans="2:9">
      <c r="B396" t="s">
        <v>335</v>
      </c>
      <c r="C396">
        <f>T!C396</f>
        <v>8.3841999999999999</v>
      </c>
      <c r="D396">
        <f>T!D396</f>
        <v>9.8299999999999983</v>
      </c>
      <c r="E396">
        <f>T!E396</f>
        <v>9.8299999999999983</v>
      </c>
      <c r="F396">
        <f>T!F396</f>
        <v>9.9988170901252964</v>
      </c>
      <c r="G396">
        <f>T!G396</f>
        <v>9.9499999999999993</v>
      </c>
      <c r="H396">
        <f>T!H396</f>
        <v>8.8099999999999987</v>
      </c>
      <c r="I396">
        <f>T!N396</f>
        <v>0</v>
      </c>
    </row>
    <row r="397" spans="2:9">
      <c r="B397" t="s">
        <v>472</v>
      </c>
      <c r="C397">
        <f>T!C397</f>
        <v>7.5585999999999984</v>
      </c>
      <c r="D397">
        <f>T!D397</f>
        <v>7.6700000000000017</v>
      </c>
      <c r="E397">
        <f>T!E397</f>
        <v>7.4500000000000028</v>
      </c>
      <c r="F397">
        <f>T!F397</f>
        <v>7.8164966405025957</v>
      </c>
      <c r="G397">
        <f>T!G397</f>
        <v>7.9499999999999993</v>
      </c>
      <c r="H397">
        <f>T!H397</f>
        <v>6.9400000000000013</v>
      </c>
      <c r="I397">
        <f>T!N397</f>
        <v>0</v>
      </c>
    </row>
    <row r="398" spans="2:9">
      <c r="B398" t="s">
        <v>336</v>
      </c>
      <c r="C398">
        <f>T!C398</f>
        <v>0.91489999999999938</v>
      </c>
      <c r="D398">
        <f>T!D398</f>
        <v>2.4499999999999993</v>
      </c>
      <c r="E398">
        <f>T!E398</f>
        <v>3.7199999999999989</v>
      </c>
      <c r="F398">
        <f>T!F398</f>
        <v>1.8999443202266981</v>
      </c>
      <c r="G398">
        <f>T!G398</f>
        <v>0</v>
      </c>
      <c r="H398">
        <f>T!H398</f>
        <v>-0.15000000000000213</v>
      </c>
      <c r="I398">
        <f>T!N398</f>
        <v>0</v>
      </c>
    </row>
    <row r="399" spans="2:9">
      <c r="B399" t="s">
        <v>337</v>
      </c>
      <c r="C399">
        <f>T!C399</f>
        <v>0.62570000000000192</v>
      </c>
      <c r="D399">
        <f>T!D399</f>
        <v>0</v>
      </c>
      <c r="E399">
        <f>T!E399</f>
        <v>0</v>
      </c>
      <c r="F399">
        <f>T!F399</f>
        <v>0</v>
      </c>
      <c r="G399">
        <f>T!G399</f>
        <v>0</v>
      </c>
      <c r="H399">
        <f>T!H399</f>
        <v>0</v>
      </c>
      <c r="I399">
        <f>T!N399</f>
        <v>0</v>
      </c>
    </row>
    <row r="400" spans="2:9">
      <c r="B400" t="s">
        <v>338</v>
      </c>
      <c r="C400">
        <f>T!C400</f>
        <v>0</v>
      </c>
      <c r="D400">
        <f>T!D400</f>
        <v>0</v>
      </c>
      <c r="E400">
        <f>T!E400</f>
        <v>0</v>
      </c>
      <c r="F400">
        <f>T!F400</f>
        <v>-1.5599965763613E-11</v>
      </c>
      <c r="G400">
        <f>T!G400</f>
        <v>0</v>
      </c>
      <c r="H400">
        <f>T!H400</f>
        <v>3.9999999999999147E-2</v>
      </c>
      <c r="I400">
        <f>T!N400</f>
        <v>0</v>
      </c>
    </row>
    <row r="401" spans="2:9">
      <c r="B401" t="s">
        <v>339</v>
      </c>
      <c r="C401">
        <f>T!C401</f>
        <v>0.99930000000000163</v>
      </c>
      <c r="D401">
        <f>T!D401</f>
        <v>0</v>
      </c>
      <c r="E401">
        <f>T!E401</f>
        <v>0</v>
      </c>
      <c r="F401">
        <f>T!F401</f>
        <v>4.8996071370055461E-4</v>
      </c>
      <c r="G401">
        <f>T!G401</f>
        <v>0</v>
      </c>
      <c r="H401">
        <f>T!H401</f>
        <v>0.25999999999999801</v>
      </c>
      <c r="I401">
        <f>T!N401</f>
        <v>0</v>
      </c>
    </row>
    <row r="402" spans="2:9">
      <c r="B402" t="s">
        <v>340</v>
      </c>
      <c r="C402">
        <f>T!C402</f>
        <v>0.84530000000000172</v>
      </c>
      <c r="D402">
        <f>T!D402</f>
        <v>0</v>
      </c>
      <c r="E402">
        <f>T!E402</f>
        <v>0</v>
      </c>
      <c r="F402">
        <f>T!F402</f>
        <v>4.8996071389950657E-4</v>
      </c>
      <c r="G402">
        <f>T!G402</f>
        <v>0</v>
      </c>
      <c r="H402">
        <f>T!H402</f>
        <v>7.0000000000000284E-2</v>
      </c>
      <c r="I402">
        <f>T!N402</f>
        <v>0</v>
      </c>
    </row>
    <row r="403" spans="2:9">
      <c r="B403" t="s">
        <v>341</v>
      </c>
      <c r="C403">
        <f>T!C403</f>
        <v>-0.39450000000000074</v>
      </c>
      <c r="D403">
        <f>T!D403</f>
        <v>0</v>
      </c>
      <c r="E403">
        <f>T!E403</f>
        <v>0</v>
      </c>
      <c r="F403">
        <f>T!F403</f>
        <v>-1.5840422381998565E-3</v>
      </c>
      <c r="G403">
        <f>T!G403</f>
        <v>-3.0000000000001137E-2</v>
      </c>
      <c r="H403">
        <f>T!H403</f>
        <v>-1.1900000000000013</v>
      </c>
      <c r="I403">
        <f>T!N403</f>
        <v>0</v>
      </c>
    </row>
    <row r="404" spans="2:9">
      <c r="B404" t="s">
        <v>342</v>
      </c>
      <c r="C404">
        <f>T!C404</f>
        <v>0.29490000000000194</v>
      </c>
      <c r="D404">
        <f>T!D404</f>
        <v>0</v>
      </c>
      <c r="E404">
        <f>T!E404</f>
        <v>0</v>
      </c>
      <c r="F404">
        <f>T!F404</f>
        <v>8.4880429795930468E-7</v>
      </c>
      <c r="G404">
        <f>T!G404</f>
        <v>0</v>
      </c>
      <c r="H404">
        <f>T!H404</f>
        <v>0</v>
      </c>
      <c r="I404">
        <f>T!N404</f>
        <v>0</v>
      </c>
    </row>
    <row r="405" spans="2:9">
      <c r="B405" t="s">
        <v>345</v>
      </c>
      <c r="C405">
        <f>T!C405</f>
        <v>19.956799999999998</v>
      </c>
      <c r="D405">
        <f>T!D405</f>
        <v>18.950000000000003</v>
      </c>
      <c r="E405">
        <f>T!E405</f>
        <v>19.120000000000005</v>
      </c>
      <c r="F405">
        <f>T!F405</f>
        <v>19.729574874695402</v>
      </c>
      <c r="G405">
        <f>T!G405</f>
        <v>19.02</v>
      </c>
      <c r="H405">
        <f>T!H405</f>
        <v>16.38</v>
      </c>
      <c r="I405">
        <f>T!N405</f>
        <v>0</v>
      </c>
    </row>
    <row r="406" spans="2:9">
      <c r="B406" t="s">
        <v>346</v>
      </c>
      <c r="C406">
        <f>T!C406</f>
        <v>0.31060000000000088</v>
      </c>
      <c r="D406">
        <f>T!D406</f>
        <v>-5.0000000000000711E-2</v>
      </c>
      <c r="E406">
        <f>T!E406</f>
        <v>-5.0000000000000711E-2</v>
      </c>
      <c r="F406">
        <f>T!F406</f>
        <v>1.0307799898008341E-3</v>
      </c>
      <c r="G406">
        <f>T!G406</f>
        <v>0</v>
      </c>
      <c r="H406">
        <f>T!H406</f>
        <v>0</v>
      </c>
      <c r="I406">
        <f>T!N406</f>
        <v>0</v>
      </c>
    </row>
    <row r="407" spans="2:9">
      <c r="B407" t="s">
        <v>347</v>
      </c>
      <c r="C407">
        <f>T!C407</f>
        <v>19.525000000000002</v>
      </c>
      <c r="D407">
        <f>T!D407</f>
        <v>19.89</v>
      </c>
      <c r="E407">
        <f>T!E407</f>
        <v>19.89</v>
      </c>
      <c r="F407">
        <f>T!F407</f>
        <v>19.9975227160919</v>
      </c>
      <c r="G407">
        <f>T!G407</f>
        <v>19.95</v>
      </c>
      <c r="H407">
        <f>T!H407</f>
        <v>20</v>
      </c>
      <c r="I407">
        <f>T!N407</f>
        <v>0</v>
      </c>
    </row>
    <row r="408" spans="2:9">
      <c r="B408" t="str">
        <f>T!B408</f>
        <v>Minimum IDB (°C)</v>
      </c>
      <c r="C408">
        <f>T!C408</f>
        <v>0</v>
      </c>
      <c r="D408">
        <f>T!D408</f>
        <v>0</v>
      </c>
      <c r="E408">
        <f>T!E408</f>
        <v>0</v>
      </c>
      <c r="F408">
        <f>T!F408</f>
        <v>0</v>
      </c>
      <c r="G408">
        <f>T!G408</f>
        <v>0</v>
      </c>
      <c r="H408">
        <f>T!H408</f>
        <v>0</v>
      </c>
      <c r="I408">
        <f>T!N408</f>
        <v>0</v>
      </c>
    </row>
    <row r="409" spans="2:9">
      <c r="B409">
        <f>T!B409</f>
        <v>0</v>
      </c>
      <c r="C409" t="str">
        <f>T!C409</f>
        <v>TRNSYS</v>
      </c>
      <c r="D409" t="str">
        <f>T!D409</f>
        <v>DOE-2.2</v>
      </c>
      <c r="E409" t="str">
        <f>T!E409</f>
        <v>DOE21E-E</v>
      </c>
      <c r="F409" t="str">
        <f>T!F409</f>
        <v>Energy+</v>
      </c>
      <c r="G409" t="str">
        <f>T!G409</f>
        <v>CODYRUN</v>
      </c>
      <c r="H409" t="str">
        <f>T!H409</f>
        <v>HOT3000</v>
      </c>
      <c r="I409">
        <f>T!N409</f>
        <v>0</v>
      </c>
    </row>
    <row r="410" spans="2:9">
      <c r="B410">
        <f>T!B410</f>
        <v>0</v>
      </c>
      <c r="C410" t="s">
        <v>569</v>
      </c>
      <c r="D410" t="s">
        <v>570</v>
      </c>
      <c r="E410" t="s">
        <v>573</v>
      </c>
      <c r="F410" t="s">
        <v>617</v>
      </c>
      <c r="G410" t="s">
        <v>571</v>
      </c>
      <c r="H410" t="s">
        <v>572</v>
      </c>
      <c r="I410" t="s">
        <v>522</v>
      </c>
    </row>
    <row r="411" spans="2:9">
      <c r="B411" t="s">
        <v>343</v>
      </c>
      <c r="C411">
        <f>T!C411</f>
        <v>0</v>
      </c>
      <c r="D411">
        <f>T!D411</f>
        <v>0</v>
      </c>
      <c r="E411">
        <f>T!E411</f>
        <v>0</v>
      </c>
      <c r="F411">
        <f>T!F411</f>
        <v>-7.6877046780055025E-5</v>
      </c>
      <c r="G411">
        <f>T!G411</f>
        <v>0</v>
      </c>
      <c r="H411">
        <f>T!H411</f>
        <v>0</v>
      </c>
      <c r="I411">
        <f>T!N411</f>
        <v>0</v>
      </c>
    </row>
    <row r="412" spans="2:9">
      <c r="B412" t="s">
        <v>344</v>
      </c>
      <c r="C412">
        <f>T!C412</f>
        <v>0</v>
      </c>
      <c r="D412">
        <f>T!D412</f>
        <v>1.9399999999999995</v>
      </c>
      <c r="E412">
        <f>T!E412</f>
        <v>1.9499999999999993</v>
      </c>
      <c r="F412">
        <f>T!F412</f>
        <v>-0.97005714252543918</v>
      </c>
      <c r="G412">
        <f>T!G412</f>
        <v>0</v>
      </c>
      <c r="H412">
        <f>T!H412</f>
        <v>0</v>
      </c>
      <c r="I412">
        <f>T!N412</f>
        <v>0</v>
      </c>
    </row>
    <row r="413" spans="2:9">
      <c r="B413" t="s">
        <v>334</v>
      </c>
      <c r="C413">
        <f>T!C413</f>
        <v>0</v>
      </c>
      <c r="D413">
        <f>T!D413</f>
        <v>0</v>
      </c>
      <c r="E413">
        <f>T!E413</f>
        <v>0</v>
      </c>
      <c r="F413">
        <f>T!F413</f>
        <v>-1.563729725639007E-3</v>
      </c>
      <c r="G413">
        <f>T!G413</f>
        <v>0</v>
      </c>
      <c r="H413">
        <f>T!H413</f>
        <v>0</v>
      </c>
      <c r="I413">
        <f>T!N413</f>
        <v>0</v>
      </c>
    </row>
    <row r="414" spans="2:9">
      <c r="B414" t="s">
        <v>453</v>
      </c>
      <c r="C414">
        <f>T!C414</f>
        <v>0</v>
      </c>
      <c r="D414">
        <f>T!D414</f>
        <v>-1.9399999999999995</v>
      </c>
      <c r="E414">
        <f>T!E414</f>
        <v>-1.9499999999999993</v>
      </c>
      <c r="F414">
        <f>T!F414</f>
        <v>0.96849341279980017</v>
      </c>
      <c r="G414">
        <f>T!G414</f>
        <v>0</v>
      </c>
      <c r="H414">
        <f>T!H414</f>
        <v>0</v>
      </c>
      <c r="I414">
        <f>T!N414</f>
        <v>0</v>
      </c>
    </row>
    <row r="415" spans="2:9">
      <c r="B415" t="s">
        <v>454</v>
      </c>
      <c r="C415">
        <f>T!C415</f>
        <v>0</v>
      </c>
      <c r="D415">
        <f>T!D415</f>
        <v>0</v>
      </c>
      <c r="E415">
        <f>T!E415</f>
        <v>0</v>
      </c>
      <c r="F415">
        <f>T!F415</f>
        <v>-1.563729725639007E-3</v>
      </c>
      <c r="G415">
        <f>T!G415</f>
        <v>0</v>
      </c>
      <c r="H415">
        <f>T!H415</f>
        <v>0</v>
      </c>
      <c r="I415">
        <f>T!N415</f>
        <v>0</v>
      </c>
    </row>
    <row r="416" spans="2:9">
      <c r="B416" t="s">
        <v>455</v>
      </c>
      <c r="C416">
        <f>T!C416</f>
        <v>0</v>
      </c>
      <c r="D416">
        <f>T!D416</f>
        <v>0</v>
      </c>
      <c r="E416">
        <f>T!E416</f>
        <v>0</v>
      </c>
      <c r="F416">
        <f>T!F416</f>
        <v>0</v>
      </c>
      <c r="G416">
        <f>T!G416</f>
        <v>0</v>
      </c>
      <c r="H416">
        <f>T!H416</f>
        <v>0</v>
      </c>
      <c r="I416">
        <f>T!N416</f>
        <v>0</v>
      </c>
    </row>
    <row r="417" spans="2:9">
      <c r="B417" t="s">
        <v>335</v>
      </c>
      <c r="C417">
        <f>T!C417</f>
        <v>0</v>
      </c>
      <c r="D417">
        <f>T!D417</f>
        <v>0</v>
      </c>
      <c r="E417">
        <f>T!E417</f>
        <v>0</v>
      </c>
      <c r="F417">
        <f>T!F417</f>
        <v>0</v>
      </c>
      <c r="G417">
        <f>T!G417</f>
        <v>0</v>
      </c>
      <c r="H417">
        <f>T!H417</f>
        <v>0</v>
      </c>
      <c r="I417">
        <f>T!N417</f>
        <v>0</v>
      </c>
    </row>
    <row r="418" spans="2:9">
      <c r="B418" t="s">
        <v>472</v>
      </c>
      <c r="C418">
        <f>T!C418</f>
        <v>0</v>
      </c>
      <c r="D418">
        <f>T!D418</f>
        <v>0</v>
      </c>
      <c r="E418">
        <f>T!E418</f>
        <v>0</v>
      </c>
      <c r="F418">
        <f>T!F418</f>
        <v>1.7991698002006729E-4</v>
      </c>
      <c r="G418">
        <f>T!G418</f>
        <v>0</v>
      </c>
      <c r="H418">
        <f>T!H418</f>
        <v>0</v>
      </c>
      <c r="I418">
        <f>T!N418</f>
        <v>0</v>
      </c>
    </row>
    <row r="419" spans="2:9">
      <c r="B419" t="s">
        <v>336</v>
      </c>
      <c r="C419">
        <f>T!C419</f>
        <v>0</v>
      </c>
      <c r="D419">
        <f>T!D419</f>
        <v>0</v>
      </c>
      <c r="E419">
        <f>T!E419</f>
        <v>0</v>
      </c>
      <c r="F419">
        <f>T!F419</f>
        <v>-3.0198066269804258E-14</v>
      </c>
      <c r="G419">
        <f>T!G419</f>
        <v>0</v>
      </c>
      <c r="H419">
        <f>T!H419</f>
        <v>0</v>
      </c>
      <c r="I419">
        <f>T!N419</f>
        <v>0</v>
      </c>
    </row>
    <row r="420" spans="2:9">
      <c r="B420" t="s">
        <v>337</v>
      </c>
      <c r="C420">
        <f>T!C420</f>
        <v>0</v>
      </c>
      <c r="D420">
        <f>T!D420</f>
        <v>0</v>
      </c>
      <c r="E420">
        <f>T!E420</f>
        <v>0</v>
      </c>
      <c r="F420">
        <f>T!F420</f>
        <v>0</v>
      </c>
      <c r="G420">
        <f>T!G420</f>
        <v>0</v>
      </c>
      <c r="H420">
        <f>T!H420</f>
        <v>0</v>
      </c>
      <c r="I420">
        <f>T!N420</f>
        <v>0</v>
      </c>
    </row>
    <row r="421" spans="2:9">
      <c r="B421" t="s">
        <v>338</v>
      </c>
      <c r="C421">
        <f>T!C421</f>
        <v>0</v>
      </c>
      <c r="D421">
        <f>T!D421</f>
        <v>0</v>
      </c>
      <c r="E421">
        <f>T!E421</f>
        <v>0</v>
      </c>
      <c r="F421">
        <f>T!F421</f>
        <v>-3.0198066269804258E-14</v>
      </c>
      <c r="G421">
        <f>T!G421</f>
        <v>0</v>
      </c>
      <c r="H421">
        <f>T!H421</f>
        <v>0</v>
      </c>
      <c r="I421">
        <f>T!N421</f>
        <v>0</v>
      </c>
    </row>
    <row r="422" spans="2:9">
      <c r="B422" t="s">
        <v>339</v>
      </c>
      <c r="C422">
        <f>T!C422</f>
        <v>0</v>
      </c>
      <c r="D422">
        <f>T!D422</f>
        <v>0</v>
      </c>
      <c r="E422">
        <f>T!E422</f>
        <v>0</v>
      </c>
      <c r="F422">
        <f>T!F422</f>
        <v>-3.0198066269804258E-14</v>
      </c>
      <c r="G422">
        <f>T!G422</f>
        <v>0</v>
      </c>
      <c r="H422">
        <f>T!H422</f>
        <v>0</v>
      </c>
      <c r="I422">
        <f>T!N422</f>
        <v>0</v>
      </c>
    </row>
    <row r="423" spans="2:9">
      <c r="B423" t="s">
        <v>340</v>
      </c>
      <c r="C423">
        <f>T!C423</f>
        <v>0</v>
      </c>
      <c r="D423">
        <f>T!D423</f>
        <v>0</v>
      </c>
      <c r="E423">
        <f>T!E423</f>
        <v>0</v>
      </c>
      <c r="F423">
        <f>T!F423</f>
        <v>-3.0198066269804258E-14</v>
      </c>
      <c r="G423">
        <f>T!G423</f>
        <v>0</v>
      </c>
      <c r="H423">
        <f>T!H423</f>
        <v>9.9999999999997868E-3</v>
      </c>
      <c r="I423">
        <f>T!N423</f>
        <v>0</v>
      </c>
    </row>
    <row r="424" spans="2:9">
      <c r="B424" t="s">
        <v>341</v>
      </c>
      <c r="C424">
        <f>T!C424</f>
        <v>0.49702999999999964</v>
      </c>
      <c r="D424">
        <f>T!D424</f>
        <v>-0.72000000000000064</v>
      </c>
      <c r="E424">
        <f>T!E424</f>
        <v>-0.88999999999999968</v>
      </c>
      <c r="F424">
        <f>T!F424</f>
        <v>0.11003943738590038</v>
      </c>
      <c r="G424">
        <f>T!G424</f>
        <v>0.53999999999999915</v>
      </c>
      <c r="H424">
        <f>T!H424</f>
        <v>17.049999999999997</v>
      </c>
      <c r="I424">
        <f>T!N424</f>
        <v>0</v>
      </c>
    </row>
    <row r="425" spans="2:9">
      <c r="B425" t="s">
        <v>342</v>
      </c>
      <c r="C425">
        <f>T!C425</f>
        <v>0</v>
      </c>
      <c r="D425">
        <f>T!D425</f>
        <v>0</v>
      </c>
      <c r="E425">
        <f>T!E425</f>
        <v>0</v>
      </c>
      <c r="F425">
        <f>T!F425</f>
        <v>9.3017895608227263E-9</v>
      </c>
      <c r="G425">
        <f>T!G425</f>
        <v>0</v>
      </c>
      <c r="H425">
        <f>T!H425</f>
        <v>0</v>
      </c>
      <c r="I425">
        <f>T!N425</f>
        <v>0</v>
      </c>
    </row>
    <row r="426" spans="2:9">
      <c r="B426" t="s">
        <v>345</v>
      </c>
      <c r="C426">
        <f>T!C426</f>
        <v>0.13888999999999996</v>
      </c>
      <c r="D426">
        <f>T!D426</f>
        <v>6.0000000000000497E-2</v>
      </c>
      <c r="E426">
        <f>T!E426</f>
        <v>5.0000000000000711E-2</v>
      </c>
      <c r="F426">
        <f>T!F426</f>
        <v>0.17939071958815056</v>
      </c>
      <c r="G426">
        <f>T!G426</f>
        <v>2.9999999999999361E-2</v>
      </c>
      <c r="H426">
        <f>T!H426</f>
        <v>19.439999999999998</v>
      </c>
      <c r="I426">
        <f>T!N426</f>
        <v>0</v>
      </c>
    </row>
    <row r="427" spans="2:9">
      <c r="B427" t="s">
        <v>346</v>
      </c>
      <c r="C427">
        <f>T!C427</f>
        <v>-5.5099999999992377E-3</v>
      </c>
      <c r="D427">
        <f>T!D427</f>
        <v>0</v>
      </c>
      <c r="E427">
        <f>T!E427</f>
        <v>0</v>
      </c>
      <c r="F427">
        <f>T!F427</f>
        <v>0.14538547844995087</v>
      </c>
      <c r="G427">
        <f>T!G427</f>
        <v>0</v>
      </c>
      <c r="H427">
        <f>T!H427</f>
        <v>0</v>
      </c>
      <c r="I427">
        <f>T!N427</f>
        <v>0</v>
      </c>
    </row>
    <row r="428" spans="2:9">
      <c r="B428" t="s">
        <v>347</v>
      </c>
      <c r="C428">
        <f>T!C428</f>
        <v>0.22078000000000131</v>
      </c>
      <c r="D428">
        <f>T!D428</f>
        <v>6.0000000000000497E-2</v>
      </c>
      <c r="E428">
        <f>T!E428</f>
        <v>5.0000000000000711E-2</v>
      </c>
      <c r="F428">
        <f>T!F428</f>
        <v>0.1809343780834709</v>
      </c>
      <c r="G428">
        <f>T!G428</f>
        <v>2.9999999999999361E-2</v>
      </c>
      <c r="H428">
        <f>T!H428</f>
        <v>18.059999999999999</v>
      </c>
      <c r="I428">
        <f>T!N428</f>
        <v>0</v>
      </c>
    </row>
    <row r="431" spans="2:9">
      <c r="B431" t="str">
        <f>T!B431</f>
        <v>Delta Hourly Integrated Maximum and Minimum Zone Humidity Ratio</v>
      </c>
      <c r="C431">
        <f>T!C431</f>
        <v>0</v>
      </c>
      <c r="D431">
        <f>T!D431</f>
        <v>0</v>
      </c>
      <c r="E431">
        <f>T!E431</f>
        <v>0</v>
      </c>
      <c r="F431">
        <f>T!F431</f>
        <v>0</v>
      </c>
      <c r="G431">
        <f>T!G431</f>
        <v>0</v>
      </c>
      <c r="H431">
        <f>T!H431</f>
        <v>0</v>
      </c>
      <c r="I431">
        <f>T!N431</f>
        <v>0</v>
      </c>
    </row>
    <row r="432" spans="2:9">
      <c r="B432" t="str">
        <f>T!B432</f>
        <v>Maximum Humidity Ratio (kg/kg)</v>
      </c>
      <c r="C432">
        <f>T!C432</f>
        <v>0</v>
      </c>
      <c r="D432">
        <f>T!D432</f>
        <v>0</v>
      </c>
      <c r="E432">
        <f>T!E432</f>
        <v>0</v>
      </c>
      <c r="F432">
        <f>T!F432</f>
        <v>0</v>
      </c>
      <c r="G432">
        <f>T!G432</f>
        <v>0</v>
      </c>
      <c r="H432">
        <f>T!H432</f>
        <v>0</v>
      </c>
      <c r="I432">
        <f>T!N432</f>
        <v>0</v>
      </c>
    </row>
    <row r="433" spans="2:9">
      <c r="B433">
        <f>T!B433</f>
        <v>0</v>
      </c>
      <c r="C433" t="str">
        <f>T!C433</f>
        <v>TRNSYS</v>
      </c>
      <c r="D433" t="str">
        <f>T!D433</f>
        <v>DOE-2.2</v>
      </c>
      <c r="E433" t="str">
        <f>T!E433</f>
        <v>DOE21E-E</v>
      </c>
      <c r="F433" t="str">
        <f>T!F433</f>
        <v>Energy+</v>
      </c>
      <c r="G433" t="str">
        <f>T!G433</f>
        <v>CODYRUN</v>
      </c>
      <c r="H433" t="str">
        <f>T!H433</f>
        <v>HOT3000</v>
      </c>
      <c r="I433">
        <f>T!N433</f>
        <v>0</v>
      </c>
    </row>
    <row r="434" spans="2:9">
      <c r="B434">
        <f>T!B434</f>
        <v>0</v>
      </c>
      <c r="C434" t="s">
        <v>569</v>
      </c>
      <c r="D434" t="s">
        <v>570</v>
      </c>
      <c r="E434" t="s">
        <v>573</v>
      </c>
      <c r="F434" t="s">
        <v>617</v>
      </c>
      <c r="G434" t="s">
        <v>571</v>
      </c>
      <c r="H434" t="s">
        <v>572</v>
      </c>
      <c r="I434" t="s">
        <v>522</v>
      </c>
    </row>
    <row r="435" spans="2:9">
      <c r="B435" t="s">
        <v>343</v>
      </c>
      <c r="C435">
        <f>T!C435</f>
        <v>2.4657999999999989E-3</v>
      </c>
      <c r="D435">
        <f>T!D435</f>
        <v>5.000000000000001E-3</v>
      </c>
      <c r="E435">
        <f>T!E435</f>
        <v>5.1999999999999998E-3</v>
      </c>
      <c r="F435">
        <f>T!F435</f>
        <v>1.981186203994699E-3</v>
      </c>
      <c r="G435">
        <f>T!G435</f>
        <v>1.9749999999999993E-3</v>
      </c>
      <c r="H435">
        <f>T!H435</f>
        <v>2.2999999999999982E-3</v>
      </c>
      <c r="I435">
        <f>T!N435</f>
        <v>0</v>
      </c>
    </row>
    <row r="436" spans="2:9">
      <c r="B436" t="s">
        <v>344</v>
      </c>
      <c r="C436">
        <f>T!C436</f>
        <v>4.7325999999999983E-3</v>
      </c>
      <c r="D436">
        <f>T!D436</f>
        <v>3.9000000000000007E-3</v>
      </c>
      <c r="E436">
        <f>T!E436</f>
        <v>3.9000000000000007E-3</v>
      </c>
      <c r="F436">
        <f>T!F436</f>
        <v>4.1822998113273009E-3</v>
      </c>
      <c r="G436">
        <f>T!G436</f>
        <v>4.0899999999999999E-3</v>
      </c>
      <c r="H436">
        <f>T!H436</f>
        <v>4.3E-3</v>
      </c>
      <c r="I436">
        <f>T!N436</f>
        <v>0</v>
      </c>
    </row>
    <row r="437" spans="2:9">
      <c r="B437" t="s">
        <v>334</v>
      </c>
      <c r="C437">
        <f>T!C437</f>
        <v>4.3671000000000005E-3</v>
      </c>
      <c r="D437">
        <f>T!D437</f>
        <v>4.0000000000000001E-3</v>
      </c>
      <c r="E437">
        <f>T!E437</f>
        <v>4.0000000000000001E-3</v>
      </c>
      <c r="F437">
        <f>T!F437</f>
        <v>4.3029574478994984E-3</v>
      </c>
      <c r="G437">
        <f>T!G437</f>
        <v>3.5880000000000009E-3</v>
      </c>
      <c r="H437">
        <f>T!H437</f>
        <v>4.3E-3</v>
      </c>
      <c r="I437">
        <f>T!N437</f>
        <v>0</v>
      </c>
    </row>
    <row r="438" spans="2:9">
      <c r="B438" t="s">
        <v>453</v>
      </c>
      <c r="C438">
        <f>T!C438</f>
        <v>-3.6549999999999777E-4</v>
      </c>
      <c r="D438">
        <f>T!D438</f>
        <v>9.9999999999999395E-5</v>
      </c>
      <c r="E438">
        <f>T!E438</f>
        <v>9.9999999999999395E-5</v>
      </c>
      <c r="F438">
        <f>T!F438</f>
        <v>1.2065763657219744E-4</v>
      </c>
      <c r="G438">
        <f>T!G438</f>
        <v>-5.0199999999999897E-4</v>
      </c>
      <c r="H438">
        <f>T!H438</f>
        <v>0</v>
      </c>
      <c r="I438">
        <f>T!N438</f>
        <v>0</v>
      </c>
    </row>
    <row r="439" spans="2:9">
      <c r="B439" t="s">
        <v>454</v>
      </c>
      <c r="C439">
        <f>T!C439</f>
        <v>4.5870999999999985E-3</v>
      </c>
      <c r="D439">
        <f>T!D439</f>
        <v>3.9000000000000007E-3</v>
      </c>
      <c r="E439">
        <f>T!E439</f>
        <v>3.6999999999999984E-3</v>
      </c>
      <c r="F439">
        <f>T!F439</f>
        <v>4.1869013689201998E-3</v>
      </c>
      <c r="G439">
        <f>T!G439</f>
        <v>3.8149999999999989E-3</v>
      </c>
      <c r="H439">
        <f>T!H439</f>
        <v>4.3E-3</v>
      </c>
      <c r="I439">
        <f>T!N439</f>
        <v>0</v>
      </c>
    </row>
    <row r="440" spans="2:9">
      <c r="B440" t="s">
        <v>455</v>
      </c>
      <c r="C440">
        <f>T!C440</f>
        <v>-2.1999999999999797E-4</v>
      </c>
      <c r="D440">
        <f>T!D440</f>
        <v>9.9999999999999395E-5</v>
      </c>
      <c r="E440">
        <f>T!E440</f>
        <v>3.0000000000000165E-4</v>
      </c>
      <c r="F440">
        <f>T!F440</f>
        <v>1.1605607897929859E-4</v>
      </c>
      <c r="G440">
        <f>T!G440</f>
        <v>-2.2699999999999804E-4</v>
      </c>
      <c r="H440">
        <f>T!H440</f>
        <v>0</v>
      </c>
      <c r="I440">
        <f>T!N440</f>
        <v>0</v>
      </c>
    </row>
    <row r="441" spans="2:9">
      <c r="B441" t="s">
        <v>335</v>
      </c>
      <c r="C441">
        <f>T!C441</f>
        <v>3.4739000000000003E-3</v>
      </c>
      <c r="D441">
        <f>T!D441</f>
        <v>6.1000000000000013E-3</v>
      </c>
      <c r="E441">
        <f>T!E441</f>
        <v>6.2000000000000006E-3</v>
      </c>
      <c r="F441">
        <f>T!F441</f>
        <v>3.4244520139639981E-3</v>
      </c>
      <c r="G441">
        <f>T!G441</f>
        <v>3.0220000000000004E-3</v>
      </c>
      <c r="H441">
        <f>T!H441</f>
        <v>3.1999999999999997E-3</v>
      </c>
      <c r="I441">
        <f>T!N441</f>
        <v>0</v>
      </c>
    </row>
    <row r="442" spans="2:9">
      <c r="B442" t="s">
        <v>472</v>
      </c>
      <c r="C442">
        <f>T!C442</f>
        <v>1.4909999999999923E-4</v>
      </c>
      <c r="D442">
        <f>T!D442</f>
        <v>0</v>
      </c>
      <c r="E442">
        <f>T!E442</f>
        <v>0</v>
      </c>
      <c r="F442">
        <f>T!F442</f>
        <v>-3.5233336300594109E-8</v>
      </c>
      <c r="G442">
        <f>T!G442</f>
        <v>0</v>
      </c>
      <c r="H442">
        <f>T!H442</f>
        <v>0</v>
      </c>
      <c r="I442">
        <f>T!N442</f>
        <v>0</v>
      </c>
    </row>
    <row r="443" spans="2:9">
      <c r="B443" t="s">
        <v>336</v>
      </c>
      <c r="C443">
        <f>T!C443</f>
        <v>3.659299999999999E-3</v>
      </c>
      <c r="D443">
        <f>T!D443</f>
        <v>3.2000000000000015E-3</v>
      </c>
      <c r="E443">
        <f>T!E443</f>
        <v>3.3000000000000008E-3</v>
      </c>
      <c r="F443">
        <f>T!F443</f>
        <v>3.3727907973627007E-3</v>
      </c>
      <c r="G443">
        <f>T!G443</f>
        <v>0</v>
      </c>
      <c r="H443">
        <f>T!H443</f>
        <v>3.899999999999999E-3</v>
      </c>
      <c r="I443">
        <f>T!N443</f>
        <v>0</v>
      </c>
    </row>
    <row r="444" spans="2:9">
      <c r="B444" t="s">
        <v>337</v>
      </c>
      <c r="C444">
        <f>T!C444</f>
        <v>3.5511999999999991E-3</v>
      </c>
      <c r="D444">
        <f>T!D444</f>
        <v>3.0999999999999986E-3</v>
      </c>
      <c r="E444">
        <f>T!E444</f>
        <v>3.199999999999998E-3</v>
      </c>
      <c r="F444">
        <f>T!F444</f>
        <v>0</v>
      </c>
      <c r="G444">
        <f>T!G444</f>
        <v>0</v>
      </c>
      <c r="H444">
        <f>T!H444</f>
        <v>3.899999999999999E-3</v>
      </c>
      <c r="I444">
        <f>T!N444</f>
        <v>0</v>
      </c>
    </row>
    <row r="445" spans="2:9">
      <c r="B445" t="s">
        <v>338</v>
      </c>
      <c r="C445">
        <f>T!C445</f>
        <v>1.0124999999999995E-3</v>
      </c>
      <c r="D445">
        <f>T!D445</f>
        <v>8.9999999999999976E-4</v>
      </c>
      <c r="E445">
        <f>T!E445</f>
        <v>3.9999999999999931E-4</v>
      </c>
      <c r="F445">
        <f>T!F445</f>
        <v>1.0861176461807991E-3</v>
      </c>
      <c r="G445">
        <f>T!G445</f>
        <v>0</v>
      </c>
      <c r="H445">
        <f>T!H445</f>
        <v>1.2999999999999991E-3</v>
      </c>
      <c r="I445">
        <f>T!N445</f>
        <v>0</v>
      </c>
    </row>
    <row r="446" spans="2:9">
      <c r="B446" t="s">
        <v>339</v>
      </c>
      <c r="C446">
        <f>T!C446</f>
        <v>2.9463000000000007E-3</v>
      </c>
      <c r="D446">
        <f>T!D446</f>
        <v>1.7999999999999995E-3</v>
      </c>
      <c r="E446">
        <f>T!E446</f>
        <v>1.8999999999999989E-3</v>
      </c>
      <c r="F446">
        <f>T!F446</f>
        <v>2.6256601974129004E-3</v>
      </c>
      <c r="G446">
        <f>T!G446</f>
        <v>0</v>
      </c>
      <c r="H446">
        <f>T!H446</f>
        <v>2.4000000000000011E-3</v>
      </c>
      <c r="I446">
        <f>T!N446</f>
        <v>0</v>
      </c>
    </row>
    <row r="447" spans="2:9">
      <c r="B447" t="s">
        <v>340</v>
      </c>
      <c r="C447">
        <f>T!C447</f>
        <v>2.8499999999999012E-5</v>
      </c>
      <c r="D447">
        <f>T!D447</f>
        <v>0</v>
      </c>
      <c r="E447">
        <f>T!E447</f>
        <v>0</v>
      </c>
      <c r="F447">
        <f>T!F447</f>
        <v>1.663899920623102E-12</v>
      </c>
      <c r="G447">
        <f>T!G447</f>
        <v>0</v>
      </c>
      <c r="H447">
        <f>T!H447</f>
        <v>0</v>
      </c>
      <c r="I447">
        <f>T!N447</f>
        <v>0</v>
      </c>
    </row>
    <row r="448" spans="2:9">
      <c r="B448" t="s">
        <v>341</v>
      </c>
      <c r="C448">
        <f>T!C448</f>
        <v>-1.5646000000000011E-3</v>
      </c>
      <c r="D448">
        <f>T!D448</f>
        <v>-1.8999999999999989E-3</v>
      </c>
      <c r="E448">
        <f>T!E448</f>
        <v>-1.9000000000000006E-3</v>
      </c>
      <c r="F448">
        <f>T!F448</f>
        <v>-2.1407675240728997E-3</v>
      </c>
      <c r="G448">
        <f>T!G448</f>
        <v>-1.7440000000000008E-3</v>
      </c>
      <c r="H448">
        <f>T!H448</f>
        <v>-1.9000000000000006E-3</v>
      </c>
      <c r="I448">
        <f>T!N448</f>
        <v>0</v>
      </c>
    </row>
    <row r="449" spans="2:9">
      <c r="B449" t="s">
        <v>342</v>
      </c>
      <c r="C449">
        <f>T!C449</f>
        <v>1.5170000000000114E-4</v>
      </c>
      <c r="D449">
        <f>T!D449</f>
        <v>0</v>
      </c>
      <c r="E449">
        <f>T!E449</f>
        <v>1.0000000000000113E-4</v>
      </c>
      <c r="F449">
        <f>T!F449</f>
        <v>1.000612145069836E-5</v>
      </c>
      <c r="G449">
        <f>T!G449</f>
        <v>3.0000000000012655E-6</v>
      </c>
      <c r="H449">
        <f>T!H449</f>
        <v>0</v>
      </c>
      <c r="I449">
        <f>T!N449</f>
        <v>0</v>
      </c>
    </row>
    <row r="450" spans="2:9">
      <c r="B450" t="s">
        <v>345</v>
      </c>
      <c r="C450">
        <f>T!C450</f>
        <v>1.0392090000000001E-2</v>
      </c>
      <c r="D450">
        <f>T!D450</f>
        <v>1.0299999999999998E-2</v>
      </c>
      <c r="E450">
        <f>T!E450</f>
        <v>1.0199999999999999E-2</v>
      </c>
      <c r="F450">
        <f>T!F450</f>
        <v>1.0744449110931059E-2</v>
      </c>
      <c r="G450">
        <f>T!G450</f>
        <v>1.0059999999999999E-2</v>
      </c>
      <c r="H450">
        <f>T!H450</f>
        <v>6.6999999999999994E-3</v>
      </c>
      <c r="I450">
        <f>T!N450</f>
        <v>0</v>
      </c>
    </row>
    <row r="451" spans="2:9">
      <c r="B451" t="s">
        <v>346</v>
      </c>
      <c r="C451">
        <f>T!C451</f>
        <v>-4.7305499999999992E-3</v>
      </c>
      <c r="D451">
        <f>T!D451</f>
        <v>-3.8000000000000013E-3</v>
      </c>
      <c r="E451">
        <f>T!E451</f>
        <v>-3.7000000000000002E-3</v>
      </c>
      <c r="F451">
        <f>T!F451</f>
        <v>-4.5893332600349009E-3</v>
      </c>
      <c r="G451">
        <f>T!G451</f>
        <v>-6.2219999999999992E-3</v>
      </c>
      <c r="H451">
        <f>T!H451</f>
        <v>-4.7299999999999998E-3</v>
      </c>
      <c r="I451">
        <f>T!N451</f>
        <v>0</v>
      </c>
    </row>
    <row r="452" spans="2:9">
      <c r="B452" t="s">
        <v>347</v>
      </c>
      <c r="C452">
        <f>T!C452</f>
        <v>9.051000000000007E-4</v>
      </c>
      <c r="D452">
        <f>T!D452</f>
        <v>7.2000000000000007E-3</v>
      </c>
      <c r="E452">
        <f>T!E452</f>
        <v>5.9000000000000007E-3</v>
      </c>
      <c r="F452">
        <f>T!F452</f>
        <v>4.3897177559593104E-15</v>
      </c>
      <c r="G452">
        <f>T!G452</f>
        <v>3.4329999999999994E-3</v>
      </c>
      <c r="H452">
        <f>T!H452</f>
        <v>1.2899999999999995E-3</v>
      </c>
      <c r="I452">
        <f>T!N452</f>
        <v>0</v>
      </c>
    </row>
    <row r="453" spans="2:9">
      <c r="B453" t="str">
        <f>T!B453</f>
        <v>Minimum Humidity Ratio (kg/kg)</v>
      </c>
      <c r="C453">
        <f>T!C453</f>
        <v>0</v>
      </c>
      <c r="D453">
        <f>T!D453</f>
        <v>0</v>
      </c>
      <c r="E453">
        <f>T!E453</f>
        <v>0</v>
      </c>
      <c r="F453">
        <f>T!F453</f>
        <v>0</v>
      </c>
      <c r="G453">
        <f>T!G453</f>
        <v>0</v>
      </c>
      <c r="H453">
        <f>T!H453</f>
        <v>0</v>
      </c>
      <c r="I453">
        <f>T!N453</f>
        <v>0</v>
      </c>
    </row>
    <row r="454" spans="2:9">
      <c r="B454">
        <f>T!B454</f>
        <v>0</v>
      </c>
      <c r="C454" t="str">
        <f>T!C454</f>
        <v>TRNSYS</v>
      </c>
      <c r="D454" t="str">
        <f>T!D454</f>
        <v>DOE-2.2</v>
      </c>
      <c r="E454" t="str">
        <f>T!E454</f>
        <v>DOE21E-E</v>
      </c>
      <c r="F454" t="str">
        <f>T!F454</f>
        <v>Energy+</v>
      </c>
      <c r="G454" t="str">
        <f>T!G454</f>
        <v>CODYRUN</v>
      </c>
      <c r="H454" t="str">
        <f>T!H454</f>
        <v>HOT3000</v>
      </c>
      <c r="I454">
        <f>T!N454</f>
        <v>0</v>
      </c>
    </row>
    <row r="455" spans="2:9">
      <c r="B455">
        <f>T!B455</f>
        <v>0</v>
      </c>
      <c r="C455" t="s">
        <v>569</v>
      </c>
      <c r="D455" t="s">
        <v>570</v>
      </c>
      <c r="E455" t="s">
        <v>573</v>
      </c>
      <c r="F455" t="s">
        <v>617</v>
      </c>
      <c r="G455" t="s">
        <v>571</v>
      </c>
      <c r="H455" t="s">
        <v>572</v>
      </c>
      <c r="I455" t="s">
        <v>522</v>
      </c>
    </row>
    <row r="456" spans="2:9">
      <c r="B456" t="s">
        <v>343</v>
      </c>
      <c r="C456">
        <f>T!C456</f>
        <v>9.9999999999406119E-9</v>
      </c>
      <c r="D456">
        <f>T!D456</f>
        <v>0</v>
      </c>
      <c r="E456">
        <f>T!E456</f>
        <v>0</v>
      </c>
      <c r="F456">
        <f>T!F456</f>
        <v>1.4269313120260103E-5</v>
      </c>
      <c r="G456">
        <f>T!G456</f>
        <v>5.099999999999983E-5</v>
      </c>
      <c r="H456">
        <f>T!H456</f>
        <v>-1.0000000000000026E-5</v>
      </c>
      <c r="I456">
        <f>T!N456</f>
        <v>0</v>
      </c>
    </row>
    <row r="457" spans="2:9">
      <c r="B457" t="s">
        <v>344</v>
      </c>
      <c r="C457">
        <f>T!C457</f>
        <v>0</v>
      </c>
      <c r="D457">
        <f>T!D457</f>
        <v>0</v>
      </c>
      <c r="E457">
        <f>T!E457</f>
        <v>0</v>
      </c>
      <c r="F457">
        <f>T!F457</f>
        <v>5.877835533300152E-6</v>
      </c>
      <c r="G457">
        <f>T!G457</f>
        <v>0</v>
      </c>
      <c r="H457">
        <f>T!H457</f>
        <v>0</v>
      </c>
      <c r="I457">
        <f>T!N457</f>
        <v>0</v>
      </c>
    </row>
    <row r="458" spans="2:9">
      <c r="B458" t="s">
        <v>334</v>
      </c>
      <c r="C458">
        <f>T!C458</f>
        <v>0</v>
      </c>
      <c r="D458">
        <f>T!D458</f>
        <v>0</v>
      </c>
      <c r="E458">
        <f>T!E458</f>
        <v>0</v>
      </c>
      <c r="F458">
        <f>T!F458</f>
        <v>-1.7098995749907989E-8</v>
      </c>
      <c r="G458">
        <f>T!G458</f>
        <v>0</v>
      </c>
      <c r="H458">
        <f>T!H458</f>
        <v>0</v>
      </c>
      <c r="I458">
        <f>T!N458</f>
        <v>0</v>
      </c>
    </row>
    <row r="459" spans="2:9">
      <c r="B459" t="s">
        <v>453</v>
      </c>
      <c r="C459">
        <f>T!C459</f>
        <v>0</v>
      </c>
      <c r="D459">
        <f>T!D459</f>
        <v>0</v>
      </c>
      <c r="E459">
        <f>T!E459</f>
        <v>0</v>
      </c>
      <c r="F459">
        <f>T!F459</f>
        <v>-5.8949345290500599E-6</v>
      </c>
      <c r="G459">
        <f>T!G459</f>
        <v>0</v>
      </c>
      <c r="H459">
        <f>T!H459</f>
        <v>0</v>
      </c>
      <c r="I459">
        <f>T!N459</f>
        <v>0</v>
      </c>
    </row>
    <row r="460" spans="2:9">
      <c r="B460" t="s">
        <v>454</v>
      </c>
      <c r="C460">
        <f>T!C460</f>
        <v>0</v>
      </c>
      <c r="D460">
        <f>T!D460</f>
        <v>0</v>
      </c>
      <c r="E460">
        <f>T!E460</f>
        <v>0</v>
      </c>
      <c r="F460">
        <f>T!F460</f>
        <v>-1.7098995749907989E-8</v>
      </c>
      <c r="G460">
        <f>T!G460</f>
        <v>0</v>
      </c>
      <c r="H460">
        <f>T!H460</f>
        <v>0</v>
      </c>
      <c r="I460">
        <f>T!N460</f>
        <v>0</v>
      </c>
    </row>
    <row r="461" spans="2:9">
      <c r="B461" t="s">
        <v>455</v>
      </c>
      <c r="C461">
        <f>T!C461</f>
        <v>0</v>
      </c>
      <c r="D461">
        <f>T!D461</f>
        <v>0</v>
      </c>
      <c r="E461">
        <f>T!E461</f>
        <v>0</v>
      </c>
      <c r="F461">
        <f>T!F461</f>
        <v>0</v>
      </c>
      <c r="G461">
        <f>T!G461</f>
        <v>0</v>
      </c>
      <c r="H461">
        <f>T!H461</f>
        <v>0</v>
      </c>
      <c r="I461">
        <f>T!N461</f>
        <v>0</v>
      </c>
    </row>
    <row r="462" spans="2:9">
      <c r="B462" t="s">
        <v>335</v>
      </c>
      <c r="C462">
        <f>T!C462</f>
        <v>0</v>
      </c>
      <c r="D462">
        <f>T!D462</f>
        <v>0</v>
      </c>
      <c r="E462">
        <f>T!E462</f>
        <v>0</v>
      </c>
      <c r="F462">
        <f>T!F462</f>
        <v>0</v>
      </c>
      <c r="G462">
        <f>T!G462</f>
        <v>0</v>
      </c>
      <c r="H462">
        <f>T!H462</f>
        <v>0</v>
      </c>
      <c r="I462">
        <f>T!N462</f>
        <v>0</v>
      </c>
    </row>
    <row r="463" spans="2:9">
      <c r="B463" t="s">
        <v>472</v>
      </c>
      <c r="C463">
        <f>T!C463</f>
        <v>0</v>
      </c>
      <c r="D463">
        <f>T!D463</f>
        <v>0</v>
      </c>
      <c r="E463">
        <f>T!E463</f>
        <v>0</v>
      </c>
      <c r="F463">
        <f>T!F463</f>
        <v>-2.2214659799180136E-11</v>
      </c>
      <c r="G463">
        <f>T!G463</f>
        <v>0</v>
      </c>
      <c r="H463">
        <f>T!H463</f>
        <v>0</v>
      </c>
      <c r="I463">
        <f>T!N463</f>
        <v>0</v>
      </c>
    </row>
    <row r="464" spans="2:9">
      <c r="B464" t="s">
        <v>336</v>
      </c>
      <c r="C464">
        <f>T!C464</f>
        <v>0</v>
      </c>
      <c r="D464">
        <f>T!D464</f>
        <v>0</v>
      </c>
      <c r="E464">
        <f>T!E464</f>
        <v>0</v>
      </c>
      <c r="F464">
        <f>T!F464</f>
        <v>3.093090020223066E-12</v>
      </c>
      <c r="G464">
        <f>T!G464</f>
        <v>0</v>
      </c>
      <c r="H464">
        <f>T!H464</f>
        <v>0</v>
      </c>
      <c r="I464">
        <f>T!N464</f>
        <v>0</v>
      </c>
    </row>
    <row r="465" spans="2:9">
      <c r="B465" t="s">
        <v>337</v>
      </c>
      <c r="C465">
        <f>T!C465</f>
        <v>0</v>
      </c>
      <c r="D465">
        <f>T!D465</f>
        <v>0</v>
      </c>
      <c r="E465">
        <f>T!E465</f>
        <v>0</v>
      </c>
      <c r="F465">
        <f>T!F465</f>
        <v>0</v>
      </c>
      <c r="G465">
        <f>T!G465</f>
        <v>0</v>
      </c>
      <c r="H465">
        <f>T!H465</f>
        <v>0</v>
      </c>
      <c r="I465">
        <f>T!N465</f>
        <v>0</v>
      </c>
    </row>
    <row r="466" spans="2:9">
      <c r="B466" t="s">
        <v>338</v>
      </c>
      <c r="C466">
        <f>T!C466</f>
        <v>0</v>
      </c>
      <c r="D466">
        <f>T!D466</f>
        <v>0</v>
      </c>
      <c r="E466">
        <f>T!E466</f>
        <v>0</v>
      </c>
      <c r="F466">
        <f>T!F466</f>
        <v>-7.6946999119642534E-13</v>
      </c>
      <c r="G466">
        <f>T!G466</f>
        <v>0</v>
      </c>
      <c r="H466">
        <f>T!H466</f>
        <v>0</v>
      </c>
      <c r="I466">
        <f>T!N466</f>
        <v>0</v>
      </c>
    </row>
    <row r="467" spans="2:9">
      <c r="B467" t="s">
        <v>339</v>
      </c>
      <c r="C467">
        <f>T!C467</f>
        <v>0</v>
      </c>
      <c r="D467">
        <f>T!D467</f>
        <v>0</v>
      </c>
      <c r="E467">
        <f>T!E467</f>
        <v>0</v>
      </c>
      <c r="F467">
        <f>T!F467</f>
        <v>3.093090020223066E-12</v>
      </c>
      <c r="G467">
        <f>T!G467</f>
        <v>0</v>
      </c>
      <c r="H467">
        <f>T!H467</f>
        <v>0</v>
      </c>
      <c r="I467">
        <f>T!N467</f>
        <v>0</v>
      </c>
    </row>
    <row r="468" spans="2:9">
      <c r="B468" t="s">
        <v>340</v>
      </c>
      <c r="C468">
        <f>T!C468</f>
        <v>0</v>
      </c>
      <c r="D468">
        <f>T!D468</f>
        <v>0</v>
      </c>
      <c r="E468">
        <f>T!E468</f>
        <v>0</v>
      </c>
      <c r="F468">
        <f>T!F468</f>
        <v>-9.3203981858802631E-13</v>
      </c>
      <c r="G468">
        <f>T!G468</f>
        <v>0</v>
      </c>
      <c r="H468">
        <f>T!H468</f>
        <v>0</v>
      </c>
      <c r="I468">
        <f>T!N468</f>
        <v>0</v>
      </c>
    </row>
    <row r="469" spans="2:9">
      <c r="B469" t="s">
        <v>341</v>
      </c>
      <c r="C469">
        <f>T!C469</f>
        <v>4.9507099999999997E-3</v>
      </c>
      <c r="D469">
        <f>T!D469</f>
        <v>0</v>
      </c>
      <c r="E469">
        <f>T!E469</f>
        <v>0</v>
      </c>
      <c r="F469">
        <f>T!F469</f>
        <v>5.0315899974096604E-3</v>
      </c>
      <c r="G469">
        <f>T!G469</f>
        <v>4.9399999999999999E-3</v>
      </c>
      <c r="H469">
        <f>T!H469</f>
        <v>8.3300000000000006E-3</v>
      </c>
      <c r="I469">
        <f>T!N469</f>
        <v>0</v>
      </c>
    </row>
    <row r="470" spans="2:9">
      <c r="B470" t="s">
        <v>342</v>
      </c>
      <c r="C470">
        <f>T!C470</f>
        <v>0</v>
      </c>
      <c r="D470">
        <f>T!D470</f>
        <v>0</v>
      </c>
      <c r="E470">
        <f>T!E470</f>
        <v>0</v>
      </c>
      <c r="F470">
        <f>T!F470</f>
        <v>0</v>
      </c>
      <c r="G470">
        <f>T!G470</f>
        <v>0</v>
      </c>
      <c r="H470">
        <f>T!H470</f>
        <v>2.0000000000000052E-4</v>
      </c>
      <c r="I470">
        <f>T!N470</f>
        <v>0</v>
      </c>
    </row>
    <row r="471" spans="2:9">
      <c r="B471" t="s">
        <v>345</v>
      </c>
      <c r="C471">
        <f>T!C471</f>
        <v>7.3265999999999956E-4</v>
      </c>
      <c r="D471">
        <f>T!D471</f>
        <v>0</v>
      </c>
      <c r="E471">
        <f>T!E471</f>
        <v>0</v>
      </c>
      <c r="F471">
        <f>T!F471</f>
        <v>5.3198549017076033E-4</v>
      </c>
      <c r="G471">
        <f>T!G471</f>
        <v>3.8399999999999979E-4</v>
      </c>
      <c r="H471">
        <f>T!H471</f>
        <v>8.830000000000001E-3</v>
      </c>
      <c r="I471">
        <f>T!N471</f>
        <v>0</v>
      </c>
    </row>
    <row r="472" spans="2:9">
      <c r="B472" t="s">
        <v>346</v>
      </c>
      <c r="C472">
        <f>T!C472</f>
        <v>-6.1958999999999972E-4</v>
      </c>
      <c r="D472">
        <f>T!D472</f>
        <v>0</v>
      </c>
      <c r="E472">
        <f>T!E472</f>
        <v>0</v>
      </c>
      <c r="F472">
        <f>T!F472</f>
        <v>-5.1755768053770006E-4</v>
      </c>
      <c r="G472">
        <f>T!G472</f>
        <v>-1.4540000000000004E-3</v>
      </c>
      <c r="H472">
        <f>T!H472</f>
        <v>-3.6700000000000005E-3</v>
      </c>
      <c r="I472">
        <f>T!N472</f>
        <v>0</v>
      </c>
    </row>
    <row r="473" spans="2:9">
      <c r="B473" t="s">
        <v>347</v>
      </c>
      <c r="C473">
        <f>T!C473</f>
        <v>2.0983399999999998E-3</v>
      </c>
      <c r="D473">
        <f>T!D473</f>
        <v>0</v>
      </c>
      <c r="E473">
        <f>T!E473</f>
        <v>0</v>
      </c>
      <c r="F473">
        <f>T!F473</f>
        <v>2.9797530506810903E-3</v>
      </c>
      <c r="G473">
        <f>T!G473</f>
        <v>3.4320000000000002E-3</v>
      </c>
      <c r="H473">
        <f>T!H473</f>
        <v>2.8000000000000004E-3</v>
      </c>
      <c r="I473">
        <f>T!N473</f>
        <v>0</v>
      </c>
    </row>
    <row r="476" spans="2:9">
      <c r="B476" t="str">
        <f>T!B476</f>
        <v>Delta Hourly Integrated Maximum and Minimum Zone Relative Humidity</v>
      </c>
      <c r="C476">
        <f>T!C476</f>
        <v>0</v>
      </c>
      <c r="D476">
        <f>T!D476</f>
        <v>0</v>
      </c>
      <c r="E476">
        <f>T!E476</f>
        <v>0</v>
      </c>
      <c r="F476">
        <f>T!F476</f>
        <v>0</v>
      </c>
      <c r="G476">
        <f>T!G476</f>
        <v>0</v>
      </c>
      <c r="H476">
        <f>T!H476</f>
        <v>0</v>
      </c>
      <c r="I476">
        <f>T!N476</f>
        <v>0</v>
      </c>
    </row>
    <row r="477" spans="2:9">
      <c r="B477" t="str">
        <f>T!B477</f>
        <v>Maximum Relative Humidity (%)</v>
      </c>
      <c r="C477">
        <f>T!C477</f>
        <v>0</v>
      </c>
      <c r="D477">
        <f>T!D477</f>
        <v>0</v>
      </c>
      <c r="E477">
        <f>T!E477</f>
        <v>0</v>
      </c>
      <c r="F477">
        <f>T!F477</f>
        <v>0</v>
      </c>
      <c r="G477">
        <f>T!G477</f>
        <v>0</v>
      </c>
      <c r="H477">
        <f>T!H477</f>
        <v>0</v>
      </c>
      <c r="I477">
        <f>T!N477</f>
        <v>0</v>
      </c>
    </row>
    <row r="478" spans="2:9">
      <c r="B478">
        <f>T!B478</f>
        <v>0</v>
      </c>
      <c r="C478" t="str">
        <f>T!C478</f>
        <v>TRNSYS</v>
      </c>
      <c r="D478" t="str">
        <f>T!D478</f>
        <v>DOE-2.2</v>
      </c>
      <c r="E478" t="str">
        <f>T!E478</f>
        <v>DOE21E-E</v>
      </c>
      <c r="F478" t="str">
        <f>T!F478</f>
        <v>Energy+</v>
      </c>
      <c r="G478" t="str">
        <f>T!G478</f>
        <v>CODYRUN</v>
      </c>
      <c r="H478" t="str">
        <f>T!H478</f>
        <v>HOT3000</v>
      </c>
      <c r="I478">
        <f>T!N478</f>
        <v>0</v>
      </c>
    </row>
    <row r="479" spans="2:9">
      <c r="B479">
        <f>T!B479</f>
        <v>0</v>
      </c>
      <c r="C479" t="s">
        <v>569</v>
      </c>
      <c r="D479" t="s">
        <v>570</v>
      </c>
      <c r="E479" t="s">
        <v>573</v>
      </c>
      <c r="F479" t="s">
        <v>617</v>
      </c>
      <c r="G479" t="s">
        <v>571</v>
      </c>
      <c r="H479" t="s">
        <v>572</v>
      </c>
      <c r="I479" t="s">
        <v>522</v>
      </c>
    </row>
    <row r="480" spans="2:9">
      <c r="B480" t="s">
        <v>343</v>
      </c>
      <c r="C480">
        <f>T!C480</f>
        <v>8.9137000000000057</v>
      </c>
      <c r="D480">
        <f>T!D480</f>
        <v>30.830000000000013</v>
      </c>
      <c r="E480">
        <f>T!E480</f>
        <v>31.850000000000009</v>
      </c>
      <c r="F480">
        <f>T!F480</f>
        <v>10.149312913250498</v>
      </c>
      <c r="G480">
        <f>T!G480</f>
        <v>9</v>
      </c>
      <c r="H480">
        <f>T!H480</f>
        <v>10.75</v>
      </c>
      <c r="I480">
        <f>T!N480</f>
        <v>0</v>
      </c>
    </row>
    <row r="481" spans="2:9">
      <c r="B481" t="s">
        <v>344</v>
      </c>
      <c r="C481">
        <f>T!C481</f>
        <v>13.046600000000012</v>
      </c>
      <c r="D481">
        <f>T!D481</f>
        <v>14.060000000000002</v>
      </c>
      <c r="E481">
        <f>T!E481</f>
        <v>14.820000000000007</v>
      </c>
      <c r="F481">
        <f>T!F481</f>
        <v>14.938765335370505</v>
      </c>
      <c r="G481">
        <f>T!G481</f>
        <v>15</v>
      </c>
      <c r="H481">
        <f>T!H481</f>
        <v>14.439999999999998</v>
      </c>
      <c r="I481">
        <f>T!N481</f>
        <v>0</v>
      </c>
    </row>
    <row r="482" spans="2:9">
      <c r="B482" t="s">
        <v>334</v>
      </c>
      <c r="C482">
        <f>T!C482</f>
        <v>7.8699000000000012</v>
      </c>
      <c r="D482">
        <f>T!D482</f>
        <v>9.11</v>
      </c>
      <c r="E482">
        <f>T!E482</f>
        <v>9.0900000000000034</v>
      </c>
      <c r="F482">
        <f>T!F482</f>
        <v>8.8624655632507938</v>
      </c>
      <c r="G482">
        <f>T!G482</f>
        <v>8</v>
      </c>
      <c r="H482">
        <f>T!H482</f>
        <v>11.260000000000005</v>
      </c>
      <c r="I482">
        <f>T!N482</f>
        <v>0</v>
      </c>
    </row>
    <row r="483" spans="2:9">
      <c r="B483" t="s">
        <v>453</v>
      </c>
      <c r="C483">
        <f>T!C483</f>
        <v>-5.176700000000011</v>
      </c>
      <c r="D483">
        <f>T!D483</f>
        <v>-4.9500000000000028</v>
      </c>
      <c r="E483">
        <f>T!E483</f>
        <v>-5.730000000000004</v>
      </c>
      <c r="F483">
        <f>T!F483</f>
        <v>-6.076299772119711</v>
      </c>
      <c r="G483">
        <f>T!G483</f>
        <v>-7</v>
      </c>
      <c r="H483">
        <f>T!H483</f>
        <v>-3.1799999999999926</v>
      </c>
      <c r="I483">
        <f>T!N483</f>
        <v>0</v>
      </c>
    </row>
    <row r="484" spans="2:9">
      <c r="B484" t="s">
        <v>454</v>
      </c>
      <c r="C484">
        <f>T!C484</f>
        <v>11.140100000000004</v>
      </c>
      <c r="D484">
        <f>T!D484</f>
        <v>12.02000000000001</v>
      </c>
      <c r="E484">
        <f>T!E484</f>
        <v>12.410000000000011</v>
      </c>
      <c r="F484">
        <f>T!F484</f>
        <v>12.769080055972296</v>
      </c>
      <c r="G484">
        <f>T!G484</f>
        <v>12</v>
      </c>
      <c r="H484">
        <f>T!H484</f>
        <v>12.810000000000002</v>
      </c>
      <c r="I484">
        <f>T!N484</f>
        <v>0</v>
      </c>
    </row>
    <row r="485" spans="2:9">
      <c r="B485" t="s">
        <v>455</v>
      </c>
      <c r="C485">
        <f>T!C485</f>
        <v>-3.2702000000000027</v>
      </c>
      <c r="D485">
        <f>T!D485</f>
        <v>-2.9100000000000108</v>
      </c>
      <c r="E485">
        <f>T!E485</f>
        <v>-3.3200000000000074</v>
      </c>
      <c r="F485">
        <f>T!F485</f>
        <v>-3.9066144927215021</v>
      </c>
      <c r="G485">
        <f>T!G485</f>
        <v>-4</v>
      </c>
      <c r="H485">
        <f>T!H485</f>
        <v>-1.5499999999999972</v>
      </c>
      <c r="I485">
        <f>T!N485</f>
        <v>0</v>
      </c>
    </row>
    <row r="486" spans="2:9">
      <c r="B486" t="s">
        <v>335</v>
      </c>
      <c r="C486">
        <f>T!C486</f>
        <v>0</v>
      </c>
      <c r="D486">
        <f>T!D486</f>
        <v>11.77000000000001</v>
      </c>
      <c r="E486">
        <f>T!E486</f>
        <v>12.27000000000001</v>
      </c>
      <c r="F486">
        <f>T!F486</f>
        <v>0</v>
      </c>
      <c r="G486">
        <f>T!G486</f>
        <v>2</v>
      </c>
      <c r="H486">
        <f>T!H486</f>
        <v>5.210000000000008</v>
      </c>
      <c r="I486">
        <f>T!N486</f>
        <v>0</v>
      </c>
    </row>
    <row r="487" spans="2:9">
      <c r="B487" t="s">
        <v>472</v>
      </c>
      <c r="C487">
        <f>T!C487</f>
        <v>0</v>
      </c>
      <c r="D487">
        <f>T!D487</f>
        <v>0</v>
      </c>
      <c r="E487">
        <f>T!E487</f>
        <v>0</v>
      </c>
      <c r="F487">
        <f>T!F487</f>
        <v>-1.7286275519268202E-4</v>
      </c>
      <c r="G487">
        <f>T!G487</f>
        <v>0</v>
      </c>
      <c r="H487">
        <f>T!H487</f>
        <v>0</v>
      </c>
      <c r="I487">
        <f>T!N487</f>
        <v>0</v>
      </c>
    </row>
    <row r="488" spans="2:9">
      <c r="B488" t="s">
        <v>336</v>
      </c>
      <c r="C488">
        <f>T!C488</f>
        <v>14.964200000000005</v>
      </c>
      <c r="D488">
        <f>T!D488</f>
        <v>16.22</v>
      </c>
      <c r="E488">
        <f>T!E488</f>
        <v>16.72</v>
      </c>
      <c r="F488">
        <f>T!F488</f>
        <v>16.855962498663402</v>
      </c>
      <c r="G488">
        <f>T!G488</f>
        <v>0</v>
      </c>
      <c r="H488">
        <f>T!H488</f>
        <v>18.870000000000005</v>
      </c>
      <c r="I488">
        <f>T!N488</f>
        <v>0</v>
      </c>
    </row>
    <row r="489" spans="2:9">
      <c r="B489" t="s">
        <v>337</v>
      </c>
      <c r="C489">
        <f>T!C489</f>
        <v>14.435500000000005</v>
      </c>
      <c r="D489">
        <f>T!D489</f>
        <v>15.440000000000012</v>
      </c>
      <c r="E489">
        <f>T!E489</f>
        <v>15.940000000000012</v>
      </c>
      <c r="F489">
        <f>T!F489</f>
        <v>0</v>
      </c>
      <c r="G489">
        <f>T!G489</f>
        <v>0</v>
      </c>
      <c r="H489">
        <f>T!H489</f>
        <v>18.740000000000009</v>
      </c>
      <c r="I489">
        <f>T!N489</f>
        <v>0</v>
      </c>
    </row>
    <row r="490" spans="2:9">
      <c r="B490" t="s">
        <v>338</v>
      </c>
      <c r="C490">
        <f>T!C490</f>
        <v>2.0519000000000034</v>
      </c>
      <c r="D490">
        <f>T!D490</f>
        <v>5.1600000000000108</v>
      </c>
      <c r="E490">
        <f>T!E490</f>
        <v>2.6800000000000068</v>
      </c>
      <c r="F490">
        <f>T!F490</f>
        <v>5.5009144928205984</v>
      </c>
      <c r="G490">
        <f>T!G490</f>
        <v>0</v>
      </c>
      <c r="H490">
        <f>T!H490</f>
        <v>6.4099999999999966</v>
      </c>
      <c r="I490">
        <f>T!N490</f>
        <v>0</v>
      </c>
    </row>
    <row r="491" spans="2:9">
      <c r="B491" t="s">
        <v>339</v>
      </c>
      <c r="C491">
        <f>T!C491</f>
        <v>11.919499999999999</v>
      </c>
      <c r="D491">
        <f>T!D491</f>
        <v>9.0800000000000125</v>
      </c>
      <c r="E491">
        <f>T!E491</f>
        <v>9.5800000000000125</v>
      </c>
      <c r="F491">
        <f>T!F491</f>
        <v>12.939821561060597</v>
      </c>
      <c r="G491">
        <f>T!G491</f>
        <v>0</v>
      </c>
      <c r="H491">
        <f>T!H491</f>
        <v>11.5</v>
      </c>
      <c r="I491">
        <f>T!N491</f>
        <v>0</v>
      </c>
    </row>
    <row r="492" spans="2:9">
      <c r="B492" t="s">
        <v>340</v>
      </c>
      <c r="C492">
        <f>T!C492</f>
        <v>-6.4999999999997726E-2</v>
      </c>
      <c r="D492">
        <f>T!D492</f>
        <v>0</v>
      </c>
      <c r="E492">
        <f>T!E492</f>
        <v>0</v>
      </c>
      <c r="F492">
        <f>T!F492</f>
        <v>8.1633970694383606E-9</v>
      </c>
      <c r="G492">
        <f>T!G492</f>
        <v>0</v>
      </c>
      <c r="H492">
        <f>T!H492</f>
        <v>7.000000000000739E-2</v>
      </c>
      <c r="I492">
        <f>T!N492</f>
        <v>0</v>
      </c>
    </row>
    <row r="493" spans="2:9">
      <c r="B493" t="s">
        <v>341</v>
      </c>
      <c r="C493">
        <f>T!C493</f>
        <v>31.210800000000006</v>
      </c>
      <c r="D493">
        <f>T!D493</f>
        <v>0</v>
      </c>
      <c r="E493">
        <f>T!E493</f>
        <v>0</v>
      </c>
      <c r="F493">
        <f>T!F493</f>
        <v>32.223834515069001</v>
      </c>
      <c r="G493">
        <f>T!G493</f>
        <v>32</v>
      </c>
      <c r="H493">
        <f>T!H493</f>
        <v>-7.3599999999999994</v>
      </c>
      <c r="I493">
        <f>T!N493</f>
        <v>0</v>
      </c>
    </row>
    <row r="494" spans="2:9">
      <c r="B494" t="s">
        <v>342</v>
      </c>
      <c r="C494">
        <f>T!C494</f>
        <v>0</v>
      </c>
      <c r="D494">
        <f>T!D494</f>
        <v>0</v>
      </c>
      <c r="E494">
        <f>T!E494</f>
        <v>0</v>
      </c>
      <c r="F494">
        <f>T!F494</f>
        <v>0</v>
      </c>
      <c r="G494">
        <f>T!G494</f>
        <v>0</v>
      </c>
      <c r="H494">
        <f>T!H494</f>
        <v>-2.5700000000000003</v>
      </c>
      <c r="I494">
        <f>T!N494</f>
        <v>0</v>
      </c>
    </row>
    <row r="495" spans="2:9">
      <c r="B495" t="s">
        <v>345</v>
      </c>
      <c r="C495">
        <f>T!C495</f>
        <v>9.7700999999999993</v>
      </c>
      <c r="D495">
        <f>T!D495</f>
        <v>0</v>
      </c>
      <c r="E495">
        <f>T!E495</f>
        <v>0</v>
      </c>
      <c r="F495">
        <f>T!F495</f>
        <v>6.3958273547321056</v>
      </c>
      <c r="G495">
        <f>T!G495</f>
        <v>5</v>
      </c>
      <c r="H495">
        <f>T!H495</f>
        <v>-20.65</v>
      </c>
      <c r="I495">
        <f>T!N495</f>
        <v>0</v>
      </c>
    </row>
    <row r="496" spans="2:9">
      <c r="B496" t="s">
        <v>346</v>
      </c>
      <c r="C496">
        <f>T!C496</f>
        <v>-8.9555000000000007</v>
      </c>
      <c r="D496">
        <f>T!D496</f>
        <v>0</v>
      </c>
      <c r="E496">
        <f>T!E496</f>
        <v>0</v>
      </c>
      <c r="F496">
        <f>T!F496</f>
        <v>-8.3019601112615931</v>
      </c>
      <c r="G496">
        <f>T!G496</f>
        <v>-21</v>
      </c>
      <c r="H496">
        <f>T!H496</f>
        <v>-24.07</v>
      </c>
      <c r="I496">
        <f>T!N496</f>
        <v>0</v>
      </c>
    </row>
    <row r="497" spans="2:9">
      <c r="B497" t="s">
        <v>347</v>
      </c>
      <c r="C497">
        <f>T!C497</f>
        <v>29.602200000000003</v>
      </c>
      <c r="D497">
        <f>T!D497</f>
        <v>0</v>
      </c>
      <c r="E497">
        <f>T!E497</f>
        <v>0</v>
      </c>
      <c r="F497">
        <f>T!F497</f>
        <v>41.218246396649896</v>
      </c>
      <c r="G497">
        <f>T!G497</f>
        <v>50</v>
      </c>
      <c r="H497">
        <f>T!H497</f>
        <v>-15.82</v>
      </c>
      <c r="I497">
        <f>T!N497</f>
        <v>0</v>
      </c>
    </row>
    <row r="498" spans="2:9">
      <c r="B498" t="str">
        <f>T!B498</f>
        <v>Minimum Relative Humidity (%)</v>
      </c>
      <c r="C498">
        <f>T!C498</f>
        <v>0</v>
      </c>
      <c r="D498">
        <f>T!D498</f>
        <v>0</v>
      </c>
      <c r="E498">
        <f>T!E498</f>
        <v>0</v>
      </c>
      <c r="F498">
        <f>T!F498</f>
        <v>0</v>
      </c>
      <c r="G498">
        <f>T!G498</f>
        <v>0</v>
      </c>
      <c r="H498">
        <f>T!H498</f>
        <v>0</v>
      </c>
      <c r="I498">
        <f>T!N498</f>
        <v>0</v>
      </c>
    </row>
    <row r="499" spans="2:9">
      <c r="B499">
        <f>T!B499</f>
        <v>0</v>
      </c>
      <c r="C499" t="str">
        <f>T!C499</f>
        <v>TRNSYS</v>
      </c>
      <c r="D499" t="str">
        <f>T!D499</f>
        <v>DOE-2.2</v>
      </c>
      <c r="E499" t="str">
        <f>T!E499</f>
        <v>DOE21E-E</v>
      </c>
      <c r="F499" t="str">
        <f>T!F499</f>
        <v>Energy+</v>
      </c>
      <c r="G499" t="str">
        <f>T!G499</f>
        <v>CODYRUN</v>
      </c>
      <c r="H499" t="str">
        <f>T!H499</f>
        <v>HOT3000</v>
      </c>
      <c r="I499">
        <f>T!N499</f>
        <v>0</v>
      </c>
    </row>
    <row r="500" spans="2:9">
      <c r="B500">
        <f>T!B500</f>
        <v>0</v>
      </c>
      <c r="C500" t="s">
        <v>569</v>
      </c>
      <c r="D500" t="s">
        <v>570</v>
      </c>
      <c r="E500" t="s">
        <v>573</v>
      </c>
      <c r="F500" t="s">
        <v>617</v>
      </c>
      <c r="G500" t="s">
        <v>571</v>
      </c>
      <c r="H500" t="s">
        <v>572</v>
      </c>
      <c r="I500" t="s">
        <v>522</v>
      </c>
    </row>
    <row r="501" spans="2:9">
      <c r="B501" t="s">
        <v>343</v>
      </c>
      <c r="C501">
        <f>T!C501</f>
        <v>5.8599999999998431E-2</v>
      </c>
      <c r="D501">
        <f>T!D501</f>
        <v>0</v>
      </c>
      <c r="E501">
        <f>T!E501</f>
        <v>0</v>
      </c>
      <c r="F501">
        <f>T!F501</f>
        <v>1.0831938622639008</v>
      </c>
      <c r="G501">
        <f>T!G501</f>
        <v>1</v>
      </c>
      <c r="H501">
        <f>T!H501</f>
        <v>0.99000000000000021</v>
      </c>
      <c r="I501">
        <f>T!N501</f>
        <v>0</v>
      </c>
    </row>
    <row r="502" spans="2:9">
      <c r="B502" t="s">
        <v>344</v>
      </c>
      <c r="C502">
        <f>T!C502</f>
        <v>0</v>
      </c>
      <c r="D502">
        <f>T!D502</f>
        <v>0</v>
      </c>
      <c r="E502">
        <f>T!E502</f>
        <v>0</v>
      </c>
      <c r="F502">
        <f>T!F502</f>
        <v>0.40958801792440092</v>
      </c>
      <c r="G502">
        <f>T!G502</f>
        <v>0</v>
      </c>
      <c r="H502">
        <f>T!H502</f>
        <v>-2.0199999999999996</v>
      </c>
      <c r="I502">
        <f>T!N502</f>
        <v>0</v>
      </c>
    </row>
    <row r="503" spans="2:9">
      <c r="B503" t="s">
        <v>334</v>
      </c>
      <c r="C503">
        <f>T!C503</f>
        <v>0</v>
      </c>
      <c r="D503">
        <f>T!D503</f>
        <v>0</v>
      </c>
      <c r="E503">
        <f>T!E503</f>
        <v>0</v>
      </c>
      <c r="F503">
        <f>T!F503</f>
        <v>1.1523256510059809E-4</v>
      </c>
      <c r="G503">
        <f>T!G503</f>
        <v>0</v>
      </c>
      <c r="H503">
        <f>T!H503</f>
        <v>0</v>
      </c>
      <c r="I503">
        <f>T!N503</f>
        <v>0</v>
      </c>
    </row>
    <row r="504" spans="2:9">
      <c r="B504" t="s">
        <v>453</v>
      </c>
      <c r="C504">
        <f>T!C504</f>
        <v>0</v>
      </c>
      <c r="D504">
        <f>T!D504</f>
        <v>0</v>
      </c>
      <c r="E504">
        <f>T!E504</f>
        <v>0</v>
      </c>
      <c r="F504">
        <f>T!F504</f>
        <v>-0.40947278535930032</v>
      </c>
      <c r="G504">
        <f>T!G504</f>
        <v>0</v>
      </c>
      <c r="H504">
        <f>T!H504</f>
        <v>2.0199999999999996</v>
      </c>
      <c r="I504">
        <f>T!N504</f>
        <v>0</v>
      </c>
    </row>
    <row r="505" spans="2:9">
      <c r="B505" t="s">
        <v>454</v>
      </c>
      <c r="C505">
        <f>T!C505</f>
        <v>0</v>
      </c>
      <c r="D505">
        <f>T!D505</f>
        <v>0</v>
      </c>
      <c r="E505">
        <f>T!E505</f>
        <v>0</v>
      </c>
      <c r="F505">
        <f>T!F505</f>
        <v>1.1523256510059809E-4</v>
      </c>
      <c r="G505">
        <f>T!G505</f>
        <v>0</v>
      </c>
      <c r="H505">
        <f>T!H505</f>
        <v>0</v>
      </c>
      <c r="I505">
        <f>T!N505</f>
        <v>0</v>
      </c>
    </row>
    <row r="506" spans="2:9">
      <c r="B506" t="s">
        <v>455</v>
      </c>
      <c r="C506">
        <f>T!C506</f>
        <v>0</v>
      </c>
      <c r="D506">
        <f>T!D506</f>
        <v>0</v>
      </c>
      <c r="E506">
        <f>T!E506</f>
        <v>0</v>
      </c>
      <c r="F506">
        <f>T!F506</f>
        <v>0</v>
      </c>
      <c r="G506">
        <f>T!G506</f>
        <v>0</v>
      </c>
      <c r="H506">
        <f>T!H506</f>
        <v>0</v>
      </c>
      <c r="I506">
        <f>T!N506</f>
        <v>0</v>
      </c>
    </row>
    <row r="507" spans="2:9">
      <c r="B507" t="s">
        <v>335</v>
      </c>
      <c r="C507">
        <f>T!C507</f>
        <v>0</v>
      </c>
      <c r="D507">
        <f>T!D507</f>
        <v>0</v>
      </c>
      <c r="E507">
        <f>T!E507</f>
        <v>0</v>
      </c>
      <c r="F507">
        <f>T!F507</f>
        <v>0</v>
      </c>
      <c r="G507">
        <f>T!G507</f>
        <v>0</v>
      </c>
      <c r="H507">
        <f>T!H507</f>
        <v>0</v>
      </c>
      <c r="I507">
        <f>T!N507</f>
        <v>0</v>
      </c>
    </row>
    <row r="508" spans="2:9">
      <c r="B508" t="s">
        <v>472</v>
      </c>
      <c r="C508">
        <f>T!C508</f>
        <v>0</v>
      </c>
      <c r="D508">
        <f>T!D508</f>
        <v>0</v>
      </c>
      <c r="E508">
        <f>T!E508</f>
        <v>0</v>
      </c>
      <c r="F508">
        <f>T!F508</f>
        <v>-5.6977901598642688E-5</v>
      </c>
      <c r="G508">
        <f>T!G508</f>
        <v>0</v>
      </c>
      <c r="H508">
        <f>T!H508</f>
        <v>0</v>
      </c>
      <c r="I508">
        <f>T!N508</f>
        <v>0</v>
      </c>
    </row>
    <row r="509" spans="2:9">
      <c r="B509" t="s">
        <v>336</v>
      </c>
      <c r="C509">
        <f>T!C509</f>
        <v>-0.1222000000000012</v>
      </c>
      <c r="D509">
        <f>T!D509</f>
        <v>0</v>
      </c>
      <c r="E509">
        <f>T!E509</f>
        <v>0</v>
      </c>
      <c r="F509">
        <f>T!F509</f>
        <v>-0.46234494185489972</v>
      </c>
      <c r="G509">
        <f>T!G509</f>
        <v>0</v>
      </c>
      <c r="H509">
        <f>T!H509</f>
        <v>-0.36999999999999922</v>
      </c>
      <c r="I509">
        <f>T!N509</f>
        <v>0</v>
      </c>
    </row>
    <row r="510" spans="2:9">
      <c r="B510" t="s">
        <v>337</v>
      </c>
      <c r="C510">
        <f>T!C510</f>
        <v>-0.12210000000000143</v>
      </c>
      <c r="D510">
        <f>T!D510</f>
        <v>0</v>
      </c>
      <c r="E510">
        <f>T!E510</f>
        <v>0</v>
      </c>
      <c r="F510">
        <f>T!F510</f>
        <v>0</v>
      </c>
      <c r="G510">
        <f>T!G510</f>
        <v>0</v>
      </c>
      <c r="H510">
        <f>T!H510</f>
        <v>-0.35999999999999943</v>
      </c>
      <c r="I510">
        <f>T!N510</f>
        <v>0</v>
      </c>
    </row>
    <row r="511" spans="2:9">
      <c r="B511" t="s">
        <v>338</v>
      </c>
      <c r="C511">
        <f>T!C511</f>
        <v>-0.12130000000000152</v>
      </c>
      <c r="D511">
        <f>T!D511</f>
        <v>0</v>
      </c>
      <c r="E511">
        <f>T!E511</f>
        <v>0</v>
      </c>
      <c r="F511">
        <f>T!F511</f>
        <v>-0.46223752044990007</v>
      </c>
      <c r="G511">
        <f>T!G511</f>
        <v>0</v>
      </c>
      <c r="H511">
        <f>T!H511</f>
        <v>-0.34999999999999964</v>
      </c>
      <c r="I511">
        <f>T!N511</f>
        <v>0</v>
      </c>
    </row>
    <row r="512" spans="2:9">
      <c r="B512" t="s">
        <v>339</v>
      </c>
      <c r="C512">
        <f>T!C512</f>
        <v>-0.12340000000000018</v>
      </c>
      <c r="D512">
        <f>T!D512</f>
        <v>0</v>
      </c>
      <c r="E512">
        <f>T!E512</f>
        <v>0</v>
      </c>
      <c r="F512">
        <f>T!F512</f>
        <v>-0.46234511721419835</v>
      </c>
      <c r="G512">
        <f>T!G512</f>
        <v>0</v>
      </c>
      <c r="H512">
        <f>T!H512</f>
        <v>-0.35999999999999943</v>
      </c>
      <c r="I512">
        <f>T!N512</f>
        <v>0</v>
      </c>
    </row>
    <row r="513" spans="2:9">
      <c r="B513" t="s">
        <v>340</v>
      </c>
      <c r="C513">
        <f>T!C513</f>
        <v>-0.12430000000000163</v>
      </c>
      <c r="D513">
        <f>T!D513</f>
        <v>0</v>
      </c>
      <c r="E513">
        <f>T!E513</f>
        <v>0</v>
      </c>
      <c r="F513">
        <f>T!F513</f>
        <v>-0.4623472495845995</v>
      </c>
      <c r="G513">
        <f>T!G513</f>
        <v>0</v>
      </c>
      <c r="H513">
        <f>T!H513</f>
        <v>-0.40000000000000036</v>
      </c>
      <c r="I513">
        <f>T!N513</f>
        <v>0</v>
      </c>
    </row>
    <row r="514" spans="2:9">
      <c r="B514" t="s">
        <v>341</v>
      </c>
      <c r="C514">
        <f>T!C514</f>
        <v>40.074199999999998</v>
      </c>
      <c r="D514">
        <f>T!D514</f>
        <v>0</v>
      </c>
      <c r="E514">
        <f>T!E514</f>
        <v>0</v>
      </c>
      <c r="F514">
        <f>T!F514</f>
        <v>39.037812542884602</v>
      </c>
      <c r="G514">
        <f>T!G514</f>
        <v>39</v>
      </c>
      <c r="H514">
        <f>T!H514</f>
        <v>37.89</v>
      </c>
      <c r="I514">
        <f>T!N514</f>
        <v>0</v>
      </c>
    </row>
    <row r="515" spans="2:9">
      <c r="B515" t="s">
        <v>342</v>
      </c>
      <c r="C515">
        <f>T!C515</f>
        <v>-1.3175000000000026</v>
      </c>
      <c r="D515">
        <f>T!D515</f>
        <v>0</v>
      </c>
      <c r="E515">
        <f>T!E515</f>
        <v>0</v>
      </c>
      <c r="F515">
        <f>T!F515</f>
        <v>0.10666299034859605</v>
      </c>
      <c r="G515">
        <f>T!G515</f>
        <v>0</v>
      </c>
      <c r="H515">
        <f>T!H515</f>
        <v>0.32000000000000028</v>
      </c>
      <c r="I515">
        <f>T!N515</f>
        <v>0</v>
      </c>
    </row>
    <row r="516" spans="2:9">
      <c r="B516" t="s">
        <v>345</v>
      </c>
      <c r="C516">
        <f>T!C516</f>
        <v>-15.7395</v>
      </c>
      <c r="D516">
        <f>T!D516</f>
        <v>0</v>
      </c>
      <c r="E516">
        <f>T!E516</f>
        <v>0</v>
      </c>
      <c r="F516">
        <f>T!F516</f>
        <v>-15.0875440977998</v>
      </c>
      <c r="G516">
        <f>T!G516</f>
        <v>-17</v>
      </c>
      <c r="H516">
        <f>T!H516</f>
        <v>-17.5</v>
      </c>
      <c r="I516">
        <f>T!N516</f>
        <v>0</v>
      </c>
    </row>
    <row r="517" spans="2:9">
      <c r="B517" t="s">
        <v>346</v>
      </c>
      <c r="C517">
        <f>T!C517</f>
        <v>-23.812000000000001</v>
      </c>
      <c r="D517">
        <f>T!D517</f>
        <v>0</v>
      </c>
      <c r="E517">
        <f>T!E517</f>
        <v>0</v>
      </c>
      <c r="F517">
        <f>T!F517</f>
        <v>-20.864358691949398</v>
      </c>
      <c r="G517">
        <f>T!G517</f>
        <v>-26</v>
      </c>
      <c r="H517">
        <f>T!H517</f>
        <v>-19.149999999999999</v>
      </c>
      <c r="I517">
        <f>T!N517</f>
        <v>0</v>
      </c>
    </row>
    <row r="518" spans="2:9">
      <c r="B518" t="s">
        <v>347</v>
      </c>
      <c r="C518">
        <f>T!C518</f>
        <v>-19.350499999999997</v>
      </c>
      <c r="D518">
        <f>T!D518</f>
        <v>0</v>
      </c>
      <c r="E518">
        <f>T!E518</f>
        <v>0</v>
      </c>
      <c r="F518">
        <f>T!F518</f>
        <v>-16.600713117223798</v>
      </c>
      <c r="G518">
        <f>T!G518</f>
        <v>-12</v>
      </c>
      <c r="H518">
        <f>T!H518</f>
        <v>-19.600000000000001</v>
      </c>
      <c r="I518">
        <f>T!N518</f>
        <v>0</v>
      </c>
    </row>
    <row r="519" spans="2:9">
      <c r="B519">
        <f>T!B519</f>
        <v>0</v>
      </c>
      <c r="C519">
        <f>T!C519</f>
        <v>0</v>
      </c>
      <c r="D519" t="str">
        <f>T!D519</f>
        <v>e300results.xls t:a476..m519; 07/19/04</v>
      </c>
      <c r="E519">
        <f>T!E519</f>
        <v>0</v>
      </c>
      <c r="F519">
        <f>T!F519</f>
        <v>0</v>
      </c>
      <c r="G519">
        <f>T!G519</f>
        <v>0</v>
      </c>
      <c r="H519">
        <f>T!H519</f>
        <v>0</v>
      </c>
      <c r="I519">
        <f>T!N519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O130"/>
  <sheetViews>
    <sheetView defaultGridColor="0" topLeftCell="A36" colorId="22" zoomScale="75" workbookViewId="0">
      <selection activeCell="E66" sqref="E66"/>
    </sheetView>
  </sheetViews>
  <sheetFormatPr defaultColWidth="9.6640625" defaultRowHeight="15"/>
  <sheetData>
    <row r="1" spans="1:4">
      <c r="A1" t="s">
        <v>399</v>
      </c>
    </row>
    <row r="2" spans="1:4">
      <c r="A2" t="s">
        <v>32</v>
      </c>
    </row>
    <row r="3" spans="1:4" ht="15.75">
      <c r="A3" s="71" t="s">
        <v>478</v>
      </c>
    </row>
    <row r="4" spans="1:4">
      <c r="A4" t="s">
        <v>0</v>
      </c>
    </row>
    <row r="6" spans="1:4">
      <c r="A6" t="s">
        <v>21</v>
      </c>
    </row>
    <row r="8" spans="1:4">
      <c r="A8" t="s">
        <v>33</v>
      </c>
    </row>
    <row r="10" spans="1:4">
      <c r="B10" s="49" t="s">
        <v>377</v>
      </c>
      <c r="C10" s="49"/>
      <c r="D10" t="s">
        <v>34</v>
      </c>
    </row>
    <row r="11" spans="1:4">
      <c r="B11" s="49" t="s">
        <v>378</v>
      </c>
      <c r="C11" s="49"/>
      <c r="D11" t="s">
        <v>379</v>
      </c>
    </row>
    <row r="12" spans="1:4">
      <c r="B12" s="49" t="s">
        <v>380</v>
      </c>
      <c r="C12" s="49"/>
      <c r="D12" t="s">
        <v>35</v>
      </c>
    </row>
    <row r="13" spans="1:4">
      <c r="B13" s="49" t="s">
        <v>381</v>
      </c>
      <c r="C13" s="49"/>
      <c r="D13" t="s">
        <v>36</v>
      </c>
    </row>
    <row r="14" spans="1:4">
      <c r="B14" s="49" t="s">
        <v>382</v>
      </c>
      <c r="C14" s="49"/>
      <c r="D14" t="s">
        <v>37</v>
      </c>
    </row>
    <row r="15" spans="1:4">
      <c r="B15" s="49" t="s">
        <v>383</v>
      </c>
      <c r="C15" s="49"/>
      <c r="D15" t="s">
        <v>38</v>
      </c>
    </row>
    <row r="16" spans="1:4">
      <c r="B16" s="49" t="s">
        <v>384</v>
      </c>
      <c r="C16" s="49"/>
      <c r="D16" t="s">
        <v>385</v>
      </c>
    </row>
    <row r="17" spans="1:4">
      <c r="B17" s="49" t="s">
        <v>386</v>
      </c>
      <c r="C17" s="49"/>
      <c r="D17" t="s">
        <v>39</v>
      </c>
    </row>
    <row r="18" spans="1:4">
      <c r="B18" s="49"/>
      <c r="C18" s="49"/>
    </row>
    <row r="19" spans="1:4">
      <c r="A19" t="s">
        <v>40</v>
      </c>
    </row>
    <row r="20" spans="1:4">
      <c r="A20" t="s">
        <v>41</v>
      </c>
    </row>
    <row r="21" spans="1:4">
      <c r="A21" t="s">
        <v>42</v>
      </c>
    </row>
    <row r="22" spans="1:4">
      <c r="A22" t="s">
        <v>43</v>
      </c>
    </row>
    <row r="24" spans="1:4">
      <c r="A24" t="s">
        <v>44</v>
      </c>
    </row>
    <row r="25" spans="1:4">
      <c r="A25" t="s">
        <v>45</v>
      </c>
    </row>
    <row r="27" spans="1:4">
      <c r="A27" t="s">
        <v>46</v>
      </c>
    </row>
    <row r="28" spans="1:4">
      <c r="A28" t="s">
        <v>47</v>
      </c>
    </row>
    <row r="30" spans="1:4">
      <c r="A30" t="s">
        <v>48</v>
      </c>
    </row>
    <row r="32" spans="1:4">
      <c r="B32" t="s">
        <v>49</v>
      </c>
      <c r="D32" s="72" t="s">
        <v>50</v>
      </c>
    </row>
    <row r="34" spans="1:4">
      <c r="B34" t="s">
        <v>51</v>
      </c>
      <c r="D34" s="72" t="s">
        <v>52</v>
      </c>
    </row>
    <row r="35" spans="1:4">
      <c r="B35" t="s">
        <v>53</v>
      </c>
      <c r="D35" s="72" t="s">
        <v>54</v>
      </c>
    </row>
    <row r="36" spans="1:4">
      <c r="B36" t="s">
        <v>55</v>
      </c>
      <c r="D36" s="72" t="s">
        <v>56</v>
      </c>
    </row>
    <row r="37" spans="1:4">
      <c r="B37" t="s">
        <v>57</v>
      </c>
      <c r="D37" s="72" t="s">
        <v>58</v>
      </c>
    </row>
    <row r="38" spans="1:4">
      <c r="B38" t="s">
        <v>59</v>
      </c>
      <c r="D38" s="72" t="s">
        <v>60</v>
      </c>
    </row>
    <row r="39" spans="1:4">
      <c r="B39" t="s">
        <v>61</v>
      </c>
      <c r="D39" s="72" t="s">
        <v>62</v>
      </c>
    </row>
    <row r="40" spans="1:4">
      <c r="B40" t="s">
        <v>63</v>
      </c>
      <c r="D40" s="72" t="s">
        <v>64</v>
      </c>
    </row>
    <row r="41" spans="1:4">
      <c r="B41" t="s">
        <v>65</v>
      </c>
      <c r="D41" s="72" t="s">
        <v>66</v>
      </c>
    </row>
    <row r="42" spans="1:4">
      <c r="B42" t="s">
        <v>67</v>
      </c>
      <c r="D42" s="72" t="s">
        <v>68</v>
      </c>
    </row>
    <row r="43" spans="1:4">
      <c r="B43" t="s">
        <v>69</v>
      </c>
      <c r="D43" s="72" t="s">
        <v>70</v>
      </c>
    </row>
    <row r="44" spans="1:4">
      <c r="B44" t="s">
        <v>71</v>
      </c>
      <c r="D44" s="72" t="s">
        <v>72</v>
      </c>
    </row>
    <row r="45" spans="1:4">
      <c r="B45" t="s">
        <v>73</v>
      </c>
      <c r="D45" s="72" t="s">
        <v>74</v>
      </c>
    </row>
    <row r="47" spans="1:4">
      <c r="A47" t="s">
        <v>75</v>
      </c>
    </row>
    <row r="48" spans="1:4">
      <c r="A48" t="s">
        <v>76</v>
      </c>
    </row>
    <row r="49" spans="1:41">
      <c r="B49" s="49" t="s">
        <v>77</v>
      </c>
      <c r="C49" s="49"/>
      <c r="D49" s="72" t="s">
        <v>78</v>
      </c>
    </row>
    <row r="51" spans="1:41">
      <c r="B51" s="73">
        <v>36388</v>
      </c>
      <c r="C51" s="73"/>
      <c r="D51" s="72" t="s">
        <v>79</v>
      </c>
    </row>
    <row r="52" spans="1:41" ht="15.75">
      <c r="A52" s="71" t="s">
        <v>478</v>
      </c>
    </row>
    <row r="53" spans="1:41">
      <c r="A53" s="500" t="s">
        <v>509</v>
      </c>
    </row>
    <row r="54" spans="1:41">
      <c r="A54" s="500" t="s">
        <v>507</v>
      </c>
    </row>
    <row r="55" spans="1:41">
      <c r="A55" t="s">
        <v>508</v>
      </c>
    </row>
    <row r="56" spans="1:41">
      <c r="A56" s="41"/>
      <c r="B56" s="41"/>
      <c r="C56" s="42"/>
      <c r="D56" s="42" t="s">
        <v>80</v>
      </c>
      <c r="E56" s="42"/>
      <c r="F56" s="42"/>
      <c r="G56" s="42"/>
      <c r="H56" s="42"/>
      <c r="I56" s="41" t="s">
        <v>81</v>
      </c>
      <c r="J56" s="42"/>
      <c r="K56" s="42"/>
      <c r="L56" s="42"/>
      <c r="M56" s="41" t="s">
        <v>357</v>
      </c>
      <c r="N56" s="43"/>
      <c r="O56" s="42"/>
      <c r="P56" s="41"/>
      <c r="Q56" s="250" t="s">
        <v>358</v>
      </c>
      <c r="R56" s="251"/>
      <c r="S56" s="251"/>
      <c r="T56" s="251"/>
      <c r="U56" s="251"/>
      <c r="V56" s="251"/>
      <c r="W56" s="42"/>
      <c r="X56" s="42"/>
      <c r="Y56" s="42"/>
      <c r="Z56" s="42"/>
      <c r="AA56" s="42"/>
      <c r="AB56" s="43"/>
      <c r="AC56" s="41"/>
      <c r="AD56" s="42" t="s">
        <v>359</v>
      </c>
      <c r="AE56" s="42"/>
      <c r="AF56" s="42"/>
      <c r="AG56" s="42"/>
      <c r="AH56" s="43"/>
    </row>
    <row r="57" spans="1:41">
      <c r="A57" s="44"/>
      <c r="B57" s="45"/>
      <c r="C57" s="46"/>
      <c r="D57" s="46"/>
      <c r="E57" s="46"/>
      <c r="F57" s="46"/>
      <c r="G57" s="46"/>
      <c r="H57" s="46"/>
      <c r="I57" s="45"/>
      <c r="J57" s="46"/>
      <c r="K57" s="46"/>
      <c r="L57" s="46"/>
      <c r="M57" s="45" t="s">
        <v>360</v>
      </c>
      <c r="N57" s="47"/>
      <c r="O57" s="120"/>
      <c r="P57" s="44"/>
      <c r="Q57" s="45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7"/>
      <c r="AC57" s="45"/>
      <c r="AD57" s="46"/>
      <c r="AE57" s="46"/>
      <c r="AF57" s="46"/>
      <c r="AG57" s="46"/>
      <c r="AH57" s="47"/>
    </row>
    <row r="58" spans="1:41">
      <c r="A58" s="44"/>
      <c r="B58" s="44"/>
      <c r="C58" s="120"/>
      <c r="D58" s="120"/>
      <c r="E58" s="120"/>
      <c r="F58" s="120"/>
      <c r="G58" s="120"/>
      <c r="H58" s="120"/>
      <c r="I58" s="44"/>
      <c r="J58" s="120"/>
      <c r="K58" s="252" t="s">
        <v>361</v>
      </c>
      <c r="L58" s="252" t="s">
        <v>361</v>
      </c>
      <c r="M58" s="44"/>
      <c r="N58" s="50" t="s">
        <v>362</v>
      </c>
      <c r="O58" s="49"/>
      <c r="P58" s="44"/>
      <c r="Q58" s="41"/>
      <c r="R58" s="42"/>
      <c r="S58" s="43"/>
      <c r="T58" s="120"/>
      <c r="U58" s="120"/>
      <c r="V58" s="120"/>
      <c r="W58" s="120"/>
      <c r="X58" s="120"/>
      <c r="Y58" s="120"/>
      <c r="Z58" s="120"/>
      <c r="AA58" s="120"/>
      <c r="AB58" s="48"/>
      <c r="AD58" t="s">
        <v>363</v>
      </c>
      <c r="AH58" s="43"/>
    </row>
    <row r="59" spans="1:41">
      <c r="A59" s="44"/>
      <c r="B59" s="44" t="s">
        <v>364</v>
      </c>
      <c r="C59" s="120"/>
      <c r="F59" s="44" t="s">
        <v>365</v>
      </c>
      <c r="G59" s="120"/>
      <c r="I59" s="44"/>
      <c r="K59" s="49" t="s">
        <v>2</v>
      </c>
      <c r="L59" s="49" t="s">
        <v>82</v>
      </c>
      <c r="M59" s="44"/>
      <c r="N59" s="50" t="s">
        <v>2</v>
      </c>
      <c r="O59" s="49"/>
      <c r="P59" s="44"/>
      <c r="Q59" s="253" t="s">
        <v>366</v>
      </c>
      <c r="R59" s="120"/>
      <c r="S59" s="48"/>
      <c r="T59" s="120"/>
      <c r="V59" t="s">
        <v>83</v>
      </c>
      <c r="AB59" s="48"/>
      <c r="AE59" s="48"/>
      <c r="AH59" s="48"/>
    </row>
    <row r="60" spans="1:41">
      <c r="A60" s="44" t="s">
        <v>3</v>
      </c>
      <c r="B60" s="51" t="s">
        <v>4</v>
      </c>
      <c r="C60" s="252" t="s">
        <v>5</v>
      </c>
      <c r="D60" s="49" t="s">
        <v>84</v>
      </c>
      <c r="E60" s="49" t="s">
        <v>85</v>
      </c>
      <c r="F60" s="51" t="s">
        <v>4</v>
      </c>
      <c r="G60" s="252" t="s">
        <v>6</v>
      </c>
      <c r="H60" s="49" t="s">
        <v>7</v>
      </c>
      <c r="I60" s="51" t="s">
        <v>86</v>
      </c>
      <c r="J60" s="49" t="s">
        <v>8</v>
      </c>
      <c r="K60" s="49" t="s">
        <v>9</v>
      </c>
      <c r="L60" s="49" t="s">
        <v>2</v>
      </c>
      <c r="M60" s="51" t="s">
        <v>151</v>
      </c>
      <c r="N60" s="50" t="s">
        <v>9</v>
      </c>
      <c r="O60" s="49"/>
      <c r="P60" s="44" t="s">
        <v>3</v>
      </c>
      <c r="Q60" s="44" t="s">
        <v>87</v>
      </c>
      <c r="T60" s="44"/>
      <c r="U60" s="49" t="s">
        <v>6</v>
      </c>
      <c r="W60" s="44"/>
      <c r="X60" s="49" t="s">
        <v>7</v>
      </c>
      <c r="Z60" s="44" t="s">
        <v>88</v>
      </c>
      <c r="AB60" s="48"/>
      <c r="AD60" t="s">
        <v>367</v>
      </c>
      <c r="AE60" s="48"/>
      <c r="AF60" t="s">
        <v>368</v>
      </c>
      <c r="AH60" s="48"/>
    </row>
    <row r="61" spans="1:41">
      <c r="A61" s="45"/>
      <c r="B61" s="52" t="s">
        <v>10</v>
      </c>
      <c r="C61" s="53" t="s">
        <v>10</v>
      </c>
      <c r="D61" s="53" t="s">
        <v>10</v>
      </c>
      <c r="E61" s="53" t="s">
        <v>10</v>
      </c>
      <c r="F61" s="52" t="s">
        <v>10</v>
      </c>
      <c r="G61" s="53" t="s">
        <v>10</v>
      </c>
      <c r="H61" s="53" t="s">
        <v>10</v>
      </c>
      <c r="I61" s="45"/>
      <c r="J61" s="53" t="s">
        <v>11</v>
      </c>
      <c r="K61" s="53" t="s">
        <v>22</v>
      </c>
      <c r="L61" s="53" t="s">
        <v>89</v>
      </c>
      <c r="M61" s="52" t="s">
        <v>11</v>
      </c>
      <c r="N61" s="54" t="s">
        <v>22</v>
      </c>
      <c r="O61" s="53"/>
      <c r="P61" s="45"/>
      <c r="Q61" s="52" t="s">
        <v>90</v>
      </c>
      <c r="R61" s="53" t="s">
        <v>77</v>
      </c>
      <c r="S61" s="53" t="s">
        <v>78</v>
      </c>
      <c r="T61" s="52" t="s">
        <v>90</v>
      </c>
      <c r="U61" s="53" t="s">
        <v>77</v>
      </c>
      <c r="V61" s="53" t="s">
        <v>78</v>
      </c>
      <c r="W61" s="52" t="s">
        <v>90</v>
      </c>
      <c r="X61" s="53" t="s">
        <v>77</v>
      </c>
      <c r="Y61" s="53" t="s">
        <v>78</v>
      </c>
      <c r="Z61" s="52" t="s">
        <v>90</v>
      </c>
      <c r="AA61" s="53" t="s">
        <v>77</v>
      </c>
      <c r="AB61" s="54" t="s">
        <v>78</v>
      </c>
      <c r="AC61" s="52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41" ht="15.75">
      <c r="A62" s="44" t="s">
        <v>91</v>
      </c>
      <c r="B62" s="75">
        <f t="shared" ref="B62:B81" si="0">C62+D62+E62</f>
        <v>35633.777252734755</v>
      </c>
      <c r="C62" s="266">
        <v>22353.534309268729</v>
      </c>
      <c r="D62" s="76">
        <v>2400.3229434660229</v>
      </c>
      <c r="E62" s="76">
        <v>10879.92</v>
      </c>
      <c r="F62" s="75">
        <f t="shared" ref="F62:F82" si="1">G62+H62</f>
        <v>80426.867481742112</v>
      </c>
      <c r="G62" s="266">
        <v>56661.748439000134</v>
      </c>
      <c r="H62" s="76">
        <v>23765.119042741982</v>
      </c>
      <c r="I62" s="62">
        <f>F62/(C62+D62)</f>
        <v>3.2490640412357039</v>
      </c>
      <c r="J62" s="78">
        <v>23.624274631278602</v>
      </c>
      <c r="K62" s="60">
        <v>9.0690822031963426E-3</v>
      </c>
      <c r="L62" s="78">
        <v>48.614860102739854</v>
      </c>
      <c r="M62" s="267">
        <v>19.914452054794491</v>
      </c>
      <c r="N62" s="255">
        <v>1.1642917900684956E-2</v>
      </c>
      <c r="O62" s="97"/>
      <c r="P62" s="44" t="s">
        <v>91</v>
      </c>
      <c r="Q62" s="75">
        <v>11626.03706926033</v>
      </c>
      <c r="R62" s="60" t="s">
        <v>92</v>
      </c>
      <c r="S62" s="60">
        <v>15</v>
      </c>
      <c r="T62" s="75">
        <v>23277.4</v>
      </c>
      <c r="U62" s="60" t="s">
        <v>92</v>
      </c>
      <c r="V62" s="60">
        <v>16</v>
      </c>
      <c r="W62" s="75">
        <v>9635.7000000000007</v>
      </c>
      <c r="X62" s="60" t="s">
        <v>95</v>
      </c>
      <c r="Y62" s="60">
        <v>16</v>
      </c>
      <c r="Z62" s="75">
        <v>32174.05</v>
      </c>
      <c r="AA62" s="60" t="s">
        <v>93</v>
      </c>
      <c r="AB62" s="79">
        <v>15</v>
      </c>
      <c r="AC62" s="329">
        <v>34.700000000000003</v>
      </c>
      <c r="AD62" s="257" t="s">
        <v>92</v>
      </c>
      <c r="AE62" s="258">
        <v>15</v>
      </c>
      <c r="AF62" s="330">
        <v>2.1877500000000001E-2</v>
      </c>
      <c r="AG62" s="257" t="s">
        <v>101</v>
      </c>
      <c r="AH62" s="258">
        <v>9</v>
      </c>
    </row>
    <row r="63" spans="1:41" ht="15.75">
      <c r="A63" s="44" t="s">
        <v>96</v>
      </c>
      <c r="B63" s="75">
        <f t="shared" si="0"/>
        <v>39973.379846119082</v>
      </c>
      <c r="C63" s="266">
        <v>26339.625369982768</v>
      </c>
      <c r="D63" s="76">
        <v>2753.8344761363155</v>
      </c>
      <c r="E63" s="76">
        <v>10879.92</v>
      </c>
      <c r="F63" s="75">
        <f t="shared" si="1"/>
        <v>99342.131564849216</v>
      </c>
      <c r="G63" s="266">
        <v>56256.3774670001</v>
      </c>
      <c r="H63" s="76">
        <v>43085.754097849116</v>
      </c>
      <c r="I63" s="62">
        <f t="shared" ref="I63:I82" si="2">F63/(C63+D63)</f>
        <v>3.4145863740610052</v>
      </c>
      <c r="J63" s="78">
        <v>23.755573192922416</v>
      </c>
      <c r="K63" s="60">
        <v>1.1070886085616464E-2</v>
      </c>
      <c r="L63" s="78">
        <v>58.330700913241614</v>
      </c>
      <c r="M63" s="74"/>
      <c r="N63" s="60"/>
      <c r="O63" s="60"/>
      <c r="P63" s="44" t="s">
        <v>96</v>
      </c>
      <c r="Q63" s="75">
        <v>12594.401556764305</v>
      </c>
      <c r="R63" s="60" t="s">
        <v>92</v>
      </c>
      <c r="S63" s="60">
        <v>15</v>
      </c>
      <c r="T63" s="75">
        <v>23094.3</v>
      </c>
      <c r="U63" s="60" t="s">
        <v>97</v>
      </c>
      <c r="V63" s="60">
        <v>15</v>
      </c>
      <c r="W63" s="75">
        <v>15907</v>
      </c>
      <c r="X63" s="60" t="s">
        <v>95</v>
      </c>
      <c r="Y63" s="60">
        <v>15</v>
      </c>
      <c r="Z63" s="75">
        <v>37328</v>
      </c>
      <c r="AA63" s="60" t="s">
        <v>95</v>
      </c>
      <c r="AB63" s="79">
        <v>15</v>
      </c>
    </row>
    <row r="64" spans="1:41" ht="15.75">
      <c r="A64" s="501" t="s">
        <v>98</v>
      </c>
      <c r="B64" s="502">
        <f t="shared" si="0"/>
        <v>40059.657032557334</v>
      </c>
      <c r="C64" s="503">
        <v>26433.137388696625</v>
      </c>
      <c r="D64" s="504">
        <v>2746.5996438607058</v>
      </c>
      <c r="E64" s="504">
        <v>10879.92</v>
      </c>
      <c r="F64" s="502">
        <f t="shared" si="1"/>
        <v>99791.677967264899</v>
      </c>
      <c r="G64" s="503">
        <v>62859.205321999878</v>
      </c>
      <c r="H64" s="504">
        <v>36932.472645265028</v>
      </c>
      <c r="I64" s="62">
        <f t="shared" si="2"/>
        <v>3.419896411537986</v>
      </c>
      <c r="J64" s="505">
        <v>23.90049940753422</v>
      </c>
      <c r="K64" s="506">
        <v>9.9880373253424821E-3</v>
      </c>
      <c r="L64" s="505">
        <v>52.00530301369875</v>
      </c>
      <c r="M64" s="507"/>
      <c r="N64" s="506"/>
      <c r="O64" s="506"/>
      <c r="P64" s="501" t="s">
        <v>98</v>
      </c>
      <c r="Q64" s="502">
        <v>13028.198604878649</v>
      </c>
      <c r="R64" s="506" t="s">
        <v>92</v>
      </c>
      <c r="S64" s="506">
        <v>15</v>
      </c>
      <c r="T64" s="502">
        <v>31315.599999999999</v>
      </c>
      <c r="U64" s="506" t="s">
        <v>100</v>
      </c>
      <c r="V64" s="506">
        <v>16</v>
      </c>
      <c r="W64" s="502">
        <v>23147.3</v>
      </c>
      <c r="X64" s="506" t="s">
        <v>101</v>
      </c>
      <c r="Y64" s="506">
        <v>10</v>
      </c>
      <c r="Z64" s="502">
        <v>40317.599999999999</v>
      </c>
      <c r="AA64" s="506" t="s">
        <v>95</v>
      </c>
      <c r="AB64" s="508">
        <v>16</v>
      </c>
      <c r="AC64" s="509"/>
      <c r="AD64" s="509"/>
      <c r="AE64" s="509"/>
      <c r="AF64" s="509"/>
      <c r="AG64" s="509"/>
      <c r="AH64" s="509"/>
      <c r="AI64" s="509"/>
      <c r="AJ64" s="509"/>
      <c r="AK64" s="509"/>
      <c r="AL64" s="509"/>
      <c r="AM64" s="509"/>
      <c r="AN64" s="509"/>
      <c r="AO64" s="509"/>
    </row>
    <row r="65" spans="1:41" ht="15.75">
      <c r="A65" s="44" t="s">
        <v>102</v>
      </c>
      <c r="B65" s="75">
        <f t="shared" si="0"/>
        <v>40963.300377974272</v>
      </c>
      <c r="C65" s="266">
        <v>27299.732074423395</v>
      </c>
      <c r="D65" s="76">
        <v>2783.6483035508809</v>
      </c>
      <c r="E65" s="76">
        <v>10879.92</v>
      </c>
      <c r="F65" s="75">
        <f t="shared" si="1"/>
        <v>105012.87148956976</v>
      </c>
      <c r="G65" s="266">
        <v>63083.376498999918</v>
      </c>
      <c r="H65" s="76">
        <v>41929.494990569845</v>
      </c>
      <c r="I65" s="62">
        <f t="shared" si="2"/>
        <v>3.4907271114537237</v>
      </c>
      <c r="J65" s="78">
        <v>23.879729368721453</v>
      </c>
      <c r="K65" s="60">
        <v>9.7409446187214678E-3</v>
      </c>
      <c r="L65" s="78">
        <v>50.844470547945278</v>
      </c>
      <c r="M65" s="74"/>
      <c r="N65" s="60"/>
      <c r="O65" s="60"/>
      <c r="P65" s="44" t="s">
        <v>102</v>
      </c>
      <c r="Q65" s="75">
        <v>13346.701022820673</v>
      </c>
      <c r="R65" s="60" t="s">
        <v>92</v>
      </c>
      <c r="S65" s="60">
        <v>15</v>
      </c>
      <c r="T65" s="75">
        <v>33226.1</v>
      </c>
      <c r="U65" s="60" t="s">
        <v>103</v>
      </c>
      <c r="V65" s="60">
        <v>14</v>
      </c>
      <c r="W65" s="75">
        <v>27825.200000000001</v>
      </c>
      <c r="X65" s="60" t="s">
        <v>104</v>
      </c>
      <c r="Y65" s="60">
        <v>16</v>
      </c>
      <c r="Z65" s="75">
        <v>43492</v>
      </c>
      <c r="AA65" s="60" t="s">
        <v>101</v>
      </c>
      <c r="AB65" s="79">
        <v>9</v>
      </c>
    </row>
    <row r="66" spans="1:41" ht="15.75">
      <c r="A66" s="501" t="s">
        <v>356</v>
      </c>
      <c r="B66" s="502">
        <f t="shared" si="0"/>
        <v>40619.295122139025</v>
      </c>
      <c r="C66" s="503">
        <v>26962.93733737541</v>
      </c>
      <c r="D66" s="504">
        <v>2776.4377847636142</v>
      </c>
      <c r="E66" s="504">
        <v>10879.92</v>
      </c>
      <c r="F66" s="502">
        <f t="shared" si="1"/>
        <v>102727.97891432175</v>
      </c>
      <c r="G66" s="503">
        <v>63032.606061999933</v>
      </c>
      <c r="H66" s="504">
        <v>39695.372852321809</v>
      </c>
      <c r="I66" s="62">
        <f t="shared" si="2"/>
        <v>3.4542749634926753</v>
      </c>
      <c r="J66" s="505">
        <v>23.875627816210084</v>
      </c>
      <c r="K66" s="506">
        <v>9.7914059041095854E-3</v>
      </c>
      <c r="L66" s="505">
        <v>51.085032043379037</v>
      </c>
      <c r="M66" s="507"/>
      <c r="N66" s="506"/>
      <c r="O66" s="506"/>
      <c r="P66" s="501" t="s">
        <v>356</v>
      </c>
      <c r="Q66" s="502">
        <v>13180.901834486</v>
      </c>
      <c r="R66" s="506" t="s">
        <v>92</v>
      </c>
      <c r="S66" s="506">
        <v>15</v>
      </c>
      <c r="T66" s="502">
        <v>32828.9</v>
      </c>
      <c r="U66" s="506" t="s">
        <v>100</v>
      </c>
      <c r="V66" s="506">
        <v>15</v>
      </c>
      <c r="W66" s="502">
        <v>24848.3</v>
      </c>
      <c r="X66" s="506" t="s">
        <v>101</v>
      </c>
      <c r="Y66" s="506">
        <v>9</v>
      </c>
      <c r="Z66" s="502">
        <v>41651.699999999997</v>
      </c>
      <c r="AA66" s="506" t="s">
        <v>101</v>
      </c>
      <c r="AB66" s="508">
        <v>10</v>
      </c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</row>
    <row r="67" spans="1:41" ht="15.75">
      <c r="A67" s="44" t="s">
        <v>105</v>
      </c>
      <c r="B67" s="75">
        <f t="shared" si="0"/>
        <v>32236.979468446429</v>
      </c>
      <c r="C67" s="266">
        <v>19316.840364594198</v>
      </c>
      <c r="D67" s="76">
        <v>2040.2191038522333</v>
      </c>
      <c r="E67" s="76">
        <v>10879.92</v>
      </c>
      <c r="F67" s="75">
        <f t="shared" si="1"/>
        <v>69387.997605120792</v>
      </c>
      <c r="G67" s="266">
        <v>50370.830375999802</v>
      </c>
      <c r="H67" s="76">
        <v>19017.167229120987</v>
      </c>
      <c r="I67" s="62">
        <f t="shared" si="2"/>
        <v>3.2489490281954185</v>
      </c>
      <c r="J67" s="78">
        <v>25.659465613013619</v>
      </c>
      <c r="K67" s="60">
        <v>9.705930864155235E-3</v>
      </c>
      <c r="L67" s="78">
        <v>45.48395562785403</v>
      </c>
      <c r="M67" s="74"/>
      <c r="N67" s="60"/>
      <c r="O67" s="60"/>
      <c r="P67" s="44" t="s">
        <v>105</v>
      </c>
      <c r="Q67" s="75">
        <v>11626.889010941171</v>
      </c>
      <c r="R67" s="60" t="s">
        <v>92</v>
      </c>
      <c r="S67" s="60">
        <v>15</v>
      </c>
      <c r="T67" s="75">
        <v>23277.5</v>
      </c>
      <c r="U67" s="60" t="s">
        <v>106</v>
      </c>
      <c r="V67" s="60">
        <v>15</v>
      </c>
      <c r="W67" s="75">
        <v>9751.26</v>
      </c>
      <c r="X67" s="60" t="s">
        <v>107</v>
      </c>
      <c r="Y67" s="60">
        <v>13</v>
      </c>
      <c r="Z67" s="75">
        <v>32091.73</v>
      </c>
      <c r="AA67" s="60" t="s">
        <v>93</v>
      </c>
      <c r="AB67" s="79">
        <v>15</v>
      </c>
    </row>
    <row r="68" spans="1:41" ht="15.75">
      <c r="A68" s="44" t="s">
        <v>108</v>
      </c>
      <c r="B68" s="75">
        <f t="shared" si="0"/>
        <v>55298.791720929417</v>
      </c>
      <c r="C68" s="266">
        <v>40105.839879967134</v>
      </c>
      <c r="D68" s="76">
        <v>4313.0318409622851</v>
      </c>
      <c r="E68" s="76">
        <v>10879.92</v>
      </c>
      <c r="F68" s="75">
        <f t="shared" si="1"/>
        <v>162974.06257335175</v>
      </c>
      <c r="G68" s="266">
        <v>134976.83514699971</v>
      </c>
      <c r="H68" s="76">
        <v>27997.227426352034</v>
      </c>
      <c r="I68" s="62">
        <f t="shared" si="2"/>
        <v>3.6690275159907122</v>
      </c>
      <c r="J68" s="78">
        <v>25.364948660958916</v>
      </c>
      <c r="K68" s="60">
        <v>8.4994811107306049E-3</v>
      </c>
      <c r="L68" s="78">
        <v>41.033473984018258</v>
      </c>
      <c r="M68" s="74"/>
      <c r="N68" s="60"/>
      <c r="O68" s="60"/>
      <c r="P68" s="44" t="s">
        <v>108</v>
      </c>
      <c r="Q68" s="75">
        <v>12769.502182177162</v>
      </c>
      <c r="R68" s="60" t="s">
        <v>92</v>
      </c>
      <c r="S68" s="60">
        <v>15</v>
      </c>
      <c r="T68" s="75">
        <v>32060.7</v>
      </c>
      <c r="U68" s="60" t="s">
        <v>100</v>
      </c>
      <c r="V68" s="60">
        <v>16</v>
      </c>
      <c r="W68" s="75">
        <v>9275.16</v>
      </c>
      <c r="X68" s="60" t="s">
        <v>101</v>
      </c>
      <c r="Y68" s="60">
        <v>10</v>
      </c>
      <c r="Z68" s="75">
        <v>38857.160000000003</v>
      </c>
      <c r="AA68" s="60" t="s">
        <v>101</v>
      </c>
      <c r="AB68" s="79">
        <v>10</v>
      </c>
    </row>
    <row r="69" spans="1:41" ht="15.75">
      <c r="A69" s="44" t="s">
        <v>109</v>
      </c>
      <c r="B69" s="75">
        <f t="shared" si="0"/>
        <v>32045.153568170928</v>
      </c>
      <c r="C69" s="266">
        <v>19178.948737703857</v>
      </c>
      <c r="D69" s="76">
        <v>1986.2848304670733</v>
      </c>
      <c r="E69" s="76">
        <v>10879.92</v>
      </c>
      <c r="F69" s="75">
        <f t="shared" si="1"/>
        <v>68792.822126469924</v>
      </c>
      <c r="G69" s="266">
        <v>41952.359514999953</v>
      </c>
      <c r="H69" s="76">
        <v>26840.462611469979</v>
      </c>
      <c r="I69" s="62">
        <f t="shared" si="2"/>
        <v>3.2502746499298332</v>
      </c>
      <c r="J69" s="78">
        <v>24.126294471461257</v>
      </c>
      <c r="K69" s="60">
        <v>9.8011450958904334E-3</v>
      </c>
      <c r="L69" s="78">
        <v>50.770897728310473</v>
      </c>
      <c r="M69" s="74"/>
      <c r="N69" s="60"/>
      <c r="O69" s="60"/>
      <c r="P69" s="44" t="s">
        <v>109</v>
      </c>
      <c r="Q69" s="75">
        <v>11627.867729678333</v>
      </c>
      <c r="R69" s="60" t="s">
        <v>92</v>
      </c>
      <c r="S69" s="60">
        <v>15</v>
      </c>
      <c r="T69" s="75">
        <v>23277.5</v>
      </c>
      <c r="U69" s="60" t="s">
        <v>106</v>
      </c>
      <c r="V69" s="60">
        <v>15</v>
      </c>
      <c r="W69" s="75">
        <v>27075.3</v>
      </c>
      <c r="X69" s="60" t="s">
        <v>110</v>
      </c>
      <c r="Y69" s="60">
        <v>15</v>
      </c>
      <c r="Z69" s="75">
        <v>41178.6</v>
      </c>
      <c r="AA69" s="60" t="s">
        <v>110</v>
      </c>
      <c r="AB69" s="79">
        <v>15</v>
      </c>
    </row>
    <row r="70" spans="1:41" ht="15.75">
      <c r="A70" s="44" t="s">
        <v>111</v>
      </c>
      <c r="B70" s="75">
        <f t="shared" si="0"/>
        <v>32078.431863626436</v>
      </c>
      <c r="C70" s="266">
        <v>19204.494365578117</v>
      </c>
      <c r="D70" s="76">
        <v>1994.01749804832</v>
      </c>
      <c r="E70" s="76">
        <v>10879.92</v>
      </c>
      <c r="F70" s="75">
        <f t="shared" si="1"/>
        <v>68672.853832539928</v>
      </c>
      <c r="G70" s="266">
        <v>45676.645576999981</v>
      </c>
      <c r="H70" s="76">
        <v>22996.208255539954</v>
      </c>
      <c r="I70" s="62">
        <f t="shared" si="2"/>
        <v>3.2395129561133276</v>
      </c>
      <c r="J70" s="78">
        <v>24.122146412100513</v>
      </c>
      <c r="K70" s="60">
        <v>9.7404771940639307E-3</v>
      </c>
      <c r="L70" s="78">
        <v>50.497098949771569</v>
      </c>
      <c r="M70" s="74"/>
      <c r="N70" s="60"/>
      <c r="O70" s="60"/>
      <c r="P70" s="44" t="s">
        <v>111</v>
      </c>
      <c r="Q70" s="75">
        <v>11627.867729678333</v>
      </c>
      <c r="R70" s="60" t="s">
        <v>92</v>
      </c>
      <c r="S70" s="60">
        <v>15</v>
      </c>
      <c r="T70" s="75">
        <v>23265.7</v>
      </c>
      <c r="U70" s="60" t="s">
        <v>97</v>
      </c>
      <c r="V70" s="60">
        <v>16</v>
      </c>
      <c r="W70" s="75">
        <v>11138.9</v>
      </c>
      <c r="X70" s="60" t="s">
        <v>110</v>
      </c>
      <c r="Y70" s="60">
        <v>15</v>
      </c>
      <c r="Z70" s="75">
        <v>32091.73</v>
      </c>
      <c r="AA70" s="60" t="s">
        <v>93</v>
      </c>
      <c r="AB70" s="79">
        <v>15</v>
      </c>
    </row>
    <row r="71" spans="1:41" ht="15.75">
      <c r="A71" s="44" t="s">
        <v>112</v>
      </c>
      <c r="B71" s="75">
        <f t="shared" si="0"/>
        <v>33387.007607424253</v>
      </c>
      <c r="C71" s="266">
        <v>20358.585393713744</v>
      </c>
      <c r="D71" s="76">
        <v>2148.5022137105116</v>
      </c>
      <c r="E71" s="76">
        <v>10879.92</v>
      </c>
      <c r="F71" s="75">
        <f t="shared" si="1"/>
        <v>72609.307406750057</v>
      </c>
      <c r="G71" s="266">
        <v>50389.824659000034</v>
      </c>
      <c r="H71" s="76">
        <v>22219.482747750022</v>
      </c>
      <c r="I71" s="62">
        <f t="shared" si="2"/>
        <v>3.2260641035937025</v>
      </c>
      <c r="J71" s="78">
        <v>23.926173912100584</v>
      </c>
      <c r="K71" s="60">
        <v>9.2638875388127741E-3</v>
      </c>
      <c r="L71" s="78">
        <v>48.779368002283327</v>
      </c>
      <c r="M71" s="74"/>
      <c r="N71" s="60"/>
      <c r="O71" s="60"/>
      <c r="P71" s="44" t="s">
        <v>112</v>
      </c>
      <c r="Q71" s="75">
        <v>11626.03706926033</v>
      </c>
      <c r="R71" s="60" t="s">
        <v>92</v>
      </c>
      <c r="S71" s="60">
        <v>15</v>
      </c>
      <c r="T71" s="75">
        <v>23277.4</v>
      </c>
      <c r="U71" s="60" t="s">
        <v>92</v>
      </c>
      <c r="V71" s="60">
        <v>16</v>
      </c>
      <c r="W71" s="75">
        <v>9751.0400000000009</v>
      </c>
      <c r="X71" s="60" t="s">
        <v>107</v>
      </c>
      <c r="Y71" s="60">
        <v>13</v>
      </c>
      <c r="Z71" s="75">
        <v>32174.05</v>
      </c>
      <c r="AA71" s="60" t="s">
        <v>93</v>
      </c>
      <c r="AB71" s="79">
        <v>15</v>
      </c>
    </row>
    <row r="72" spans="1:41" ht="15.75">
      <c r="A72" s="44" t="s">
        <v>113</v>
      </c>
      <c r="B72" s="75">
        <f t="shared" si="0"/>
        <v>32538.031318731744</v>
      </c>
      <c r="C72" s="266">
        <v>19598.621063024904</v>
      </c>
      <c r="D72" s="76">
        <v>2059.490255706839</v>
      </c>
      <c r="E72" s="76">
        <v>10879.92</v>
      </c>
      <c r="F72" s="75">
        <f t="shared" si="1"/>
        <v>69756.311989893147</v>
      </c>
      <c r="G72" s="266">
        <v>47863.346245000044</v>
      </c>
      <c r="H72" s="76">
        <v>21892.965744893096</v>
      </c>
      <c r="I72" s="62">
        <f t="shared" si="2"/>
        <v>3.2207938616310492</v>
      </c>
      <c r="J72" s="78">
        <v>23.991582428082271</v>
      </c>
      <c r="K72" s="60">
        <v>9.310276779680382E-3</v>
      </c>
      <c r="L72" s="78">
        <v>48.821944840182738</v>
      </c>
      <c r="M72" s="74"/>
      <c r="N72" s="60"/>
      <c r="O72" s="60"/>
      <c r="P72" s="44" t="s">
        <v>113</v>
      </c>
      <c r="Q72" s="75">
        <v>11626.03706926033</v>
      </c>
      <c r="R72" s="60" t="s">
        <v>92</v>
      </c>
      <c r="S72" s="60">
        <v>15</v>
      </c>
      <c r="T72" s="75">
        <v>23277.4</v>
      </c>
      <c r="U72" s="60" t="s">
        <v>92</v>
      </c>
      <c r="V72" s="60">
        <v>16</v>
      </c>
      <c r="W72" s="75">
        <v>9635.7000000000007</v>
      </c>
      <c r="X72" s="60" t="s">
        <v>95</v>
      </c>
      <c r="Y72" s="60">
        <v>16</v>
      </c>
      <c r="Z72" s="75">
        <v>32174.05</v>
      </c>
      <c r="AA72" s="60" t="s">
        <v>93</v>
      </c>
      <c r="AB72" s="79">
        <v>15</v>
      </c>
    </row>
    <row r="73" spans="1:41" ht="15.75">
      <c r="A73" s="44" t="s">
        <v>114</v>
      </c>
      <c r="B73" s="636">
        <v>33691.321017245209</v>
      </c>
      <c r="C73" s="637">
        <v>20629.133255656114</v>
      </c>
      <c r="D73" s="638">
        <v>2182.2677615890984</v>
      </c>
      <c r="E73" s="638">
        <v>10879.92</v>
      </c>
      <c r="F73" s="636">
        <v>73711.363480827218</v>
      </c>
      <c r="G73" s="637">
        <v>50876.072483000105</v>
      </c>
      <c r="H73" s="638">
        <v>22835.290997827113</v>
      </c>
      <c r="I73" s="62">
        <f t="shared" si="2"/>
        <v>3.2313387251007555</v>
      </c>
      <c r="J73" s="639">
        <v>23.91177118379002</v>
      </c>
      <c r="K73" s="489">
        <v>9.1578199486301911E-3</v>
      </c>
      <c r="L73" s="640">
        <v>48.329768664383728</v>
      </c>
      <c r="M73" s="74"/>
      <c r="N73" s="60"/>
      <c r="O73" s="60"/>
      <c r="P73" s="44" t="s">
        <v>114</v>
      </c>
      <c r="Q73" s="636">
        <v>11626.03706926033</v>
      </c>
      <c r="R73" s="489" t="s">
        <v>92</v>
      </c>
      <c r="S73" s="489">
        <v>15</v>
      </c>
      <c r="T73" s="636">
        <v>23277.4</v>
      </c>
      <c r="U73" s="489" t="s">
        <v>92</v>
      </c>
      <c r="V73" s="489">
        <v>16</v>
      </c>
      <c r="W73" s="636">
        <v>9635.7000000000007</v>
      </c>
      <c r="X73" s="489" t="s">
        <v>95</v>
      </c>
      <c r="Y73" s="489">
        <v>16</v>
      </c>
      <c r="Z73" s="636">
        <v>32174.05</v>
      </c>
      <c r="AA73" s="489" t="s">
        <v>93</v>
      </c>
      <c r="AB73" s="491">
        <v>15</v>
      </c>
    </row>
    <row r="74" spans="1:41" ht="15.75">
      <c r="A74" s="44" t="s">
        <v>115</v>
      </c>
      <c r="B74" s="75">
        <f t="shared" si="0"/>
        <v>22337.887016316719</v>
      </c>
      <c r="C74" s="266">
        <v>17854.295557848422</v>
      </c>
      <c r="D74" s="76">
        <v>1919.7698233773071</v>
      </c>
      <c r="E74" s="76">
        <v>2563.8216350909911</v>
      </c>
      <c r="F74" s="75">
        <f t="shared" si="1"/>
        <v>63357.106250000092</v>
      </c>
      <c r="G74" s="266">
        <v>45043.800000000097</v>
      </c>
      <c r="H74" s="76">
        <v>18313.306249999994</v>
      </c>
      <c r="I74" s="62">
        <f t="shared" si="2"/>
        <v>3.2040506101569686</v>
      </c>
      <c r="J74" s="78">
        <v>20.234182794520542</v>
      </c>
      <c r="K74" s="60">
        <v>9.7752996655252524E-3</v>
      </c>
      <c r="L74" s="78">
        <v>66.526122203196252</v>
      </c>
      <c r="M74" s="74"/>
      <c r="N74" s="60"/>
      <c r="O74" s="60"/>
      <c r="P74" s="44" t="s">
        <v>116</v>
      </c>
      <c r="Q74" s="75">
        <v>10166.483125274943</v>
      </c>
      <c r="R74" s="60" t="s">
        <v>92</v>
      </c>
      <c r="S74" s="60">
        <v>15</v>
      </c>
      <c r="T74" s="75">
        <v>19549.2</v>
      </c>
      <c r="U74" s="60" t="s">
        <v>118</v>
      </c>
      <c r="V74" s="60">
        <v>15</v>
      </c>
      <c r="W74" s="75">
        <v>7965.46</v>
      </c>
      <c r="X74" s="60" t="s">
        <v>119</v>
      </c>
      <c r="Y74" s="60">
        <v>15</v>
      </c>
      <c r="Z74" s="75">
        <v>27485.51</v>
      </c>
      <c r="AA74" s="60" t="s">
        <v>118</v>
      </c>
      <c r="AB74" s="79">
        <v>15</v>
      </c>
    </row>
    <row r="75" spans="1:41" ht="15.75">
      <c r="A75" s="44" t="s">
        <v>120</v>
      </c>
      <c r="B75" s="75">
        <f t="shared" si="0"/>
        <v>17390.851076390049</v>
      </c>
      <c r="C75" s="266">
        <v>13942.147864083752</v>
      </c>
      <c r="D75" s="76">
        <v>1476.6546903521444</v>
      </c>
      <c r="E75" s="76">
        <v>1972.0485219541506</v>
      </c>
      <c r="F75" s="75">
        <f t="shared" si="1"/>
        <v>48443.43080000006</v>
      </c>
      <c r="G75" s="266">
        <v>34443.234380000074</v>
      </c>
      <c r="H75" s="76">
        <v>14000.196419999986</v>
      </c>
      <c r="I75" s="62">
        <f t="shared" si="2"/>
        <v>3.1418413089454327</v>
      </c>
      <c r="J75" s="78">
        <v>24.572292429193926</v>
      </c>
      <c r="K75" s="60">
        <v>1.1020851416122001E-2</v>
      </c>
      <c r="L75" s="78">
        <v>57.047631889978156</v>
      </c>
      <c r="M75" s="74"/>
      <c r="N75" s="60"/>
      <c r="O75" s="60"/>
      <c r="P75" s="44" t="s">
        <v>121</v>
      </c>
      <c r="Q75" s="75">
        <v>11204.896753388282</v>
      </c>
      <c r="R75" s="60" t="s">
        <v>92</v>
      </c>
      <c r="S75" s="60">
        <v>15</v>
      </c>
      <c r="T75" s="75">
        <v>21729.200000000001</v>
      </c>
      <c r="U75" s="60" t="s">
        <v>122</v>
      </c>
      <c r="V75" s="60">
        <v>19</v>
      </c>
      <c r="W75" s="75">
        <v>8892.56</v>
      </c>
      <c r="X75" s="60" t="s">
        <v>123</v>
      </c>
      <c r="Y75" s="60">
        <v>11</v>
      </c>
      <c r="Z75" s="75">
        <v>30593.05</v>
      </c>
      <c r="AA75" s="60" t="s">
        <v>122</v>
      </c>
      <c r="AB75" s="79">
        <v>19</v>
      </c>
    </row>
    <row r="76" spans="1:41" ht="15.75">
      <c r="A76" s="44" t="s">
        <v>124</v>
      </c>
      <c r="B76" s="75">
        <f t="shared" si="0"/>
        <v>34608.775362869957</v>
      </c>
      <c r="C76" s="266">
        <v>27747.878980448822</v>
      </c>
      <c r="D76" s="76">
        <v>2937.676627832258</v>
      </c>
      <c r="E76" s="76">
        <v>3923.219754588878</v>
      </c>
      <c r="F76" s="75">
        <f t="shared" si="1"/>
        <v>108974.30994000004</v>
      </c>
      <c r="G76" s="266">
        <v>77489.432099999991</v>
      </c>
      <c r="H76" s="76">
        <v>31484.877840000041</v>
      </c>
      <c r="I76" s="62">
        <f t="shared" si="2"/>
        <v>3.5513226917289793</v>
      </c>
      <c r="J76" s="78">
        <v>25.816808224400845</v>
      </c>
      <c r="K76" s="60">
        <v>1.1395419907407389E-2</v>
      </c>
      <c r="L76" s="78">
        <v>54.700072821350801</v>
      </c>
      <c r="M76" s="74"/>
      <c r="N76" s="60"/>
      <c r="O76" s="60"/>
      <c r="P76" s="44" t="s">
        <v>125</v>
      </c>
      <c r="Q76" s="75">
        <v>11035.389839962188</v>
      </c>
      <c r="R76" s="60" t="s">
        <v>92</v>
      </c>
      <c r="S76" s="60">
        <v>15</v>
      </c>
      <c r="T76" s="75">
        <v>19415.900000000001</v>
      </c>
      <c r="U76" s="60" t="s">
        <v>126</v>
      </c>
      <c r="V76" s="60">
        <v>15</v>
      </c>
      <c r="W76" s="75">
        <v>7913.7</v>
      </c>
      <c r="X76" s="60" t="s">
        <v>126</v>
      </c>
      <c r="Y76" s="60">
        <v>15</v>
      </c>
      <c r="Z76" s="75">
        <v>27329.599999999999</v>
      </c>
      <c r="AA76" s="60" t="s">
        <v>126</v>
      </c>
      <c r="AB76" s="79">
        <v>15</v>
      </c>
    </row>
    <row r="77" spans="1:41" ht="15.75">
      <c r="A77" s="44" t="s">
        <v>125</v>
      </c>
      <c r="B77" s="75">
        <f t="shared" si="0"/>
        <v>24986.581989315273</v>
      </c>
      <c r="C77" s="266">
        <v>19521.276662968372</v>
      </c>
      <c r="D77" s="76">
        <v>2340.1169215021255</v>
      </c>
      <c r="E77" s="76">
        <v>3125.1884048447769</v>
      </c>
      <c r="F77" s="75">
        <f t="shared" si="1"/>
        <v>63421.544428999987</v>
      </c>
      <c r="G77" s="266">
        <v>45109.614089999988</v>
      </c>
      <c r="H77" s="76">
        <v>18311.930338999995</v>
      </c>
      <c r="I77" s="62">
        <f t="shared" si="2"/>
        <v>2.9010750931291152</v>
      </c>
      <c r="J77" s="78">
        <v>13.51710186187217</v>
      </c>
      <c r="K77" s="60">
        <v>6.6924052328766054E-3</v>
      </c>
      <c r="L77" s="78">
        <v>69.874455981734982</v>
      </c>
      <c r="M77" s="74"/>
      <c r="N77" s="60"/>
      <c r="O77" s="60"/>
      <c r="P77" s="44" t="s">
        <v>127</v>
      </c>
      <c r="Q77" s="75">
        <v>10430.779128711938</v>
      </c>
      <c r="R77" s="60" t="s">
        <v>92</v>
      </c>
      <c r="S77" s="60">
        <v>15</v>
      </c>
      <c r="T77" s="75">
        <v>19488.8</v>
      </c>
      <c r="U77" s="60" t="s">
        <v>128</v>
      </c>
      <c r="V77" s="60">
        <v>15</v>
      </c>
      <c r="W77" s="75">
        <v>7906.7</v>
      </c>
      <c r="X77" s="60" t="s">
        <v>129</v>
      </c>
      <c r="Y77" s="60">
        <v>15</v>
      </c>
      <c r="Z77" s="75">
        <v>27383.59</v>
      </c>
      <c r="AA77" s="60" t="s">
        <v>128</v>
      </c>
      <c r="AB77" s="79">
        <v>15</v>
      </c>
    </row>
    <row r="78" spans="1:41" ht="15.75">
      <c r="A78" s="44" t="s">
        <v>127</v>
      </c>
      <c r="B78" s="75">
        <f t="shared" si="0"/>
        <v>23544.160692124755</v>
      </c>
      <c r="C78" s="266">
        <v>18620.310806459944</v>
      </c>
      <c r="D78" s="76">
        <v>2108.2782659614504</v>
      </c>
      <c r="E78" s="76">
        <v>2815.5716197033621</v>
      </c>
      <c r="F78" s="75">
        <f t="shared" si="1"/>
        <v>63389.22280399999</v>
      </c>
      <c r="G78" s="266">
        <v>45076.031247999977</v>
      </c>
      <c r="H78" s="76">
        <v>18313.191556000009</v>
      </c>
      <c r="I78" s="62">
        <f t="shared" si="2"/>
        <v>3.0580577666203514</v>
      </c>
      <c r="J78" s="78">
        <v>16.945636687214613</v>
      </c>
      <c r="K78" s="60">
        <v>8.1904468938349267E-3</v>
      </c>
      <c r="L78" s="78">
        <v>68.677375262557277</v>
      </c>
      <c r="M78" s="74"/>
      <c r="N78" s="60"/>
      <c r="O78" s="60"/>
      <c r="P78" s="44" t="s">
        <v>130</v>
      </c>
      <c r="Q78" s="75">
        <v>9366.7480928703299</v>
      </c>
      <c r="R78" s="60" t="s">
        <v>92</v>
      </c>
      <c r="S78" s="60">
        <v>15</v>
      </c>
      <c r="T78" s="75">
        <v>19702.7</v>
      </c>
      <c r="U78" s="60" t="s">
        <v>131</v>
      </c>
      <c r="V78" s="60">
        <v>16</v>
      </c>
      <c r="W78" s="75">
        <v>8037.07</v>
      </c>
      <c r="X78" s="60" t="s">
        <v>131</v>
      </c>
      <c r="Y78" s="60">
        <v>16</v>
      </c>
      <c r="Z78" s="75">
        <v>27739.77</v>
      </c>
      <c r="AA78" s="60" t="s">
        <v>131</v>
      </c>
      <c r="AB78" s="79">
        <v>16</v>
      </c>
    </row>
    <row r="79" spans="1:41" ht="15.75">
      <c r="A79" s="44" t="s">
        <v>130</v>
      </c>
      <c r="B79" s="75">
        <f t="shared" si="0"/>
        <v>20320.873963030244</v>
      </c>
      <c r="C79" s="266">
        <v>16557.874829804307</v>
      </c>
      <c r="D79" s="76">
        <v>1611.2289106354137</v>
      </c>
      <c r="E79" s="76">
        <v>2151.7702225905218</v>
      </c>
      <c r="F79" s="75">
        <f t="shared" si="1"/>
        <v>63292.945401999998</v>
      </c>
      <c r="G79" s="266">
        <v>44979.010342000052</v>
      </c>
      <c r="H79" s="76">
        <v>18313.935059999949</v>
      </c>
      <c r="I79" s="62">
        <f t="shared" si="2"/>
        <v>3.4835480223015232</v>
      </c>
      <c r="J79" s="78">
        <v>26.844263271689471</v>
      </c>
      <c r="K79" s="60">
        <v>1.3712712512557254E-2</v>
      </c>
      <c r="L79" s="78">
        <v>61.467399063927004</v>
      </c>
      <c r="M79" s="74"/>
      <c r="N79" s="60"/>
      <c r="O79" s="60"/>
      <c r="P79" s="44" t="s">
        <v>132</v>
      </c>
      <c r="Q79" s="75">
        <v>8028.3285466124171</v>
      </c>
      <c r="R79" s="60" t="s">
        <v>92</v>
      </c>
      <c r="S79" s="60">
        <v>15</v>
      </c>
      <c r="T79" s="75">
        <v>19834.099999999999</v>
      </c>
      <c r="U79" s="60" t="s">
        <v>133</v>
      </c>
      <c r="V79" s="60">
        <v>15</v>
      </c>
      <c r="W79" s="75">
        <v>1.6431299999999999E-11</v>
      </c>
      <c r="X79" s="60" t="s">
        <v>134</v>
      </c>
      <c r="Y79" s="60">
        <v>16</v>
      </c>
      <c r="Z79" s="75">
        <v>19834.099999999999</v>
      </c>
      <c r="AA79" s="60" t="s">
        <v>133</v>
      </c>
      <c r="AB79" s="79">
        <v>15</v>
      </c>
    </row>
    <row r="80" spans="1:41" ht="15.75">
      <c r="A80" s="44" t="s">
        <v>132</v>
      </c>
      <c r="B80" s="75">
        <f t="shared" si="0"/>
        <v>17281.271045603677</v>
      </c>
      <c r="C80" s="266">
        <v>13656.995123440021</v>
      </c>
      <c r="D80" s="76">
        <v>1551.8308506501819</v>
      </c>
      <c r="E80" s="76">
        <v>2072.4450715134722</v>
      </c>
      <c r="F80" s="75">
        <f t="shared" si="1"/>
        <v>45045.847950000098</v>
      </c>
      <c r="G80" s="266">
        <v>45045.847950000098</v>
      </c>
      <c r="H80" s="76">
        <v>5.6052956319999936E-13</v>
      </c>
      <c r="I80" s="62">
        <f t="shared" si="2"/>
        <v>2.961822827530562</v>
      </c>
      <c r="J80" s="78">
        <v>20.025301170091296</v>
      </c>
      <c r="K80" s="60">
        <v>6.2265487134692283E-3</v>
      </c>
      <c r="L80" s="78">
        <v>46.729939874429292</v>
      </c>
      <c r="M80" s="74"/>
      <c r="N80" s="60"/>
      <c r="O80" s="60"/>
      <c r="P80" s="44" t="s">
        <v>135</v>
      </c>
      <c r="Q80" s="75">
        <v>8698.956160670863</v>
      </c>
      <c r="R80" s="60" t="s">
        <v>92</v>
      </c>
      <c r="S80" s="60">
        <v>15</v>
      </c>
      <c r="T80" s="75">
        <v>19575</v>
      </c>
      <c r="U80" s="60" t="s">
        <v>136</v>
      </c>
      <c r="V80" s="60">
        <v>16</v>
      </c>
      <c r="W80" s="75">
        <v>627.18600000000004</v>
      </c>
      <c r="X80" s="60" t="s">
        <v>137</v>
      </c>
      <c r="Y80" s="60">
        <v>10</v>
      </c>
      <c r="Z80" s="75">
        <v>19575</v>
      </c>
      <c r="AA80" s="60" t="s">
        <v>136</v>
      </c>
      <c r="AB80" s="79">
        <v>16</v>
      </c>
    </row>
    <row r="81" spans="1:41" ht="15.75">
      <c r="A81" s="44" t="s">
        <v>135</v>
      </c>
      <c r="B81" s="75">
        <f t="shared" si="0"/>
        <v>19430.378480857089</v>
      </c>
      <c r="C81" s="266">
        <v>15020.743269785731</v>
      </c>
      <c r="D81" s="76">
        <v>1888.1034743537653</v>
      </c>
      <c r="E81" s="76">
        <v>2521.531736717593</v>
      </c>
      <c r="F81" s="75">
        <f t="shared" si="1"/>
        <v>45112.827029195018</v>
      </c>
      <c r="G81" s="266">
        <v>45111.847271000021</v>
      </c>
      <c r="H81" s="76">
        <v>0.97975819500045036</v>
      </c>
      <c r="I81" s="62">
        <f t="shared" si="2"/>
        <v>2.6680014143975166</v>
      </c>
      <c r="J81" s="78">
        <v>13.289258955479395</v>
      </c>
      <c r="K81" s="60">
        <v>4.4601085502286733E-3</v>
      </c>
      <c r="L81" s="78">
        <v>48.520982031963811</v>
      </c>
      <c r="M81" s="74"/>
      <c r="N81" s="60"/>
      <c r="O81" s="60"/>
      <c r="P81" s="45" t="s">
        <v>138</v>
      </c>
      <c r="Q81" s="83">
        <v>7204.8270241150658</v>
      </c>
      <c r="R81" s="64" t="s">
        <v>92</v>
      </c>
      <c r="S81" s="64">
        <v>15</v>
      </c>
      <c r="T81" s="83">
        <v>20075.2</v>
      </c>
      <c r="U81" s="64" t="s">
        <v>139</v>
      </c>
      <c r="V81" s="64">
        <v>16</v>
      </c>
      <c r="W81" s="83">
        <v>1.81188E-11</v>
      </c>
      <c r="X81" s="64" t="s">
        <v>140</v>
      </c>
      <c r="Y81" s="64">
        <v>16</v>
      </c>
      <c r="Z81" s="83">
        <v>20075.2</v>
      </c>
      <c r="AA81" s="64" t="s">
        <v>139</v>
      </c>
      <c r="AB81" s="84">
        <v>16</v>
      </c>
    </row>
    <row r="82" spans="1:41" ht="15.75">
      <c r="A82" s="45" t="s">
        <v>138</v>
      </c>
      <c r="B82" s="83">
        <f>C82+D82+E82</f>
        <v>15687.079578945253</v>
      </c>
      <c r="C82" s="85">
        <v>12621.868518963793</v>
      </c>
      <c r="D82" s="85">
        <v>1312.4522494395735</v>
      </c>
      <c r="E82" s="85">
        <v>1752.7588105418879</v>
      </c>
      <c r="F82" s="83">
        <f t="shared" si="1"/>
        <v>44981.351736000026</v>
      </c>
      <c r="G82" s="85">
        <v>44981.351736000026</v>
      </c>
      <c r="H82" s="85">
        <v>-3.3573323999999783E-14</v>
      </c>
      <c r="I82" s="62">
        <f t="shared" si="2"/>
        <v>3.2280979090130502</v>
      </c>
      <c r="J82" s="87">
        <v>26.605193127853905</v>
      </c>
      <c r="K82" s="64">
        <v>6.2265487134692283E-3</v>
      </c>
      <c r="L82" s="87">
        <v>36.624875993150724</v>
      </c>
      <c r="M82" s="74"/>
      <c r="N82" s="97"/>
      <c r="O82" s="97"/>
    </row>
    <row r="84" spans="1:41">
      <c r="A84" s="41"/>
      <c r="B84" s="41"/>
      <c r="C84" s="42"/>
      <c r="D84" s="42"/>
      <c r="E84" s="42" t="s">
        <v>141</v>
      </c>
      <c r="F84" s="42"/>
      <c r="G84" s="42"/>
      <c r="H84" s="42"/>
      <c r="I84" s="42"/>
      <c r="J84" s="42"/>
      <c r="K84" s="42"/>
      <c r="L84" s="43"/>
      <c r="P84" s="41"/>
      <c r="Q84" s="41"/>
      <c r="R84" s="42"/>
      <c r="S84" s="42"/>
      <c r="T84" s="42" t="s">
        <v>142</v>
      </c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3"/>
    </row>
    <row r="85" spans="1:41">
      <c r="A85" s="44"/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7"/>
      <c r="P85" s="44"/>
      <c r="Q85" s="45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7"/>
    </row>
    <row r="86" spans="1:41">
      <c r="A86" s="44"/>
      <c r="B86" s="44" t="s">
        <v>143</v>
      </c>
      <c r="C86" s="120"/>
      <c r="D86" s="41" t="s">
        <v>369</v>
      </c>
      <c r="E86" s="120"/>
      <c r="G86" s="51" t="s">
        <v>361</v>
      </c>
      <c r="H86" s="88"/>
      <c r="K86" s="43"/>
      <c r="L86" s="259" t="s">
        <v>370</v>
      </c>
      <c r="P86" s="44"/>
      <c r="Q86" s="44"/>
      <c r="S86" t="s">
        <v>145</v>
      </c>
      <c r="W86" s="44"/>
      <c r="X86" t="s">
        <v>146</v>
      </c>
      <c r="AC86" s="44"/>
      <c r="AD86" t="s">
        <v>147</v>
      </c>
      <c r="AI86" s="44"/>
      <c r="AJ86" t="s">
        <v>148</v>
      </c>
      <c r="AN86" s="48"/>
    </row>
    <row r="87" spans="1:41">
      <c r="A87" s="44" t="s">
        <v>78</v>
      </c>
      <c r="B87" s="51" t="s">
        <v>5</v>
      </c>
      <c r="C87" s="49" t="s">
        <v>84</v>
      </c>
      <c r="D87" s="51" t="s">
        <v>4</v>
      </c>
      <c r="E87" s="252" t="s">
        <v>6</v>
      </c>
      <c r="F87" s="49" t="s">
        <v>7</v>
      </c>
      <c r="G87" s="51" t="s">
        <v>371</v>
      </c>
      <c r="H87" s="89" t="s">
        <v>150</v>
      </c>
      <c r="I87" s="90" t="s">
        <v>151</v>
      </c>
      <c r="J87" s="90" t="s">
        <v>152</v>
      </c>
      <c r="K87" s="91" t="s">
        <v>153</v>
      </c>
      <c r="L87" s="91" t="s">
        <v>371</v>
      </c>
      <c r="P87" s="44" t="s">
        <v>3</v>
      </c>
      <c r="Q87" s="44"/>
      <c r="R87" t="s">
        <v>154</v>
      </c>
      <c r="T87" s="44"/>
      <c r="U87" t="s">
        <v>155</v>
      </c>
      <c r="W87" s="44"/>
      <c r="X87" t="s">
        <v>154</v>
      </c>
      <c r="Z87" s="44"/>
      <c r="AA87" t="s">
        <v>400</v>
      </c>
      <c r="AC87" s="44"/>
      <c r="AD87" t="s">
        <v>154</v>
      </c>
      <c r="AF87" s="44"/>
      <c r="AG87" t="s">
        <v>400</v>
      </c>
      <c r="AI87" s="44"/>
      <c r="AJ87" t="s">
        <v>401</v>
      </c>
      <c r="AL87" s="44"/>
      <c r="AM87" t="s">
        <v>400</v>
      </c>
      <c r="AN87" s="48"/>
    </row>
    <row r="88" spans="1:41">
      <c r="A88" s="45"/>
      <c r="B88" s="52" t="s">
        <v>156</v>
      </c>
      <c r="C88" s="53" t="s">
        <v>156</v>
      </c>
      <c r="D88" s="52" t="s">
        <v>156</v>
      </c>
      <c r="E88" s="53" t="s">
        <v>156</v>
      </c>
      <c r="F88" s="53" t="s">
        <v>156</v>
      </c>
      <c r="G88" s="52" t="s">
        <v>157</v>
      </c>
      <c r="H88" s="92"/>
      <c r="I88" s="53" t="s">
        <v>11</v>
      </c>
      <c r="J88" s="53" t="s">
        <v>11</v>
      </c>
      <c r="K88" s="54" t="s">
        <v>11</v>
      </c>
      <c r="L88" s="260" t="s">
        <v>22</v>
      </c>
      <c r="P88" s="45"/>
      <c r="Q88" s="52" t="s">
        <v>86</v>
      </c>
      <c r="R88" s="53" t="s">
        <v>77</v>
      </c>
      <c r="S88" s="53" t="s">
        <v>78</v>
      </c>
      <c r="T88" s="52" t="s">
        <v>86</v>
      </c>
      <c r="U88" s="53" t="s">
        <v>77</v>
      </c>
      <c r="V88" s="53" t="s">
        <v>78</v>
      </c>
      <c r="W88" s="52" t="s">
        <v>29</v>
      </c>
      <c r="X88" s="53" t="s">
        <v>77</v>
      </c>
      <c r="Y88" s="53" t="s">
        <v>78</v>
      </c>
      <c r="Z88" s="52" t="s">
        <v>29</v>
      </c>
      <c r="AA88" s="53" t="s">
        <v>77</v>
      </c>
      <c r="AB88" s="53" t="s">
        <v>78</v>
      </c>
      <c r="AC88" s="52" t="s">
        <v>30</v>
      </c>
      <c r="AD88" s="53" t="s">
        <v>77</v>
      </c>
      <c r="AE88" s="53" t="s">
        <v>78</v>
      </c>
      <c r="AF88" s="52" t="s">
        <v>30</v>
      </c>
      <c r="AG88" s="53" t="s">
        <v>77</v>
      </c>
      <c r="AH88" s="53" t="s">
        <v>78</v>
      </c>
      <c r="AI88" s="52" t="s">
        <v>158</v>
      </c>
      <c r="AJ88" s="53" t="s">
        <v>77</v>
      </c>
      <c r="AK88" s="53" t="s">
        <v>78</v>
      </c>
      <c r="AL88" s="52" t="s">
        <v>158</v>
      </c>
      <c r="AM88" s="53" t="s">
        <v>77</v>
      </c>
      <c r="AN88" s="54" t="s">
        <v>78</v>
      </c>
    </row>
    <row r="89" spans="1:41" ht="15.75">
      <c r="A89" s="44" t="s">
        <v>159</v>
      </c>
      <c r="B89" s="75">
        <v>2055.769720310841</v>
      </c>
      <c r="C89" s="266">
        <v>256.53260248870583</v>
      </c>
      <c r="D89" s="75">
        <f>E89+F89</f>
        <v>8131.7300000000005</v>
      </c>
      <c r="E89" s="266">
        <v>6189.34</v>
      </c>
      <c r="F89" s="76">
        <v>1942.39</v>
      </c>
      <c r="G89" s="93">
        <v>9.0777900000000005E-3</v>
      </c>
      <c r="H89" s="331">
        <v>3.5167244005337355</v>
      </c>
      <c r="I89" s="276">
        <v>18.05</v>
      </c>
      <c r="J89" s="276">
        <v>23.4068</v>
      </c>
      <c r="K89" s="332">
        <v>16.964099999999998</v>
      </c>
      <c r="L89" s="333">
        <v>1.1255100000000001E-2</v>
      </c>
      <c r="P89" s="44" t="s">
        <v>91</v>
      </c>
      <c r="Q89" s="62">
        <v>4.1683375374401095</v>
      </c>
      <c r="R89" s="60" t="s">
        <v>160</v>
      </c>
      <c r="S89" s="60">
        <v>3</v>
      </c>
      <c r="T89" s="62">
        <v>2.7930660792870952</v>
      </c>
      <c r="U89" s="60" t="s">
        <v>100</v>
      </c>
      <c r="V89" s="60">
        <v>17</v>
      </c>
      <c r="W89" s="62">
        <v>26.1999</v>
      </c>
      <c r="X89" s="60" t="s">
        <v>161</v>
      </c>
      <c r="Y89" s="60">
        <v>15</v>
      </c>
      <c r="Z89" s="62">
        <v>7.9299799999999996</v>
      </c>
      <c r="AA89" s="60" t="s">
        <v>162</v>
      </c>
      <c r="AB89" s="60">
        <v>6</v>
      </c>
      <c r="AC89" s="77">
        <v>1.3284300000000001E-2</v>
      </c>
      <c r="AD89" s="60" t="s">
        <v>163</v>
      </c>
      <c r="AE89" s="60">
        <v>17</v>
      </c>
      <c r="AF89" s="77">
        <v>1.87685E-3</v>
      </c>
      <c r="AG89" s="60" t="s">
        <v>164</v>
      </c>
      <c r="AH89" s="60">
        <v>3</v>
      </c>
      <c r="AI89" s="62">
        <v>68.789199999999994</v>
      </c>
      <c r="AJ89" s="60" t="s">
        <v>163</v>
      </c>
      <c r="AK89" s="60">
        <v>17</v>
      </c>
      <c r="AL89" s="62">
        <v>13.331200000000001</v>
      </c>
      <c r="AM89" s="60" t="s">
        <v>165</v>
      </c>
      <c r="AN89" s="79">
        <v>5</v>
      </c>
    </row>
    <row r="90" spans="1:41" ht="15.75">
      <c r="A90" s="44" t="s">
        <v>166</v>
      </c>
      <c r="B90" s="75">
        <v>2053.6705655900555</v>
      </c>
      <c r="C90" s="266">
        <v>256.52714424619057</v>
      </c>
      <c r="D90" s="75">
        <f t="shared" ref="D90:D111" si="3">E90+F90</f>
        <v>8115.8</v>
      </c>
      <c r="E90" s="266">
        <v>6201.56</v>
      </c>
      <c r="F90" s="76">
        <v>1914.24</v>
      </c>
      <c r="G90" s="93">
        <v>9.0138200000000005E-3</v>
      </c>
      <c r="H90" s="331">
        <v>3.5130326575275128</v>
      </c>
      <c r="I90" s="276">
        <v>18.05</v>
      </c>
      <c r="J90" s="276">
        <v>23.3748</v>
      </c>
      <c r="K90" s="282">
        <v>16.904599999999999</v>
      </c>
      <c r="L90" s="333">
        <v>1.1255100000000001E-2</v>
      </c>
      <c r="P90" s="44" t="s">
        <v>96</v>
      </c>
      <c r="Q90" s="62">
        <v>4.1433004323979068</v>
      </c>
      <c r="R90" s="60" t="s">
        <v>167</v>
      </c>
      <c r="S90" s="60">
        <v>15</v>
      </c>
      <c r="T90" s="62">
        <v>2.8652350328328815</v>
      </c>
      <c r="U90" s="60" t="s">
        <v>168</v>
      </c>
      <c r="V90" s="60">
        <v>15</v>
      </c>
      <c r="W90" s="62">
        <v>27.0778</v>
      </c>
      <c r="X90" s="60" t="s">
        <v>92</v>
      </c>
      <c r="Y90" s="60">
        <v>15</v>
      </c>
      <c r="Z90" s="62">
        <v>7.9299799999999996</v>
      </c>
      <c r="AA90" s="60" t="s">
        <v>162</v>
      </c>
      <c r="AB90" s="60">
        <v>6</v>
      </c>
      <c r="AC90" s="77">
        <v>1.57501E-2</v>
      </c>
      <c r="AD90" s="60" t="s">
        <v>107</v>
      </c>
      <c r="AE90" s="60">
        <v>23</v>
      </c>
      <c r="AF90" s="77">
        <v>1.8768599999999999E-3</v>
      </c>
      <c r="AG90" s="60" t="s">
        <v>164</v>
      </c>
      <c r="AH90" s="60">
        <v>3</v>
      </c>
      <c r="AI90" s="62">
        <v>77.7029</v>
      </c>
      <c r="AJ90" s="60" t="s">
        <v>101</v>
      </c>
      <c r="AK90" s="60">
        <v>4</v>
      </c>
      <c r="AL90" s="62">
        <v>13.389799999999999</v>
      </c>
      <c r="AM90" s="60" t="s">
        <v>165</v>
      </c>
      <c r="AN90" s="79">
        <v>6</v>
      </c>
    </row>
    <row r="91" spans="1:41" ht="15.75">
      <c r="A91" s="501" t="s">
        <v>169</v>
      </c>
      <c r="B91" s="502">
        <v>2054.4922521461531</v>
      </c>
      <c r="C91" s="503">
        <v>256.53561454728344</v>
      </c>
      <c r="D91" s="502">
        <f t="shared" si="3"/>
        <v>8127.89</v>
      </c>
      <c r="E91" s="503">
        <v>6194.38</v>
      </c>
      <c r="F91" s="504">
        <v>1933.51</v>
      </c>
      <c r="G91" s="510">
        <v>9.0643900000000003E-3</v>
      </c>
      <c r="H91" s="511">
        <v>3.5170021604409261</v>
      </c>
      <c r="I91" s="512">
        <v>18.05</v>
      </c>
      <c r="J91" s="512">
        <v>23.383299999999998</v>
      </c>
      <c r="K91" s="513">
        <v>16.941800000000001</v>
      </c>
      <c r="L91" s="514">
        <v>1.1255100000000001E-2</v>
      </c>
      <c r="M91" s="509"/>
      <c r="N91" s="509"/>
      <c r="O91" s="509"/>
      <c r="P91" s="501" t="s">
        <v>98</v>
      </c>
      <c r="Q91" s="515">
        <v>4.1683375374401095</v>
      </c>
      <c r="R91" s="506" t="s">
        <v>160</v>
      </c>
      <c r="S91" s="506">
        <v>3</v>
      </c>
      <c r="T91" s="515">
        <v>2.8252032267490548</v>
      </c>
      <c r="U91" s="506" t="s">
        <v>170</v>
      </c>
      <c r="V91" s="506">
        <v>14</v>
      </c>
      <c r="W91" s="515">
        <v>32.360399999999998</v>
      </c>
      <c r="X91" s="506" t="s">
        <v>92</v>
      </c>
      <c r="Y91" s="506">
        <v>15</v>
      </c>
      <c r="Z91" s="515">
        <v>7.9299799999999996</v>
      </c>
      <c r="AA91" s="506" t="s">
        <v>162</v>
      </c>
      <c r="AB91" s="506">
        <v>6</v>
      </c>
      <c r="AC91" s="516">
        <v>1.8016899999999999E-2</v>
      </c>
      <c r="AD91" s="506" t="s">
        <v>117</v>
      </c>
      <c r="AE91" s="506">
        <v>13</v>
      </c>
      <c r="AF91" s="516">
        <v>1.87685E-3</v>
      </c>
      <c r="AG91" s="506" t="s">
        <v>164</v>
      </c>
      <c r="AH91" s="506">
        <v>3</v>
      </c>
      <c r="AI91" s="515">
        <v>81.835800000000006</v>
      </c>
      <c r="AJ91" s="517" t="s">
        <v>104</v>
      </c>
      <c r="AK91" s="506">
        <v>10</v>
      </c>
      <c r="AL91" s="515">
        <v>13.331200000000001</v>
      </c>
      <c r="AM91" s="506" t="s">
        <v>165</v>
      </c>
      <c r="AN91" s="508">
        <v>5</v>
      </c>
      <c r="AO91" s="509"/>
    </row>
    <row r="92" spans="1:41" ht="15.75">
      <c r="A92" s="44" t="s">
        <v>171</v>
      </c>
      <c r="B92" s="75">
        <v>1830.0823980528924</v>
      </c>
      <c r="C92" s="266">
        <v>229.58574447860309</v>
      </c>
      <c r="D92" s="75">
        <f t="shared" si="3"/>
        <v>7224.15</v>
      </c>
      <c r="E92" s="266">
        <v>5548.55</v>
      </c>
      <c r="F92" s="76">
        <v>1675.6</v>
      </c>
      <c r="G92" s="93">
        <v>8.9863900000000003E-3</v>
      </c>
      <c r="H92" s="331">
        <v>3.5074339651245694</v>
      </c>
      <c r="I92" s="276">
        <v>17.8</v>
      </c>
      <c r="J92" s="276">
        <v>23.373899999999999</v>
      </c>
      <c r="K92" s="282">
        <v>16.861899999999999</v>
      </c>
      <c r="L92" s="333">
        <v>1.10746E-2</v>
      </c>
      <c r="P92" s="44" t="s">
        <v>102</v>
      </c>
      <c r="Q92" s="62">
        <v>4.1683375374401095</v>
      </c>
      <c r="R92" s="60" t="s">
        <v>160</v>
      </c>
      <c r="S92" s="60">
        <v>3</v>
      </c>
      <c r="T92" s="62">
        <v>2.8252032267490548</v>
      </c>
      <c r="U92" s="60" t="s">
        <v>170</v>
      </c>
      <c r="V92" s="60">
        <v>14</v>
      </c>
      <c r="W92" s="62">
        <v>32.232100000000003</v>
      </c>
      <c r="X92" s="60" t="s">
        <v>92</v>
      </c>
      <c r="Y92" s="60">
        <v>15</v>
      </c>
      <c r="Z92" s="62">
        <v>7.9299799999999996</v>
      </c>
      <c r="AA92" s="60" t="s">
        <v>162</v>
      </c>
      <c r="AB92" s="60">
        <v>6</v>
      </c>
      <c r="AC92" s="77">
        <v>1.7651400000000001E-2</v>
      </c>
      <c r="AD92" s="60" t="s">
        <v>117</v>
      </c>
      <c r="AE92" s="60">
        <v>12</v>
      </c>
      <c r="AF92" s="77">
        <v>1.87685E-3</v>
      </c>
      <c r="AG92" s="60" t="s">
        <v>164</v>
      </c>
      <c r="AH92" s="60">
        <v>3</v>
      </c>
      <c r="AI92" s="62">
        <v>76.659099999999995</v>
      </c>
      <c r="AJ92" s="60" t="s">
        <v>172</v>
      </c>
      <c r="AK92" s="60">
        <v>20</v>
      </c>
      <c r="AL92" s="62">
        <v>13.331200000000001</v>
      </c>
      <c r="AM92" s="60" t="s">
        <v>165</v>
      </c>
      <c r="AN92" s="79">
        <v>5</v>
      </c>
    </row>
    <row r="93" spans="1:41" ht="15.75">
      <c r="A93" s="44" t="s">
        <v>173</v>
      </c>
      <c r="B93" s="75">
        <v>2029.3425670209424</v>
      </c>
      <c r="C93" s="266">
        <v>256.39404940704128</v>
      </c>
      <c r="D93" s="75">
        <f t="shared" si="3"/>
        <v>8104.8499999999995</v>
      </c>
      <c r="E93" s="266">
        <v>6318.9</v>
      </c>
      <c r="F93" s="76">
        <v>1785.95</v>
      </c>
      <c r="G93" s="93">
        <v>8.8405299999999992E-3</v>
      </c>
      <c r="H93" s="331">
        <v>3.5458372332792165</v>
      </c>
      <c r="I93" s="276">
        <v>17.5</v>
      </c>
      <c r="J93" s="276">
        <v>23.350300000000001</v>
      </c>
      <c r="K93" s="282">
        <v>16.6966</v>
      </c>
      <c r="L93" s="333">
        <v>1.06103E-2</v>
      </c>
      <c r="P93" s="44" t="s">
        <v>356</v>
      </c>
      <c r="Q93" s="62">
        <v>4.1683375374401095</v>
      </c>
      <c r="R93" s="60" t="s">
        <v>160</v>
      </c>
      <c r="S93" s="60">
        <v>3</v>
      </c>
      <c r="T93" s="62">
        <v>2.8252032267490548</v>
      </c>
      <c r="U93" s="60" t="s">
        <v>170</v>
      </c>
      <c r="V93" s="60">
        <v>14</v>
      </c>
      <c r="W93" s="62">
        <v>32.306600000000003</v>
      </c>
      <c r="X93" s="60" t="s">
        <v>92</v>
      </c>
      <c r="Y93" s="60">
        <v>15</v>
      </c>
      <c r="Z93" s="62">
        <v>7.9299799999999996</v>
      </c>
      <c r="AA93" s="60" t="s">
        <v>162</v>
      </c>
      <c r="AB93" s="60">
        <v>6</v>
      </c>
      <c r="AC93" s="77">
        <v>1.7871399999999999E-2</v>
      </c>
      <c r="AD93" s="60" t="s">
        <v>117</v>
      </c>
      <c r="AE93" s="60">
        <v>13</v>
      </c>
      <c r="AF93" s="77">
        <v>1.87685E-3</v>
      </c>
      <c r="AG93" s="60" t="s">
        <v>164</v>
      </c>
      <c r="AH93" s="60">
        <v>3</v>
      </c>
      <c r="AI93" s="62">
        <v>79.929299999999998</v>
      </c>
      <c r="AJ93" s="334" t="s">
        <v>104</v>
      </c>
      <c r="AK93" s="60">
        <v>10</v>
      </c>
      <c r="AL93" s="62">
        <v>13.331200000000001</v>
      </c>
      <c r="AM93" s="60" t="s">
        <v>165</v>
      </c>
      <c r="AN93" s="79">
        <v>5</v>
      </c>
    </row>
    <row r="94" spans="1:41" ht="15.75">
      <c r="A94" s="44" t="s">
        <v>174</v>
      </c>
      <c r="B94" s="75">
        <v>1839.4316687849705</v>
      </c>
      <c r="C94" s="266">
        <v>229.55972704064635</v>
      </c>
      <c r="D94" s="75">
        <f t="shared" si="3"/>
        <v>7130.87</v>
      </c>
      <c r="E94" s="266">
        <v>5686.24</v>
      </c>
      <c r="F94" s="76">
        <v>1444.63</v>
      </c>
      <c r="G94" s="93">
        <v>8.6577600000000005E-3</v>
      </c>
      <c r="H94" s="331">
        <v>3.4465440573543198</v>
      </c>
      <c r="I94" s="276">
        <v>18.3</v>
      </c>
      <c r="J94" s="276">
        <v>23.417100000000001</v>
      </c>
      <c r="K94" s="282">
        <v>16.573399999999999</v>
      </c>
      <c r="L94" s="333">
        <v>1.05682E-2</v>
      </c>
      <c r="P94" s="44" t="s">
        <v>105</v>
      </c>
      <c r="Q94" s="62">
        <v>4.1683375374401095</v>
      </c>
      <c r="R94" s="60" t="s">
        <v>160</v>
      </c>
      <c r="S94" s="60">
        <v>3</v>
      </c>
      <c r="T94" s="62">
        <v>2.7904288847524867</v>
      </c>
      <c r="U94" s="60" t="s">
        <v>100</v>
      </c>
      <c r="V94" s="60">
        <v>17</v>
      </c>
      <c r="W94" s="62">
        <v>34.584099999999999</v>
      </c>
      <c r="X94" s="60" t="s">
        <v>107</v>
      </c>
      <c r="Y94" s="60">
        <v>24</v>
      </c>
      <c r="Z94" s="62">
        <v>7.9299799999999996</v>
      </c>
      <c r="AA94" s="60" t="s">
        <v>162</v>
      </c>
      <c r="AB94" s="60">
        <v>6</v>
      </c>
      <c r="AC94" s="77">
        <v>1.6758200000000001E-2</v>
      </c>
      <c r="AD94" s="60" t="s">
        <v>107</v>
      </c>
      <c r="AE94" s="60">
        <v>24</v>
      </c>
      <c r="AF94" s="77">
        <v>1.87685E-3</v>
      </c>
      <c r="AG94" s="60" t="s">
        <v>164</v>
      </c>
      <c r="AH94" s="60">
        <v>3</v>
      </c>
      <c r="AI94" s="62">
        <v>68.789199999999994</v>
      </c>
      <c r="AJ94" s="60" t="s">
        <v>163</v>
      </c>
      <c r="AK94" s="60">
        <v>17</v>
      </c>
      <c r="AL94" s="62">
        <v>13.331200000000001</v>
      </c>
      <c r="AM94" s="60" t="s">
        <v>165</v>
      </c>
      <c r="AN94" s="79">
        <v>5</v>
      </c>
    </row>
    <row r="95" spans="1:41" ht="15.75">
      <c r="A95" s="44" t="s">
        <v>176</v>
      </c>
      <c r="B95" s="75">
        <v>2667.2443936627674</v>
      </c>
      <c r="C95" s="266">
        <v>308.54463343275864</v>
      </c>
      <c r="D95" s="75">
        <f t="shared" si="3"/>
        <v>9711.380000000001</v>
      </c>
      <c r="E95" s="266">
        <v>7596.88</v>
      </c>
      <c r="F95" s="76">
        <v>2114.5</v>
      </c>
      <c r="G95" s="93">
        <v>9.1530599999999993E-3</v>
      </c>
      <c r="H95" s="331">
        <v>3.2634638785124657</v>
      </c>
      <c r="I95" s="276">
        <v>22.2</v>
      </c>
      <c r="J95" s="276">
        <v>24.0395</v>
      </c>
      <c r="K95" s="282">
        <v>17.319199999999999</v>
      </c>
      <c r="L95" s="333">
        <v>1.20713E-2</v>
      </c>
      <c r="P95" s="44" t="s">
        <v>108</v>
      </c>
      <c r="Q95" s="62">
        <v>4.4009649556697976</v>
      </c>
      <c r="R95" s="60" t="s">
        <v>175</v>
      </c>
      <c r="S95" s="60">
        <v>1</v>
      </c>
      <c r="T95" s="62">
        <v>2.8252032267490548</v>
      </c>
      <c r="U95" s="60" t="s">
        <v>170</v>
      </c>
      <c r="V95" s="60">
        <v>14</v>
      </c>
      <c r="W95" s="62">
        <v>33.758499999999998</v>
      </c>
      <c r="X95" s="60" t="s">
        <v>117</v>
      </c>
      <c r="Y95" s="60">
        <v>13</v>
      </c>
      <c r="Z95" s="62">
        <v>7.9299799999999996</v>
      </c>
      <c r="AA95" s="60" t="s">
        <v>162</v>
      </c>
      <c r="AB95" s="60">
        <v>6</v>
      </c>
      <c r="AC95" s="77">
        <v>1.34334E-2</v>
      </c>
      <c r="AD95" s="60" t="s">
        <v>117</v>
      </c>
      <c r="AE95" s="60">
        <v>13</v>
      </c>
      <c r="AF95" s="77">
        <v>1.87685E-3</v>
      </c>
      <c r="AG95" s="60" t="s">
        <v>164</v>
      </c>
      <c r="AH95" s="60">
        <v>3</v>
      </c>
      <c r="AI95" s="62">
        <v>68.789199999999994</v>
      </c>
      <c r="AJ95" s="60" t="s">
        <v>163</v>
      </c>
      <c r="AK95" s="60">
        <v>17</v>
      </c>
      <c r="AL95" s="62">
        <v>13.331200000000001</v>
      </c>
      <c r="AM95" s="60" t="s">
        <v>165</v>
      </c>
      <c r="AN95" s="79">
        <v>5</v>
      </c>
    </row>
    <row r="96" spans="1:41" ht="15.75">
      <c r="A96" s="44" t="s">
        <v>178</v>
      </c>
      <c r="B96" s="75">
        <v>3552.7184949106027</v>
      </c>
      <c r="C96" s="266">
        <v>384.04551577745127</v>
      </c>
      <c r="D96" s="75">
        <f t="shared" si="3"/>
        <v>12121.31</v>
      </c>
      <c r="E96" s="266">
        <v>9558.23</v>
      </c>
      <c r="F96" s="76">
        <v>2563.08</v>
      </c>
      <c r="G96" s="93">
        <v>9.5302800000000003E-3</v>
      </c>
      <c r="H96" s="331">
        <v>3.0790034574313938</v>
      </c>
      <c r="I96" s="276">
        <v>26.1</v>
      </c>
      <c r="J96" s="276">
        <v>24.572399999999998</v>
      </c>
      <c r="K96" s="282">
        <v>17.794499999999999</v>
      </c>
      <c r="L96" s="333">
        <v>1.2173099999999999E-2</v>
      </c>
      <c r="P96" s="44" t="s">
        <v>109</v>
      </c>
      <c r="Q96" s="62">
        <v>4.0769395929961423</v>
      </c>
      <c r="R96" s="60" t="s">
        <v>110</v>
      </c>
      <c r="S96" s="60">
        <v>15</v>
      </c>
      <c r="T96" s="62">
        <v>2.7819111679738864</v>
      </c>
      <c r="U96" s="60" t="s">
        <v>170</v>
      </c>
      <c r="V96" s="60">
        <v>19</v>
      </c>
      <c r="W96" s="62">
        <v>27.114799999999999</v>
      </c>
      <c r="X96" s="60" t="s">
        <v>110</v>
      </c>
      <c r="Y96" s="60">
        <v>15</v>
      </c>
      <c r="Z96" s="62">
        <v>7.9299799999999996</v>
      </c>
      <c r="AA96" s="60" t="s">
        <v>162</v>
      </c>
      <c r="AB96" s="60">
        <v>6</v>
      </c>
      <c r="AC96" s="77">
        <v>1.69436E-2</v>
      </c>
      <c r="AD96" s="60" t="s">
        <v>177</v>
      </c>
      <c r="AE96" s="60">
        <v>22</v>
      </c>
      <c r="AF96" s="77">
        <v>1.87685E-3</v>
      </c>
      <c r="AG96" s="60" t="s">
        <v>164</v>
      </c>
      <c r="AH96" s="60">
        <v>3</v>
      </c>
      <c r="AI96" s="62">
        <v>83.753399999999999</v>
      </c>
      <c r="AJ96" s="60" t="s">
        <v>177</v>
      </c>
      <c r="AK96" s="60">
        <v>22</v>
      </c>
      <c r="AL96" s="62">
        <v>13.209</v>
      </c>
      <c r="AM96" s="60" t="s">
        <v>165</v>
      </c>
      <c r="AN96" s="79">
        <v>5</v>
      </c>
    </row>
    <row r="97" spans="1:40" ht="15.75">
      <c r="A97" s="44" t="s">
        <v>180</v>
      </c>
      <c r="B97" s="75">
        <v>4364.7758495164062</v>
      </c>
      <c r="C97" s="266">
        <v>458.10143604695531</v>
      </c>
      <c r="D97" s="75">
        <f t="shared" si="3"/>
        <v>14555.619999999999</v>
      </c>
      <c r="E97" s="266">
        <v>11757.9</v>
      </c>
      <c r="F97" s="76">
        <v>2797.72</v>
      </c>
      <c r="G97" s="93">
        <v>9.6727400000000009E-3</v>
      </c>
      <c r="H97" s="331">
        <v>3.018036565759262</v>
      </c>
      <c r="I97" s="276">
        <v>28.05</v>
      </c>
      <c r="J97" s="276">
        <v>25.093699999999998</v>
      </c>
      <c r="K97" s="282">
        <v>17.972999999999999</v>
      </c>
      <c r="L97" s="333">
        <v>1.1538E-2</v>
      </c>
      <c r="P97" s="44" t="s">
        <v>111</v>
      </c>
      <c r="Q97" s="62">
        <v>3.8879096164892295</v>
      </c>
      <c r="R97" s="60" t="s">
        <v>167</v>
      </c>
      <c r="S97" s="60">
        <v>15</v>
      </c>
      <c r="T97" s="62">
        <v>2.7858321565014403</v>
      </c>
      <c r="U97" s="60" t="s">
        <v>100</v>
      </c>
      <c r="V97" s="60">
        <v>17</v>
      </c>
      <c r="W97" s="62">
        <v>26.825600000000001</v>
      </c>
      <c r="X97" s="60" t="s">
        <v>179</v>
      </c>
      <c r="Y97" s="60">
        <v>15</v>
      </c>
      <c r="Z97" s="62">
        <v>7.9299799999999996</v>
      </c>
      <c r="AA97" s="60" t="s">
        <v>162</v>
      </c>
      <c r="AB97" s="60">
        <v>6</v>
      </c>
      <c r="AC97" s="77">
        <v>1.68355E-2</v>
      </c>
      <c r="AD97" s="60" t="s">
        <v>177</v>
      </c>
      <c r="AE97" s="60">
        <v>22</v>
      </c>
      <c r="AF97" s="77">
        <v>1.87685E-3</v>
      </c>
      <c r="AG97" s="60" t="s">
        <v>164</v>
      </c>
      <c r="AH97" s="60">
        <v>3</v>
      </c>
      <c r="AI97" s="62">
        <v>83.224699999999999</v>
      </c>
      <c r="AJ97" s="60" t="s">
        <v>177</v>
      </c>
      <c r="AK97" s="60">
        <v>22</v>
      </c>
      <c r="AL97" s="62">
        <v>13.209099999999999</v>
      </c>
      <c r="AM97" s="60" t="s">
        <v>165</v>
      </c>
      <c r="AN97" s="79">
        <v>5</v>
      </c>
    </row>
    <row r="98" spans="1:40" ht="15.75">
      <c r="A98" s="44" t="s">
        <v>183</v>
      </c>
      <c r="B98" s="75">
        <v>4441.0632976815668</v>
      </c>
      <c r="C98" s="266">
        <v>457.99324477346147</v>
      </c>
      <c r="D98" s="75">
        <f t="shared" si="3"/>
        <v>14639.38</v>
      </c>
      <c r="E98" s="266">
        <v>11506.4</v>
      </c>
      <c r="F98" s="76">
        <v>3132.98</v>
      </c>
      <c r="G98" s="93">
        <v>1.00578E-2</v>
      </c>
      <c r="H98" s="331">
        <v>2.9882039272532817</v>
      </c>
      <c r="I98" s="276">
        <v>28.9</v>
      </c>
      <c r="J98" s="276">
        <v>25.281500000000001</v>
      </c>
      <c r="K98" s="282">
        <v>18.397200000000002</v>
      </c>
      <c r="L98" s="333">
        <v>1.2388E-2</v>
      </c>
      <c r="P98" s="44" t="s">
        <v>112</v>
      </c>
      <c r="Q98" s="62">
        <v>3.7812884390914867</v>
      </c>
      <c r="R98" s="60" t="s">
        <v>181</v>
      </c>
      <c r="S98" s="60">
        <v>16</v>
      </c>
      <c r="T98" s="62">
        <v>2.7930660792870952</v>
      </c>
      <c r="U98" s="60" t="s">
        <v>100</v>
      </c>
      <c r="V98" s="60">
        <v>17</v>
      </c>
      <c r="W98" s="62">
        <v>26.1999</v>
      </c>
      <c r="X98" s="60" t="s">
        <v>161</v>
      </c>
      <c r="Y98" s="60">
        <v>15</v>
      </c>
      <c r="Z98" s="62">
        <v>7.9299799999999996</v>
      </c>
      <c r="AA98" s="60" t="s">
        <v>162</v>
      </c>
      <c r="AB98" s="60">
        <v>6</v>
      </c>
      <c r="AC98" s="77">
        <v>1.42968E-2</v>
      </c>
      <c r="AD98" s="60" t="s">
        <v>182</v>
      </c>
      <c r="AE98" s="60">
        <v>10</v>
      </c>
      <c r="AF98" s="77">
        <v>1.87685E-3</v>
      </c>
      <c r="AG98" s="60" t="s">
        <v>164</v>
      </c>
      <c r="AH98" s="60">
        <v>3</v>
      </c>
      <c r="AI98" s="62">
        <v>70.841099999999997</v>
      </c>
      <c r="AJ98" s="60" t="s">
        <v>182</v>
      </c>
      <c r="AK98" s="60">
        <v>10</v>
      </c>
      <c r="AL98" s="62">
        <v>13.209899999999999</v>
      </c>
      <c r="AM98" s="60" t="s">
        <v>165</v>
      </c>
      <c r="AN98" s="79">
        <v>5</v>
      </c>
    </row>
    <row r="99" spans="1:40" ht="15.75">
      <c r="A99" s="44" t="s">
        <v>186</v>
      </c>
      <c r="B99" s="75">
        <v>4999.5949681009843</v>
      </c>
      <c r="C99" s="266">
        <v>506.30451390226443</v>
      </c>
      <c r="D99" s="75">
        <f t="shared" si="3"/>
        <v>16374.09</v>
      </c>
      <c r="E99" s="266">
        <v>12342.2</v>
      </c>
      <c r="F99" s="76">
        <v>4031.89</v>
      </c>
      <c r="G99" s="93">
        <v>1.0407899999999999E-2</v>
      </c>
      <c r="H99" s="331">
        <v>2.9739173505656709</v>
      </c>
      <c r="I99" s="276">
        <v>30</v>
      </c>
      <c r="J99" s="276">
        <v>25.359200000000001</v>
      </c>
      <c r="K99" s="282">
        <v>18.8246</v>
      </c>
      <c r="L99" s="333">
        <v>1.3776E-2</v>
      </c>
      <c r="P99" s="44" t="s">
        <v>113</v>
      </c>
      <c r="Q99" s="62">
        <v>3.7812884390914867</v>
      </c>
      <c r="R99" s="60" t="s">
        <v>181</v>
      </c>
      <c r="S99" s="60">
        <v>16</v>
      </c>
      <c r="T99" s="62">
        <v>2.7711375787107482</v>
      </c>
      <c r="U99" s="60" t="s">
        <v>184</v>
      </c>
      <c r="V99" s="60">
        <v>19</v>
      </c>
      <c r="W99" s="62">
        <v>27.199200000000001</v>
      </c>
      <c r="X99" s="60" t="s">
        <v>185</v>
      </c>
      <c r="Y99" s="60">
        <v>16</v>
      </c>
      <c r="Z99" s="62">
        <v>7.9299799999999996</v>
      </c>
      <c r="AA99" s="60" t="s">
        <v>162</v>
      </c>
      <c r="AB99" s="60">
        <v>6</v>
      </c>
      <c r="AC99" s="77">
        <v>1.6230600000000001E-2</v>
      </c>
      <c r="AD99" s="60" t="s">
        <v>182</v>
      </c>
      <c r="AE99" s="60">
        <v>5</v>
      </c>
      <c r="AF99" s="77">
        <v>1.87685E-3</v>
      </c>
      <c r="AG99" s="60" t="s">
        <v>164</v>
      </c>
      <c r="AH99" s="60">
        <v>3</v>
      </c>
      <c r="AI99" s="62">
        <v>80.708699999999993</v>
      </c>
      <c r="AJ99" s="60" t="s">
        <v>182</v>
      </c>
      <c r="AK99" s="60">
        <v>5</v>
      </c>
      <c r="AL99" s="62">
        <v>13.207800000000001</v>
      </c>
      <c r="AM99" s="60" t="s">
        <v>165</v>
      </c>
      <c r="AN99" s="79">
        <v>5</v>
      </c>
    </row>
    <row r="100" spans="1:40" ht="15.75">
      <c r="A100" s="44" t="s">
        <v>187</v>
      </c>
      <c r="B100" s="75">
        <v>5316.7711371459918</v>
      </c>
      <c r="C100" s="266">
        <v>529.36483921726438</v>
      </c>
      <c r="D100" s="75">
        <f t="shared" si="3"/>
        <v>17248.400000000001</v>
      </c>
      <c r="E100" s="266">
        <v>12810</v>
      </c>
      <c r="F100" s="76">
        <v>4438.3999999999996</v>
      </c>
      <c r="G100" s="93">
        <v>1.06838E-2</v>
      </c>
      <c r="H100" s="331">
        <v>2.9503932289186721</v>
      </c>
      <c r="I100" s="276">
        <v>30.85</v>
      </c>
      <c r="J100" s="276">
        <v>25.587700000000002</v>
      </c>
      <c r="K100" s="282">
        <v>19.120200000000001</v>
      </c>
      <c r="L100" s="333">
        <v>1.4040800000000001E-2</v>
      </c>
      <c r="P100" s="44" t="s">
        <v>114</v>
      </c>
      <c r="Q100" s="62">
        <v>3.8834748713994482</v>
      </c>
      <c r="R100" s="60" t="s">
        <v>476</v>
      </c>
      <c r="S100" s="60">
        <v>7</v>
      </c>
      <c r="T100" s="62">
        <v>2.7824815154757125</v>
      </c>
      <c r="U100" s="60" t="s">
        <v>170</v>
      </c>
      <c r="V100" s="60">
        <v>19</v>
      </c>
      <c r="W100" s="62">
        <v>27.045200000000001</v>
      </c>
      <c r="X100" s="60" t="s">
        <v>477</v>
      </c>
      <c r="Y100" s="60">
        <v>15</v>
      </c>
      <c r="Z100" s="62">
        <v>7.9299799999999996</v>
      </c>
      <c r="AA100" s="60" t="s">
        <v>162</v>
      </c>
      <c r="AB100" s="60">
        <v>6</v>
      </c>
      <c r="AC100" s="77">
        <v>1.33128E-2</v>
      </c>
      <c r="AD100" s="60" t="s">
        <v>163</v>
      </c>
      <c r="AE100" s="60">
        <v>17</v>
      </c>
      <c r="AF100" s="77">
        <v>1.87685E-3</v>
      </c>
      <c r="AG100" s="60" t="s">
        <v>164</v>
      </c>
      <c r="AH100" s="60">
        <v>3</v>
      </c>
      <c r="AI100" s="62">
        <v>68.724199999999996</v>
      </c>
      <c r="AJ100" s="60" t="s">
        <v>163</v>
      </c>
      <c r="AK100" s="60">
        <v>17</v>
      </c>
      <c r="AL100" s="62">
        <v>13.206899999999999</v>
      </c>
      <c r="AM100" s="334" t="s">
        <v>165</v>
      </c>
      <c r="AN100" s="79">
        <v>5</v>
      </c>
    </row>
    <row r="101" spans="1:40" ht="15.75">
      <c r="A101" s="44" t="s">
        <v>191</v>
      </c>
      <c r="B101" s="75">
        <v>6188.547691714125</v>
      </c>
      <c r="C101" s="266">
        <v>616.60944926018874</v>
      </c>
      <c r="D101" s="75">
        <f t="shared" si="3"/>
        <v>20498.21</v>
      </c>
      <c r="E101" s="266">
        <v>16816.099999999999</v>
      </c>
      <c r="F101" s="76">
        <v>3682.11</v>
      </c>
      <c r="G101" s="93">
        <v>1.00874E-2</v>
      </c>
      <c r="H101" s="331">
        <v>3.0121582169761933</v>
      </c>
      <c r="I101" s="276">
        <v>30.85</v>
      </c>
      <c r="J101" s="276">
        <v>26.53</v>
      </c>
      <c r="K101" s="282">
        <v>18.837700000000002</v>
      </c>
      <c r="L101" s="333">
        <v>1.23149E-2</v>
      </c>
      <c r="P101" s="44" t="s">
        <v>116</v>
      </c>
      <c r="Q101" s="62">
        <v>4.2751401713091282</v>
      </c>
      <c r="R101" s="60" t="s">
        <v>188</v>
      </c>
      <c r="S101" s="60">
        <v>1</v>
      </c>
      <c r="T101" s="62">
        <v>2.6851972253498229</v>
      </c>
      <c r="U101" s="60" t="s">
        <v>189</v>
      </c>
      <c r="V101" s="60">
        <v>12</v>
      </c>
      <c r="W101" s="62">
        <v>25.805399999999999</v>
      </c>
      <c r="X101" s="60" t="s">
        <v>167</v>
      </c>
      <c r="Y101" s="60">
        <v>15</v>
      </c>
      <c r="Z101" s="62">
        <v>8.4270099999999992</v>
      </c>
      <c r="AA101" s="60" t="s">
        <v>402</v>
      </c>
      <c r="AB101" s="60">
        <v>22</v>
      </c>
      <c r="AC101" s="77">
        <v>1.17197E-2</v>
      </c>
      <c r="AD101" s="60" t="s">
        <v>190</v>
      </c>
      <c r="AE101" s="60">
        <v>15</v>
      </c>
      <c r="AF101" s="77">
        <v>6.8275599999999999E-3</v>
      </c>
      <c r="AG101" s="60" t="s">
        <v>402</v>
      </c>
      <c r="AH101" s="60">
        <v>22</v>
      </c>
      <c r="AI101" s="62">
        <v>100</v>
      </c>
      <c r="AJ101" s="334" t="s">
        <v>403</v>
      </c>
      <c r="AK101" s="60">
        <v>24</v>
      </c>
      <c r="AL101" s="62">
        <v>53.4054</v>
      </c>
      <c r="AM101" s="334" t="s">
        <v>167</v>
      </c>
      <c r="AN101" s="79">
        <v>15</v>
      </c>
    </row>
    <row r="102" spans="1:40" ht="15.75">
      <c r="A102" s="44" t="s">
        <v>194</v>
      </c>
      <c r="B102" s="75">
        <v>6210.9292642389719</v>
      </c>
      <c r="C102" s="266">
        <v>616.12420083517168</v>
      </c>
      <c r="D102" s="75">
        <f t="shared" si="3"/>
        <v>20234.060000000001</v>
      </c>
      <c r="E102" s="266">
        <v>17283.5</v>
      </c>
      <c r="F102" s="76">
        <v>2950.56</v>
      </c>
      <c r="G102" s="93">
        <v>9.7986700000000006E-3</v>
      </c>
      <c r="H102" s="331">
        <v>2.9638057038096233</v>
      </c>
      <c r="I102" s="276">
        <v>31.4</v>
      </c>
      <c r="J102" s="276">
        <v>26.561699999999998</v>
      </c>
      <c r="K102" s="282">
        <v>18.5548</v>
      </c>
      <c r="L102" s="333">
        <v>1.15429E-2</v>
      </c>
      <c r="P102" s="44" t="s">
        <v>121</v>
      </c>
      <c r="Q102" s="62">
        <v>4.6925417995477332</v>
      </c>
      <c r="R102" s="60" t="s">
        <v>175</v>
      </c>
      <c r="S102" s="60">
        <v>1</v>
      </c>
      <c r="T102" s="62">
        <v>2.8879586954371632</v>
      </c>
      <c r="U102" s="60" t="s">
        <v>170</v>
      </c>
      <c r="V102" s="60">
        <v>15</v>
      </c>
      <c r="W102" s="62">
        <v>26.100300000000001</v>
      </c>
      <c r="X102" s="60" t="s">
        <v>192</v>
      </c>
      <c r="Y102" s="60">
        <v>15</v>
      </c>
      <c r="Z102" s="62">
        <v>8.4270099999999992</v>
      </c>
      <c r="AA102" s="60" t="s">
        <v>402</v>
      </c>
      <c r="AB102" s="60">
        <v>22</v>
      </c>
      <c r="AC102" s="77">
        <v>1.1871400000000001E-2</v>
      </c>
      <c r="AD102" s="60" t="s">
        <v>99</v>
      </c>
      <c r="AE102" s="60">
        <v>15</v>
      </c>
      <c r="AF102" s="77">
        <v>6.8275599999999999E-3</v>
      </c>
      <c r="AG102" s="60" t="s">
        <v>402</v>
      </c>
      <c r="AH102" s="60">
        <v>22</v>
      </c>
      <c r="AI102" s="62">
        <v>100</v>
      </c>
      <c r="AJ102" s="334" t="s">
        <v>403</v>
      </c>
      <c r="AK102" s="60">
        <v>24</v>
      </c>
      <c r="AL102" s="62">
        <v>52.087899999999998</v>
      </c>
      <c r="AM102" s="334" t="s">
        <v>193</v>
      </c>
      <c r="AN102" s="79">
        <v>23</v>
      </c>
    </row>
    <row r="103" spans="1:40" ht="15.75">
      <c r="A103" s="44" t="s">
        <v>79</v>
      </c>
      <c r="B103" s="75">
        <v>7922.4534138611234</v>
      </c>
      <c r="C103" s="266">
        <v>781.00159267240622</v>
      </c>
      <c r="D103" s="75">
        <f t="shared" si="3"/>
        <v>26687.280000000002</v>
      </c>
      <c r="E103" s="266">
        <v>22882.400000000001</v>
      </c>
      <c r="F103" s="76">
        <v>3804.88</v>
      </c>
      <c r="G103" s="93">
        <v>9.5791799999999996E-3</v>
      </c>
      <c r="H103" s="331">
        <v>3.0662857428419326</v>
      </c>
      <c r="I103" s="276">
        <v>31.95</v>
      </c>
      <c r="J103" s="276">
        <v>26.781199999999998</v>
      </c>
      <c r="K103" s="282">
        <v>18.5486</v>
      </c>
      <c r="L103" s="333">
        <v>1.2068600000000001E-2</v>
      </c>
      <c r="P103" s="44" t="s">
        <v>125</v>
      </c>
      <c r="Q103" s="62">
        <v>3.8137362627521112</v>
      </c>
      <c r="R103" s="60" t="s">
        <v>167</v>
      </c>
      <c r="S103" s="60">
        <v>15</v>
      </c>
      <c r="T103" s="62">
        <v>2.4416935229096444</v>
      </c>
      <c r="U103" s="60" t="s">
        <v>189</v>
      </c>
      <c r="V103" s="60">
        <v>12</v>
      </c>
      <c r="W103" s="62">
        <v>16.123200000000001</v>
      </c>
      <c r="X103" s="60" t="s">
        <v>195</v>
      </c>
      <c r="Y103" s="60">
        <v>15</v>
      </c>
      <c r="Z103" s="62">
        <v>8.3052600000000005</v>
      </c>
      <c r="AA103" s="60" t="s">
        <v>402</v>
      </c>
      <c r="AB103" s="60">
        <v>22</v>
      </c>
      <c r="AC103" s="77">
        <v>7.5403099999999997E-3</v>
      </c>
      <c r="AD103" s="60" t="s">
        <v>99</v>
      </c>
      <c r="AE103" s="60">
        <v>15</v>
      </c>
      <c r="AF103" s="77">
        <v>6.1029600000000002E-3</v>
      </c>
      <c r="AG103" s="334" t="s">
        <v>404</v>
      </c>
      <c r="AH103" s="60">
        <v>2</v>
      </c>
      <c r="AI103" s="62">
        <v>90.229900000000001</v>
      </c>
      <c r="AJ103" s="334" t="s">
        <v>402</v>
      </c>
      <c r="AK103" s="60">
        <v>22</v>
      </c>
      <c r="AL103" s="62">
        <v>61.267899999999997</v>
      </c>
      <c r="AM103" s="334" t="s">
        <v>405</v>
      </c>
      <c r="AN103" s="79">
        <v>24</v>
      </c>
    </row>
    <row r="104" spans="1:40" ht="15.75">
      <c r="A104" s="44" t="s">
        <v>198</v>
      </c>
      <c r="B104" s="75">
        <v>7964.8229620022494</v>
      </c>
      <c r="C104" s="266">
        <v>781.01240717061535</v>
      </c>
      <c r="D104" s="75">
        <f t="shared" si="3"/>
        <v>26722.68</v>
      </c>
      <c r="E104" s="266">
        <v>22284.7</v>
      </c>
      <c r="F104" s="76">
        <v>4437.9799999999996</v>
      </c>
      <c r="G104" s="93">
        <v>9.6662999999999992E-3</v>
      </c>
      <c r="H104" s="331">
        <v>3.0554748485423744</v>
      </c>
      <c r="I104" s="276">
        <v>32.200000000000003</v>
      </c>
      <c r="J104" s="276">
        <v>26.563199999999998</v>
      </c>
      <c r="K104" s="282">
        <v>18.672999999999998</v>
      </c>
      <c r="L104" s="333">
        <v>1.3324000000000001E-2</v>
      </c>
      <c r="P104" s="44" t="s">
        <v>127</v>
      </c>
      <c r="Q104" s="335">
        <v>3.9855085757608739</v>
      </c>
      <c r="R104" s="97" t="s">
        <v>196</v>
      </c>
      <c r="S104" s="97">
        <v>10</v>
      </c>
      <c r="T104" s="62">
        <v>2.5689338070033001</v>
      </c>
      <c r="U104" s="97" t="s">
        <v>93</v>
      </c>
      <c r="V104" s="97">
        <v>17</v>
      </c>
      <c r="W104" s="62">
        <v>21.0091</v>
      </c>
      <c r="X104" s="97" t="s">
        <v>197</v>
      </c>
      <c r="Y104" s="97">
        <v>15</v>
      </c>
      <c r="Z104" s="62">
        <v>8.4140999999999995</v>
      </c>
      <c r="AA104" s="60" t="s">
        <v>402</v>
      </c>
      <c r="AB104" s="60">
        <v>22</v>
      </c>
      <c r="AC104" s="77">
        <v>9.42635E-3</v>
      </c>
      <c r="AD104" s="97" t="s">
        <v>92</v>
      </c>
      <c r="AE104" s="97">
        <v>16</v>
      </c>
      <c r="AF104" s="77">
        <v>6.8214900000000004E-3</v>
      </c>
      <c r="AG104" s="60" t="s">
        <v>402</v>
      </c>
      <c r="AH104" s="97">
        <v>22</v>
      </c>
      <c r="AI104" s="62">
        <v>100</v>
      </c>
      <c r="AJ104" s="336" t="s">
        <v>406</v>
      </c>
      <c r="AK104" s="97">
        <v>8</v>
      </c>
      <c r="AL104" s="62">
        <v>58.505400000000002</v>
      </c>
      <c r="AM104" s="334" t="s">
        <v>167</v>
      </c>
      <c r="AN104" s="79">
        <v>15</v>
      </c>
    </row>
    <row r="105" spans="1:40" ht="15.75">
      <c r="A105" s="44" t="s">
        <v>201</v>
      </c>
      <c r="B105" s="75">
        <v>5420.7774972433799</v>
      </c>
      <c r="C105" s="266">
        <v>529.49848074322631</v>
      </c>
      <c r="D105" s="75">
        <f t="shared" si="3"/>
        <v>17231.329999999998</v>
      </c>
      <c r="E105" s="266">
        <v>13048.3</v>
      </c>
      <c r="F105" s="76">
        <v>4183.03</v>
      </c>
      <c r="G105" s="93">
        <v>1.0770399999999999E-2</v>
      </c>
      <c r="H105" s="331">
        <v>2.8958875292084452</v>
      </c>
      <c r="I105" s="276">
        <v>31.95</v>
      </c>
      <c r="J105" s="276">
        <v>26.198</v>
      </c>
      <c r="K105" s="282">
        <v>19.403199999999998</v>
      </c>
      <c r="L105" s="333">
        <v>1.45051E-2</v>
      </c>
      <c r="P105" s="44" t="s">
        <v>130</v>
      </c>
      <c r="Q105" s="335">
        <v>4.7177562254396657</v>
      </c>
      <c r="R105" s="97" t="s">
        <v>188</v>
      </c>
      <c r="S105" s="97">
        <v>1</v>
      </c>
      <c r="T105" s="62">
        <v>2.9110802754338714</v>
      </c>
      <c r="U105" s="97" t="s">
        <v>199</v>
      </c>
      <c r="V105" s="97">
        <v>17</v>
      </c>
      <c r="W105" s="62">
        <v>36.08</v>
      </c>
      <c r="X105" s="97" t="s">
        <v>200</v>
      </c>
      <c r="Y105" s="97">
        <v>16</v>
      </c>
      <c r="Z105" s="62">
        <v>8.4441500000000005</v>
      </c>
      <c r="AA105" s="60" t="s">
        <v>402</v>
      </c>
      <c r="AB105" s="60">
        <v>22</v>
      </c>
      <c r="AC105" s="77">
        <v>1.7932400000000001E-2</v>
      </c>
      <c r="AD105" s="97" t="s">
        <v>200</v>
      </c>
      <c r="AE105" s="97">
        <v>16</v>
      </c>
      <c r="AF105" s="77">
        <v>6.8356199999999997E-3</v>
      </c>
      <c r="AG105" s="60" t="s">
        <v>402</v>
      </c>
      <c r="AH105" s="97">
        <v>22</v>
      </c>
      <c r="AI105" s="62">
        <v>100</v>
      </c>
      <c r="AJ105" s="336" t="s">
        <v>407</v>
      </c>
      <c r="AK105" s="97">
        <v>20</v>
      </c>
      <c r="AL105" s="62">
        <v>45.528399999999998</v>
      </c>
      <c r="AM105" s="334" t="s">
        <v>167</v>
      </c>
      <c r="AN105" s="79">
        <v>15</v>
      </c>
    </row>
    <row r="106" spans="1:40" ht="15.75">
      <c r="A106" s="44" t="s">
        <v>204</v>
      </c>
      <c r="B106" s="75">
        <v>5409.9868298857464</v>
      </c>
      <c r="C106" s="266">
        <v>529.37843289356158</v>
      </c>
      <c r="D106" s="75">
        <f t="shared" si="3"/>
        <v>17505.88</v>
      </c>
      <c r="E106" s="266">
        <v>12720.6</v>
      </c>
      <c r="F106" s="76">
        <v>4785.28</v>
      </c>
      <c r="G106" s="93">
        <v>1.11836E-2</v>
      </c>
      <c r="H106" s="331">
        <v>2.947432802239911</v>
      </c>
      <c r="I106" s="276">
        <v>31.4</v>
      </c>
      <c r="J106" s="276">
        <v>26.226299999999998</v>
      </c>
      <c r="K106" s="282">
        <v>19.772400000000001</v>
      </c>
      <c r="L106" s="333">
        <v>1.5234299999999999E-2</v>
      </c>
      <c r="P106" s="44" t="s">
        <v>132</v>
      </c>
      <c r="Q106" s="335">
        <v>4.0060722426657005</v>
      </c>
      <c r="R106" s="97" t="s">
        <v>202</v>
      </c>
      <c r="S106" s="97">
        <v>1</v>
      </c>
      <c r="T106" s="335">
        <v>2.5012657327109995</v>
      </c>
      <c r="U106" s="97" t="s">
        <v>189</v>
      </c>
      <c r="V106" s="97">
        <v>12</v>
      </c>
      <c r="W106" s="335">
        <v>26.116</v>
      </c>
      <c r="X106" s="97" t="s">
        <v>203</v>
      </c>
      <c r="Y106" s="97">
        <v>15</v>
      </c>
      <c r="Z106" s="335">
        <v>8.4215</v>
      </c>
      <c r="AA106" s="60" t="s">
        <v>402</v>
      </c>
      <c r="AB106" s="60">
        <v>22</v>
      </c>
      <c r="AC106" s="337">
        <v>6.9891500000000004E-3</v>
      </c>
      <c r="AD106" s="97" t="s">
        <v>94</v>
      </c>
      <c r="AE106" s="97">
        <v>1</v>
      </c>
      <c r="AF106" s="337">
        <v>6.2079700000000002E-3</v>
      </c>
      <c r="AG106" s="336" t="s">
        <v>408</v>
      </c>
      <c r="AH106" s="97">
        <v>1</v>
      </c>
      <c r="AI106" s="335">
        <v>91.044499999999999</v>
      </c>
      <c r="AJ106" s="336" t="s">
        <v>402</v>
      </c>
      <c r="AK106" s="97">
        <v>22</v>
      </c>
      <c r="AL106" s="335">
        <v>29.593399999999999</v>
      </c>
      <c r="AM106" s="336" t="s">
        <v>203</v>
      </c>
      <c r="AN106" s="79">
        <v>15</v>
      </c>
    </row>
    <row r="107" spans="1:40" ht="15.75">
      <c r="A107" s="44" t="s">
        <v>206</v>
      </c>
      <c r="B107" s="75">
        <v>5260.0345031678471</v>
      </c>
      <c r="C107" s="266">
        <v>529.2289456163835</v>
      </c>
      <c r="D107" s="75">
        <f t="shared" si="3"/>
        <v>17661.689999999999</v>
      </c>
      <c r="E107" s="266">
        <v>12490.8</v>
      </c>
      <c r="F107" s="76">
        <v>5170.8900000000003</v>
      </c>
      <c r="G107" s="93">
        <v>1.11308E-2</v>
      </c>
      <c r="H107" s="331">
        <v>3.0507663291275899</v>
      </c>
      <c r="I107" s="276">
        <v>29.7</v>
      </c>
      <c r="J107" s="276">
        <v>25.700099999999999</v>
      </c>
      <c r="K107" s="282">
        <v>19.575299999999999</v>
      </c>
      <c r="L107" s="333">
        <v>1.51339E-2</v>
      </c>
      <c r="P107" s="44" t="s">
        <v>135</v>
      </c>
      <c r="Q107" s="335">
        <v>3.4559785684339444</v>
      </c>
      <c r="R107" s="97" t="s">
        <v>167</v>
      </c>
      <c r="S107" s="97">
        <v>15</v>
      </c>
      <c r="T107" s="335">
        <v>2.2530468183317844</v>
      </c>
      <c r="U107" s="97" t="s">
        <v>189</v>
      </c>
      <c r="V107" s="97">
        <v>12</v>
      </c>
      <c r="W107" s="335">
        <v>16.1465</v>
      </c>
      <c r="X107" s="97" t="s">
        <v>205</v>
      </c>
      <c r="Y107" s="97">
        <v>16</v>
      </c>
      <c r="Z107" s="335">
        <v>8.2277799999999992</v>
      </c>
      <c r="AA107" s="60" t="s">
        <v>402</v>
      </c>
      <c r="AB107" s="60">
        <v>22</v>
      </c>
      <c r="AC107" s="337">
        <v>6.0840499999999997E-3</v>
      </c>
      <c r="AD107" s="97" t="s">
        <v>94</v>
      </c>
      <c r="AE107" s="97">
        <v>1</v>
      </c>
      <c r="AF107" s="337">
        <v>4.1096300000000004E-3</v>
      </c>
      <c r="AG107" s="336" t="s">
        <v>175</v>
      </c>
      <c r="AH107" s="97">
        <v>3</v>
      </c>
      <c r="AI107" s="335">
        <v>61.274999999999999</v>
      </c>
      <c r="AJ107" s="336" t="s">
        <v>402</v>
      </c>
      <c r="AK107" s="97">
        <v>22</v>
      </c>
      <c r="AL107" s="335">
        <v>36.474899999999998</v>
      </c>
      <c r="AM107" s="336" t="s">
        <v>205</v>
      </c>
      <c r="AN107" s="79">
        <v>16</v>
      </c>
    </row>
    <row r="108" spans="1:40" ht="15.75">
      <c r="A108" s="44" t="s">
        <v>207</v>
      </c>
      <c r="B108" s="75">
        <v>4880.3428688729146</v>
      </c>
      <c r="C108" s="266">
        <v>506.22066015735538</v>
      </c>
      <c r="D108" s="75">
        <f t="shared" si="3"/>
        <v>16989.809999999998</v>
      </c>
      <c r="E108" s="266">
        <v>11655.3</v>
      </c>
      <c r="F108" s="76">
        <v>5334.51</v>
      </c>
      <c r="G108" s="93">
        <v>1.09912E-2</v>
      </c>
      <c r="H108" s="331">
        <v>3.1541092773593693</v>
      </c>
      <c r="I108" s="276">
        <v>27.75</v>
      </c>
      <c r="J108" s="276">
        <v>25.167300000000001</v>
      </c>
      <c r="K108" s="282">
        <v>19.3718</v>
      </c>
      <c r="L108" s="333">
        <v>1.5748100000000001E-2</v>
      </c>
      <c r="P108" s="45" t="s">
        <v>138</v>
      </c>
      <c r="Q108" s="338">
        <v>4.2504539844715268</v>
      </c>
      <c r="R108" s="339" t="s">
        <v>196</v>
      </c>
      <c r="S108" s="340">
        <v>10</v>
      </c>
      <c r="T108" s="338">
        <v>2.7325462089602159</v>
      </c>
      <c r="U108" s="339" t="s">
        <v>199</v>
      </c>
      <c r="V108" s="340">
        <v>17</v>
      </c>
      <c r="W108" s="338">
        <v>35.671500000000002</v>
      </c>
      <c r="X108" s="339" t="s">
        <v>92</v>
      </c>
      <c r="Y108" s="340">
        <v>15</v>
      </c>
      <c r="Z108" s="338">
        <v>8.4485600000000005</v>
      </c>
      <c r="AA108" s="339" t="s">
        <v>402</v>
      </c>
      <c r="AB108" s="340">
        <v>22</v>
      </c>
      <c r="AC108" s="341">
        <v>6.9891500000000004E-3</v>
      </c>
      <c r="AD108" s="339" t="s">
        <v>94</v>
      </c>
      <c r="AE108" s="340">
        <v>1</v>
      </c>
      <c r="AF108" s="341">
        <v>6.2079700000000002E-3</v>
      </c>
      <c r="AG108" s="342" t="s">
        <v>408</v>
      </c>
      <c r="AH108" s="340">
        <v>1</v>
      </c>
      <c r="AI108" s="338">
        <v>90.877200000000002</v>
      </c>
      <c r="AJ108" s="342" t="s">
        <v>402</v>
      </c>
      <c r="AK108" s="340">
        <v>22</v>
      </c>
      <c r="AL108" s="338">
        <v>17.124400000000001</v>
      </c>
      <c r="AM108" s="342" t="s">
        <v>92</v>
      </c>
      <c r="AN108" s="340">
        <v>15</v>
      </c>
    </row>
    <row r="109" spans="1:40" ht="15.75">
      <c r="A109" s="44" t="s">
        <v>208</v>
      </c>
      <c r="B109" s="75">
        <v>3938.7143150582915</v>
      </c>
      <c r="C109" s="266">
        <v>409.08432189189836</v>
      </c>
      <c r="D109" s="75">
        <f t="shared" si="3"/>
        <v>13539.94</v>
      </c>
      <c r="E109" s="266">
        <v>8882.19</v>
      </c>
      <c r="F109" s="76">
        <v>4657.75</v>
      </c>
      <c r="G109" s="93">
        <v>1.1140300000000001E-2</v>
      </c>
      <c r="H109" s="331">
        <v>3.1142058615432426</v>
      </c>
      <c r="I109" s="276">
        <v>27.2</v>
      </c>
      <c r="J109" s="276">
        <v>24.654399999999999</v>
      </c>
      <c r="K109" s="282">
        <v>19.437999999999999</v>
      </c>
      <c r="L109" s="333">
        <v>1.68863E-2</v>
      </c>
      <c r="P109" s="343" t="s">
        <v>409</v>
      </c>
    </row>
    <row r="110" spans="1:40" ht="15.75">
      <c r="A110" s="44" t="s">
        <v>209</v>
      </c>
      <c r="B110" s="75">
        <v>3923.956305130047</v>
      </c>
      <c r="C110" s="266">
        <v>409.53257448465308</v>
      </c>
      <c r="D110" s="75">
        <f t="shared" si="3"/>
        <v>13564.54</v>
      </c>
      <c r="E110" s="266">
        <v>8880.2800000000007</v>
      </c>
      <c r="F110" s="76">
        <v>4684.26</v>
      </c>
      <c r="G110" s="93">
        <v>1.11766E-2</v>
      </c>
      <c r="H110" s="331">
        <v>3.1301661033005939</v>
      </c>
      <c r="I110" s="276">
        <v>26.95</v>
      </c>
      <c r="J110" s="276">
        <v>24.744499999999999</v>
      </c>
      <c r="K110" s="282">
        <v>19.4846</v>
      </c>
      <c r="L110" s="333">
        <v>1.6863E-2</v>
      </c>
    </row>
    <row r="111" spans="1:40" ht="15.75">
      <c r="A111" s="44" t="s">
        <v>210</v>
      </c>
      <c r="B111" s="75">
        <v>4122.5715830260397</v>
      </c>
      <c r="C111" s="266">
        <v>433.8551145022941</v>
      </c>
      <c r="D111" s="75">
        <f t="shared" si="3"/>
        <v>14531.34</v>
      </c>
      <c r="E111" s="266">
        <v>9449.35</v>
      </c>
      <c r="F111" s="76">
        <v>5081.99</v>
      </c>
      <c r="G111" s="93">
        <v>1.11764E-2</v>
      </c>
      <c r="H111" s="331">
        <v>3.1891964832623403</v>
      </c>
      <c r="I111" s="276">
        <v>26.4</v>
      </c>
      <c r="J111" s="276">
        <v>24.6707</v>
      </c>
      <c r="K111" s="282">
        <v>19.4693</v>
      </c>
      <c r="L111" s="333">
        <v>1.6867299999999998E-2</v>
      </c>
    </row>
    <row r="112" spans="1:40" ht="15.75">
      <c r="A112" s="45" t="s">
        <v>211</v>
      </c>
      <c r="B112" s="83">
        <v>3877.3844587743106</v>
      </c>
      <c r="C112" s="85">
        <v>409.58079417600788</v>
      </c>
      <c r="D112" s="83">
        <f>E112+F112</f>
        <v>13691.760000000002</v>
      </c>
      <c r="E112" s="85">
        <v>8806.5400000000009</v>
      </c>
      <c r="F112" s="85">
        <v>4885.22</v>
      </c>
      <c r="G112" s="98">
        <v>1.1274899999999999E-2</v>
      </c>
      <c r="H112" s="344">
        <v>3.1938117507664052</v>
      </c>
      <c r="I112" s="284">
        <v>26.1</v>
      </c>
      <c r="J112" s="280">
        <v>24.7257</v>
      </c>
      <c r="K112" s="285">
        <v>19.572500000000002</v>
      </c>
      <c r="L112" s="345">
        <v>1.7112100000000002E-2</v>
      </c>
    </row>
    <row r="115" spans="1:12">
      <c r="A115" s="41"/>
      <c r="B115" s="41" t="s">
        <v>212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</row>
    <row r="116" spans="1:12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7"/>
    </row>
    <row r="117" spans="1:12">
      <c r="A117" s="44"/>
      <c r="B117" s="741" t="s">
        <v>143</v>
      </c>
      <c r="C117" s="742"/>
      <c r="D117" s="742"/>
      <c r="E117" s="743"/>
      <c r="F117" s="44" t="s">
        <v>144</v>
      </c>
      <c r="G117" s="120"/>
      <c r="I117" s="51" t="s">
        <v>361</v>
      </c>
      <c r="J117" s="88"/>
      <c r="K117" s="41"/>
      <c r="L117" s="43"/>
    </row>
    <row r="118" spans="1:12">
      <c r="A118" s="44" t="s">
        <v>213</v>
      </c>
      <c r="B118" s="51" t="s">
        <v>4</v>
      </c>
      <c r="C118" s="252" t="s">
        <v>5</v>
      </c>
      <c r="D118" s="49" t="s">
        <v>84</v>
      </c>
      <c r="E118" s="49" t="s">
        <v>85</v>
      </c>
      <c r="F118" s="51" t="s">
        <v>4</v>
      </c>
      <c r="G118" s="252" t="s">
        <v>6</v>
      </c>
      <c r="H118" s="49" t="s">
        <v>7</v>
      </c>
      <c r="I118" s="51" t="s">
        <v>372</v>
      </c>
      <c r="J118" s="89" t="s">
        <v>150</v>
      </c>
      <c r="K118" s="263" t="s">
        <v>151</v>
      </c>
      <c r="L118" s="91" t="s">
        <v>152</v>
      </c>
    </row>
    <row r="119" spans="1:12">
      <c r="A119" s="45"/>
      <c r="B119" s="52" t="s">
        <v>156</v>
      </c>
      <c r="C119" s="53" t="s">
        <v>156</v>
      </c>
      <c r="D119" s="53" t="s">
        <v>156</v>
      </c>
      <c r="E119" s="53" t="s">
        <v>156</v>
      </c>
      <c r="F119" s="52" t="s">
        <v>156</v>
      </c>
      <c r="G119" s="53" t="s">
        <v>156</v>
      </c>
      <c r="H119" s="53" t="s">
        <v>156</v>
      </c>
      <c r="I119" s="52" t="s">
        <v>157</v>
      </c>
      <c r="J119" s="92"/>
      <c r="K119" s="52" t="s">
        <v>11</v>
      </c>
      <c r="L119" s="54" t="s">
        <v>11</v>
      </c>
    </row>
    <row r="120" spans="1:12" ht="15.75">
      <c r="A120" s="100" t="s">
        <v>214</v>
      </c>
      <c r="B120" s="75">
        <f>C120+D120+E120</f>
        <v>3892.9388508669631</v>
      </c>
      <c r="C120" s="266">
        <v>3014.618966660435</v>
      </c>
      <c r="D120" s="76">
        <v>376.076193513845</v>
      </c>
      <c r="E120" s="76">
        <v>502.2436906926834</v>
      </c>
      <c r="F120" s="75">
        <f>G120+H120</f>
        <v>13185.687083333332</v>
      </c>
      <c r="G120" s="266">
        <v>9374.7970833333329</v>
      </c>
      <c r="H120" s="76">
        <v>3810.89</v>
      </c>
      <c r="I120" s="74">
        <v>1.0675479166666666E-2</v>
      </c>
      <c r="J120" s="331">
        <v>3.8447963185478624</v>
      </c>
      <c r="K120" s="281">
        <v>16.791666666666664</v>
      </c>
      <c r="L120" s="282">
        <v>24.64107916666666</v>
      </c>
    </row>
    <row r="121" spans="1:12" ht="15.75">
      <c r="A121" s="101" t="s">
        <v>215</v>
      </c>
      <c r="B121" s="83">
        <f>C121+D121+E121</f>
        <v>5044.9219465765182</v>
      </c>
      <c r="C121" s="85">
        <v>4083.8828856110517</v>
      </c>
      <c r="D121" s="85">
        <v>411.49462555151172</v>
      </c>
      <c r="E121" s="85">
        <v>549.54443541395437</v>
      </c>
      <c r="F121" s="83">
        <f>G121+H121</f>
        <v>13188.050416666667</v>
      </c>
      <c r="G121" s="85">
        <v>9377.6866666666665</v>
      </c>
      <c r="H121" s="85">
        <v>3810.36375</v>
      </c>
      <c r="I121" s="81">
        <v>1.1168362500000001E-2</v>
      </c>
      <c r="J121" s="344">
        <v>2.9312957592168609</v>
      </c>
      <c r="K121" s="284">
        <v>29.516666666666669</v>
      </c>
      <c r="L121" s="285">
        <v>24.547783333333332</v>
      </c>
    </row>
    <row r="124" spans="1:12">
      <c r="A124" s="41"/>
      <c r="B124" s="41" t="s">
        <v>216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3"/>
    </row>
    <row r="125" spans="1:12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7"/>
    </row>
    <row r="126" spans="1:12">
      <c r="A126" s="44"/>
      <c r="B126" s="741" t="s">
        <v>143</v>
      </c>
      <c r="C126" s="742"/>
      <c r="D126" s="742"/>
      <c r="E126" s="743"/>
      <c r="F126" s="44" t="s">
        <v>144</v>
      </c>
      <c r="G126" s="120"/>
      <c r="I126" s="51" t="s">
        <v>361</v>
      </c>
      <c r="J126" s="88"/>
      <c r="K126" s="41"/>
      <c r="L126" s="43"/>
    </row>
    <row r="127" spans="1:12">
      <c r="A127" s="44" t="s">
        <v>213</v>
      </c>
      <c r="B127" s="51" t="s">
        <v>4</v>
      </c>
      <c r="C127" s="252" t="s">
        <v>5</v>
      </c>
      <c r="D127" s="49" t="s">
        <v>84</v>
      </c>
      <c r="E127" s="49" t="s">
        <v>85</v>
      </c>
      <c r="F127" s="51" t="s">
        <v>4</v>
      </c>
      <c r="G127" s="252" t="s">
        <v>6</v>
      </c>
      <c r="H127" s="49" t="s">
        <v>7</v>
      </c>
      <c r="I127" s="51" t="s">
        <v>372</v>
      </c>
      <c r="J127" s="89" t="s">
        <v>150</v>
      </c>
      <c r="K127" s="263" t="s">
        <v>151</v>
      </c>
      <c r="L127" s="91" t="s">
        <v>152</v>
      </c>
    </row>
    <row r="128" spans="1:12">
      <c r="A128" s="45"/>
      <c r="B128" s="52" t="s">
        <v>156</v>
      </c>
      <c r="C128" s="53" t="s">
        <v>156</v>
      </c>
      <c r="D128" s="53" t="s">
        <v>156</v>
      </c>
      <c r="E128" s="53" t="s">
        <v>156</v>
      </c>
      <c r="F128" s="52" t="s">
        <v>156</v>
      </c>
      <c r="G128" s="53" t="s">
        <v>156</v>
      </c>
      <c r="H128" s="53" t="s">
        <v>156</v>
      </c>
      <c r="I128" s="52" t="s">
        <v>157</v>
      </c>
      <c r="J128" s="92"/>
      <c r="K128" s="52" t="s">
        <v>11</v>
      </c>
      <c r="L128" s="54" t="s">
        <v>11</v>
      </c>
    </row>
    <row r="129" spans="1:12" ht="15.75">
      <c r="A129" s="100" t="s">
        <v>214</v>
      </c>
      <c r="B129" s="75">
        <f>C129+D129+E129</f>
        <v>3022.7731715845357</v>
      </c>
      <c r="C129" s="266">
        <v>2311.4724457669786</v>
      </c>
      <c r="D129" s="76">
        <v>304.56246547436837</v>
      </c>
      <c r="E129" s="76">
        <v>406.73826034318864</v>
      </c>
      <c r="F129" s="75">
        <f>G129+H129</f>
        <v>9353.163333333332</v>
      </c>
      <c r="G129" s="266">
        <v>9353.163333333332</v>
      </c>
      <c r="H129" s="76">
        <v>-5.4771024999999994E-13</v>
      </c>
      <c r="I129" s="74">
        <v>6.2079700000000036E-3</v>
      </c>
      <c r="J129" s="331">
        <v>3.543099854148672</v>
      </c>
      <c r="K129" s="281">
        <v>16.791666666666664</v>
      </c>
      <c r="L129" s="282">
        <v>24.365045833333337</v>
      </c>
    </row>
    <row r="130" spans="1:12" ht="15.75">
      <c r="A130" s="101" t="s">
        <v>215</v>
      </c>
      <c r="B130" s="83">
        <f>C130+D130+E130</f>
        <v>3894.1232823866676</v>
      </c>
      <c r="C130" s="85">
        <v>3118.0954458757819</v>
      </c>
      <c r="D130" s="85">
        <v>332.27711231819677</v>
      </c>
      <c r="E130" s="85">
        <v>443.75072419268855</v>
      </c>
      <c r="F130" s="83">
        <f>G130+H130</f>
        <v>9376.2962500000012</v>
      </c>
      <c r="G130" s="85">
        <v>9376.2962500000012</v>
      </c>
      <c r="H130" s="85">
        <v>7.2904616666666638E-13</v>
      </c>
      <c r="I130" s="81">
        <v>6.2079700000000036E-3</v>
      </c>
      <c r="J130" s="344">
        <v>2.7196901396309143</v>
      </c>
      <c r="K130" s="284">
        <v>29.516666666666669</v>
      </c>
      <c r="L130" s="285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26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14"/>
  <sheetViews>
    <sheetView zoomScale="50" workbookViewId="0">
      <selection activeCell="A4" sqref="A4"/>
    </sheetView>
  </sheetViews>
  <sheetFormatPr defaultRowHeight="15"/>
  <cols>
    <col min="6" max="6" width="9.109375" bestFit="1" customWidth="1"/>
  </cols>
  <sheetData>
    <row r="1" spans="1:4">
      <c r="A1" t="s">
        <v>399</v>
      </c>
    </row>
    <row r="2" spans="1:4">
      <c r="A2" t="s">
        <v>32</v>
      </c>
    </row>
    <row r="3" spans="1:4" ht="15.75">
      <c r="A3" s="71" t="s">
        <v>539</v>
      </c>
    </row>
    <row r="4" spans="1:4">
      <c r="A4" t="s">
        <v>0</v>
      </c>
    </row>
    <row r="6" spans="1:4">
      <c r="A6" t="s">
        <v>21</v>
      </c>
    </row>
    <row r="8" spans="1:4">
      <c r="A8" t="s">
        <v>33</v>
      </c>
    </row>
    <row r="10" spans="1:4">
      <c r="B10" s="49" t="s">
        <v>377</v>
      </c>
      <c r="C10" s="49"/>
      <c r="D10" t="s">
        <v>34</v>
      </c>
    </row>
    <row r="11" spans="1:4">
      <c r="B11" s="49" t="s">
        <v>378</v>
      </c>
      <c r="C11" s="49"/>
      <c r="D11" t="s">
        <v>379</v>
      </c>
    </row>
    <row r="12" spans="1:4">
      <c r="B12" s="49" t="s">
        <v>380</v>
      </c>
      <c r="C12" s="49"/>
      <c r="D12" t="s">
        <v>35</v>
      </c>
    </row>
    <row r="13" spans="1:4">
      <c r="B13" s="49" t="s">
        <v>381</v>
      </c>
      <c r="C13" s="49"/>
      <c r="D13" t="s">
        <v>36</v>
      </c>
    </row>
    <row r="14" spans="1:4">
      <c r="B14" s="49" t="s">
        <v>382</v>
      </c>
      <c r="C14" s="49"/>
      <c r="D14" t="s">
        <v>37</v>
      </c>
    </row>
    <row r="15" spans="1:4">
      <c r="B15" s="49" t="s">
        <v>383</v>
      </c>
      <c r="C15" s="49"/>
      <c r="D15" t="s">
        <v>38</v>
      </c>
    </row>
    <row r="16" spans="1:4">
      <c r="B16" s="49" t="s">
        <v>384</v>
      </c>
      <c r="C16" s="49"/>
      <c r="D16" t="s">
        <v>385</v>
      </c>
    </row>
    <row r="17" spans="1:4">
      <c r="B17" s="49" t="s">
        <v>386</v>
      </c>
      <c r="C17" s="49"/>
      <c r="D17" t="s">
        <v>39</v>
      </c>
    </row>
    <row r="18" spans="1:4">
      <c r="B18" s="49"/>
      <c r="C18" s="49"/>
    </row>
    <row r="19" spans="1:4">
      <c r="A19" t="s">
        <v>40</v>
      </c>
    </row>
    <row r="20" spans="1:4">
      <c r="A20" t="s">
        <v>41</v>
      </c>
    </row>
    <row r="21" spans="1:4">
      <c r="A21" t="s">
        <v>42</v>
      </c>
    </row>
    <row r="22" spans="1:4">
      <c r="A22" t="s">
        <v>43</v>
      </c>
    </row>
    <row r="24" spans="1:4">
      <c r="A24" t="s">
        <v>44</v>
      </c>
    </row>
    <row r="25" spans="1:4">
      <c r="A25" t="s">
        <v>45</v>
      </c>
    </row>
    <row r="27" spans="1:4">
      <c r="A27" t="s">
        <v>46</v>
      </c>
    </row>
    <row r="28" spans="1:4">
      <c r="A28" t="s">
        <v>47</v>
      </c>
    </row>
    <row r="30" spans="1:4">
      <c r="A30" t="s">
        <v>48</v>
      </c>
    </row>
    <row r="32" spans="1:4">
      <c r="B32" t="s">
        <v>49</v>
      </c>
      <c r="D32" s="72" t="s">
        <v>50</v>
      </c>
    </row>
    <row r="34" spans="1:4">
      <c r="B34" t="s">
        <v>51</v>
      </c>
      <c r="D34" s="72" t="s">
        <v>52</v>
      </c>
    </row>
    <row r="35" spans="1:4">
      <c r="B35" t="s">
        <v>53</v>
      </c>
      <c r="D35" s="72" t="s">
        <v>54</v>
      </c>
    </row>
    <row r="36" spans="1:4">
      <c r="B36" t="s">
        <v>55</v>
      </c>
      <c r="D36" s="72" t="s">
        <v>56</v>
      </c>
    </row>
    <row r="37" spans="1:4">
      <c r="B37" t="s">
        <v>57</v>
      </c>
      <c r="D37" s="72" t="s">
        <v>58</v>
      </c>
    </row>
    <row r="38" spans="1:4">
      <c r="B38" t="s">
        <v>59</v>
      </c>
      <c r="D38" s="72" t="s">
        <v>60</v>
      </c>
    </row>
    <row r="39" spans="1:4">
      <c r="B39" t="s">
        <v>61</v>
      </c>
      <c r="D39" s="72" t="s">
        <v>62</v>
      </c>
    </row>
    <row r="40" spans="1:4">
      <c r="B40" t="s">
        <v>63</v>
      </c>
      <c r="D40" s="72" t="s">
        <v>64</v>
      </c>
    </row>
    <row r="41" spans="1:4">
      <c r="B41" t="s">
        <v>65</v>
      </c>
      <c r="D41" s="72" t="s">
        <v>66</v>
      </c>
    </row>
    <row r="42" spans="1:4">
      <c r="B42" t="s">
        <v>67</v>
      </c>
      <c r="D42" s="72" t="s">
        <v>68</v>
      </c>
    </row>
    <row r="43" spans="1:4">
      <c r="B43" t="s">
        <v>69</v>
      </c>
      <c r="D43" s="72" t="s">
        <v>70</v>
      </c>
    </row>
    <row r="44" spans="1:4">
      <c r="B44" t="s">
        <v>71</v>
      </c>
      <c r="D44" s="72" t="s">
        <v>72</v>
      </c>
    </row>
    <row r="45" spans="1:4">
      <c r="B45" t="s">
        <v>73</v>
      </c>
      <c r="D45" s="72" t="s">
        <v>74</v>
      </c>
    </row>
    <row r="47" spans="1:4">
      <c r="A47" t="s">
        <v>75</v>
      </c>
    </row>
    <row r="48" spans="1:4">
      <c r="A48" t="s">
        <v>76</v>
      </c>
    </row>
    <row r="49" spans="1:34">
      <c r="B49" s="49" t="s">
        <v>77</v>
      </c>
      <c r="C49" s="49"/>
      <c r="D49" s="72" t="s">
        <v>78</v>
      </c>
    </row>
    <row r="51" spans="1:34">
      <c r="B51" s="73">
        <v>36388</v>
      </c>
      <c r="C51" s="73"/>
      <c r="D51" s="72" t="s">
        <v>79</v>
      </c>
    </row>
    <row r="56" spans="1:34">
      <c r="A56" s="41"/>
      <c r="B56" s="41"/>
      <c r="C56" s="42"/>
      <c r="D56" s="42" t="s">
        <v>80</v>
      </c>
      <c r="E56" s="42"/>
      <c r="F56" s="42"/>
      <c r="G56" s="42"/>
      <c r="H56" s="42"/>
      <c r="I56" s="41" t="s">
        <v>81</v>
      </c>
      <c r="J56" s="42"/>
      <c r="K56" s="42"/>
      <c r="L56" s="42"/>
      <c r="M56" s="41" t="s">
        <v>357</v>
      </c>
      <c r="N56" s="43"/>
      <c r="O56" s="42"/>
      <c r="P56" s="41"/>
      <c r="Q56" s="250" t="s">
        <v>358</v>
      </c>
      <c r="R56" s="251"/>
      <c r="S56" s="251"/>
      <c r="T56" s="251"/>
      <c r="U56" s="251"/>
      <c r="V56" s="251"/>
      <c r="W56" s="42"/>
      <c r="X56" s="42"/>
      <c r="Y56" s="42"/>
      <c r="Z56" s="42"/>
      <c r="AA56" s="42"/>
      <c r="AB56" s="43"/>
      <c r="AC56" s="41"/>
      <c r="AD56" s="42" t="s">
        <v>359</v>
      </c>
      <c r="AE56" s="42"/>
      <c r="AF56" s="42"/>
      <c r="AG56" s="42"/>
      <c r="AH56" s="43"/>
    </row>
    <row r="57" spans="1:34">
      <c r="A57" s="44"/>
      <c r="B57" s="45"/>
      <c r="C57" s="46"/>
      <c r="D57" s="46"/>
      <c r="E57" s="46"/>
      <c r="F57" s="46"/>
      <c r="G57" s="46"/>
      <c r="H57" s="46"/>
      <c r="I57" s="45"/>
      <c r="J57" s="46"/>
      <c r="K57" s="46"/>
      <c r="L57" s="46"/>
      <c r="M57" s="45" t="s">
        <v>360</v>
      </c>
      <c r="N57" s="47"/>
      <c r="O57" s="120"/>
      <c r="P57" s="44"/>
      <c r="Q57" s="45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7"/>
      <c r="AC57" s="45"/>
      <c r="AD57" s="46"/>
      <c r="AE57" s="46"/>
      <c r="AF57" s="46"/>
      <c r="AG57" s="46"/>
      <c r="AH57" s="47"/>
    </row>
    <row r="58" spans="1:34">
      <c r="A58" s="44"/>
      <c r="B58" s="44"/>
      <c r="C58" s="120"/>
      <c r="D58" s="120"/>
      <c r="E58" s="120"/>
      <c r="F58" s="120"/>
      <c r="G58" s="120"/>
      <c r="H58" s="120"/>
      <c r="I58" s="44"/>
      <c r="J58" s="120"/>
      <c r="K58" s="252" t="s">
        <v>361</v>
      </c>
      <c r="L58" s="252" t="s">
        <v>361</v>
      </c>
      <c r="M58" s="44"/>
      <c r="N58" s="50" t="s">
        <v>362</v>
      </c>
      <c r="O58" s="49"/>
      <c r="P58" s="44"/>
      <c r="Q58" s="41"/>
      <c r="R58" s="42"/>
      <c r="S58" s="43"/>
      <c r="T58" s="120"/>
      <c r="U58" s="120"/>
      <c r="V58" s="120"/>
      <c r="W58" s="120"/>
      <c r="X58" s="120"/>
      <c r="Y58" s="120"/>
      <c r="Z58" s="120"/>
      <c r="AA58" s="120"/>
      <c r="AB58" s="48"/>
      <c r="AD58" t="s">
        <v>363</v>
      </c>
      <c r="AH58" s="43"/>
    </row>
    <row r="59" spans="1:34">
      <c r="A59" s="44"/>
      <c r="B59" s="44" t="s">
        <v>364</v>
      </c>
      <c r="C59" s="120"/>
      <c r="F59" s="44" t="s">
        <v>365</v>
      </c>
      <c r="G59" s="120"/>
      <c r="I59" s="44"/>
      <c r="K59" s="49" t="s">
        <v>2</v>
      </c>
      <c r="L59" s="49" t="s">
        <v>82</v>
      </c>
      <c r="M59" s="44"/>
      <c r="N59" s="50" t="s">
        <v>2</v>
      </c>
      <c r="O59" s="49"/>
      <c r="P59" s="44"/>
      <c r="Q59" s="253" t="s">
        <v>366</v>
      </c>
      <c r="R59" s="120"/>
      <c r="S59" s="48"/>
      <c r="T59" s="120"/>
      <c r="V59" t="s">
        <v>83</v>
      </c>
      <c r="AB59" s="48"/>
      <c r="AE59" s="48"/>
      <c r="AH59" s="48"/>
    </row>
    <row r="60" spans="1:34">
      <c r="A60" s="44" t="s">
        <v>3</v>
      </c>
      <c r="B60" s="51" t="s">
        <v>4</v>
      </c>
      <c r="C60" s="252" t="s">
        <v>5</v>
      </c>
      <c r="D60" s="49" t="s">
        <v>84</v>
      </c>
      <c r="E60" s="49" t="s">
        <v>85</v>
      </c>
      <c r="F60" s="51" t="s">
        <v>4</v>
      </c>
      <c r="G60" s="252" t="s">
        <v>6</v>
      </c>
      <c r="H60" s="49" t="s">
        <v>7</v>
      </c>
      <c r="I60" s="51" t="s">
        <v>86</v>
      </c>
      <c r="J60" s="49" t="s">
        <v>8</v>
      </c>
      <c r="K60" s="49" t="s">
        <v>9</v>
      </c>
      <c r="L60" s="49" t="s">
        <v>2</v>
      </c>
      <c r="M60" s="51" t="s">
        <v>151</v>
      </c>
      <c r="N60" s="50" t="s">
        <v>9</v>
      </c>
      <c r="O60" s="49"/>
      <c r="P60" s="44" t="s">
        <v>3</v>
      </c>
      <c r="Q60" s="44" t="s">
        <v>87</v>
      </c>
      <c r="T60" s="44"/>
      <c r="U60" s="49" t="s">
        <v>6</v>
      </c>
      <c r="W60" s="44"/>
      <c r="X60" s="49" t="s">
        <v>7</v>
      </c>
      <c r="Z60" s="44" t="s">
        <v>88</v>
      </c>
      <c r="AB60" s="48"/>
      <c r="AD60" t="s">
        <v>367</v>
      </c>
      <c r="AE60" s="48"/>
      <c r="AF60" t="s">
        <v>368</v>
      </c>
      <c r="AH60" s="48"/>
    </row>
    <row r="61" spans="1:34">
      <c r="A61" s="45"/>
      <c r="B61" s="52" t="s">
        <v>10</v>
      </c>
      <c r="C61" s="53" t="s">
        <v>10</v>
      </c>
      <c r="D61" s="53" t="s">
        <v>10</v>
      </c>
      <c r="E61" s="53" t="s">
        <v>10</v>
      </c>
      <c r="F61" s="52" t="s">
        <v>10</v>
      </c>
      <c r="G61" s="53" t="s">
        <v>10</v>
      </c>
      <c r="H61" s="53" t="s">
        <v>10</v>
      </c>
      <c r="I61" s="45"/>
      <c r="J61" s="53" t="s">
        <v>11</v>
      </c>
      <c r="K61" s="53" t="s">
        <v>22</v>
      </c>
      <c r="L61" s="53" t="s">
        <v>89</v>
      </c>
      <c r="M61" s="52" t="s">
        <v>11</v>
      </c>
      <c r="N61" s="54" t="s">
        <v>22</v>
      </c>
      <c r="O61" s="53"/>
      <c r="P61" s="45"/>
      <c r="Q61" s="52" t="s">
        <v>90</v>
      </c>
      <c r="R61" s="53" t="s">
        <v>77</v>
      </c>
      <c r="S61" s="53" t="s">
        <v>78</v>
      </c>
      <c r="T61" s="52" t="s">
        <v>90</v>
      </c>
      <c r="U61" s="53" t="s">
        <v>77</v>
      </c>
      <c r="V61" s="53" t="s">
        <v>78</v>
      </c>
      <c r="W61" s="52" t="s">
        <v>90</v>
      </c>
      <c r="X61" s="53" t="s">
        <v>77</v>
      </c>
      <c r="Y61" s="53" t="s">
        <v>78</v>
      </c>
      <c r="Z61" s="52" t="s">
        <v>90</v>
      </c>
      <c r="AA61" s="53" t="s">
        <v>77</v>
      </c>
      <c r="AB61" s="54" t="s">
        <v>78</v>
      </c>
      <c r="AC61" s="52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34" ht="15.75">
      <c r="A62" s="44" t="s">
        <v>91</v>
      </c>
      <c r="B62" s="74">
        <f>C62+D62+E62</f>
        <v>34750</v>
      </c>
      <c r="C62" s="97">
        <f>C146-D146</f>
        <v>21569</v>
      </c>
      <c r="D62" s="60">
        <f t="shared" ref="D62:E77" si="0">D146</f>
        <v>2301</v>
      </c>
      <c r="E62" s="60">
        <f t="shared" si="0"/>
        <v>10880</v>
      </c>
      <c r="F62" s="75">
        <f>F146*0.2931</f>
        <v>77283.435600000012</v>
      </c>
      <c r="G62" s="266">
        <f>F62-H62</f>
        <v>55796.860800000009</v>
      </c>
      <c r="H62" s="76">
        <f>H146*0.2931</f>
        <v>21486.574800000002</v>
      </c>
      <c r="I62" s="77">
        <f>F62/(C62+D62)</f>
        <v>3.2376805865102645</v>
      </c>
      <c r="J62" s="78">
        <f>(J146-32)/180*100</f>
        <v>24.055555555555554</v>
      </c>
      <c r="K62" s="63">
        <f t="shared" ref="K62:L73" si="1">K146</f>
        <v>9.1999999999999998E-3</v>
      </c>
      <c r="L62" s="78">
        <f t="shared" si="1"/>
        <v>48.26</v>
      </c>
      <c r="M62" s="267">
        <f>(M146-32)/180*100</f>
        <v>19.888888888888886</v>
      </c>
      <c r="N62" s="268">
        <f>N146</f>
        <v>1.1599999999999999E-2</v>
      </c>
      <c r="O62" s="97"/>
      <c r="P62" s="44" t="s">
        <v>91</v>
      </c>
      <c r="Q62" s="75">
        <f t="shared" ref="Q62:AB77" si="2">Q146</f>
        <v>11564</v>
      </c>
      <c r="R62" s="80">
        <f t="shared" si="2"/>
        <v>37457</v>
      </c>
      <c r="S62" s="60">
        <f t="shared" si="2"/>
        <v>15</v>
      </c>
      <c r="T62" s="75">
        <f t="shared" si="2"/>
        <v>23203</v>
      </c>
      <c r="U62" s="80">
        <f t="shared" si="2"/>
        <v>37457</v>
      </c>
      <c r="V62" s="60">
        <f t="shared" si="2"/>
        <v>15</v>
      </c>
      <c r="W62" s="75">
        <f t="shared" si="2"/>
        <v>9304</v>
      </c>
      <c r="X62" s="80">
        <f t="shared" si="2"/>
        <v>37137</v>
      </c>
      <c r="Y62" s="60">
        <f t="shared" si="2"/>
        <v>15</v>
      </c>
      <c r="Z62" s="75">
        <f t="shared" si="2"/>
        <v>31401</v>
      </c>
      <c r="AA62" s="80">
        <f t="shared" si="2"/>
        <v>37092</v>
      </c>
      <c r="AB62" s="60">
        <f t="shared" si="2"/>
        <v>15</v>
      </c>
      <c r="AC62" s="267">
        <f>(AC146-32)/180*100</f>
        <v>35</v>
      </c>
      <c r="AD62" s="269">
        <f>AD146</f>
        <v>37457</v>
      </c>
      <c r="AE62" s="270">
        <f>AE146</f>
        <v>15</v>
      </c>
      <c r="AF62" s="271">
        <f>AF146</f>
        <v>2.2499999999999999E-2</v>
      </c>
      <c r="AG62" s="269">
        <f>AG146</f>
        <v>37531</v>
      </c>
      <c r="AH62" s="255">
        <f>AH146</f>
        <v>9</v>
      </c>
    </row>
    <row r="63" spans="1:34" ht="15.75">
      <c r="A63" s="44" t="s">
        <v>96</v>
      </c>
      <c r="B63" s="74">
        <f t="shared" ref="B63:B82" si="3">C63+D63+E63</f>
        <v>39379</v>
      </c>
      <c r="C63" s="97">
        <f t="shared" ref="C63:C82" si="4">C147-D147</f>
        <v>25813</v>
      </c>
      <c r="D63" s="60">
        <f t="shared" si="0"/>
        <v>2686</v>
      </c>
      <c r="E63" s="60">
        <f t="shared" si="0"/>
        <v>10880</v>
      </c>
      <c r="F63" s="75">
        <f t="shared" ref="F63:F82" si="5">F147*0.2931</f>
        <v>97394.785200000013</v>
      </c>
      <c r="G63" s="266">
        <f t="shared" ref="G63:G82" si="6">F63-H63</f>
        <v>56300.992800000007</v>
      </c>
      <c r="H63" s="76">
        <f t="shared" ref="H63:H82" si="7">H147*0.2931</f>
        <v>41093.792400000006</v>
      </c>
      <c r="I63" s="77">
        <f t="shared" ref="I63:I82" si="8">F63/(C63+D63)</f>
        <v>3.4174807958173976</v>
      </c>
      <c r="J63" s="78">
        <f t="shared" ref="J63:J82" si="9">(J147-32)/180*100</f>
        <v>24.111111111111114</v>
      </c>
      <c r="K63" s="63">
        <f t="shared" si="1"/>
        <v>1.1299999999999999E-2</v>
      </c>
      <c r="L63" s="78">
        <f t="shared" si="1"/>
        <v>58.51</v>
      </c>
      <c r="M63" s="272" t="s">
        <v>387</v>
      </c>
      <c r="N63" s="273"/>
      <c r="O63" s="60"/>
      <c r="P63" s="44" t="s">
        <v>96</v>
      </c>
      <c r="Q63" s="75">
        <f t="shared" si="2"/>
        <v>12583</v>
      </c>
      <c r="R63" s="80">
        <f t="shared" si="2"/>
        <v>37457</v>
      </c>
      <c r="S63" s="60">
        <f t="shared" si="2"/>
        <v>15</v>
      </c>
      <c r="T63" s="75">
        <f t="shared" si="2"/>
        <v>23080</v>
      </c>
      <c r="U63" s="80">
        <f t="shared" si="2"/>
        <v>38240</v>
      </c>
      <c r="V63" s="60">
        <f t="shared" si="2"/>
        <v>16</v>
      </c>
      <c r="W63" s="75">
        <f t="shared" si="2"/>
        <v>15139</v>
      </c>
      <c r="X63" s="80">
        <f t="shared" si="2"/>
        <v>37137</v>
      </c>
      <c r="Y63" s="60">
        <f t="shared" si="2"/>
        <v>15</v>
      </c>
      <c r="Z63" s="75">
        <f t="shared" si="2"/>
        <v>36750</v>
      </c>
      <c r="AA63" s="80">
        <f t="shared" si="2"/>
        <v>38233</v>
      </c>
      <c r="AB63" s="79">
        <f t="shared" si="2"/>
        <v>16</v>
      </c>
      <c r="AC63" t="s">
        <v>388</v>
      </c>
      <c r="AF63" t="s">
        <v>389</v>
      </c>
    </row>
    <row r="64" spans="1:34" ht="15.75">
      <c r="A64" s="44" t="s">
        <v>98</v>
      </c>
      <c r="B64" s="74">
        <f t="shared" si="3"/>
        <v>38745</v>
      </c>
      <c r="C64" s="97">
        <f t="shared" si="4"/>
        <v>25250</v>
      </c>
      <c r="D64" s="60">
        <f t="shared" si="0"/>
        <v>2615</v>
      </c>
      <c r="E64" s="60">
        <f t="shared" si="0"/>
        <v>10880</v>
      </c>
      <c r="F64" s="75">
        <f t="shared" si="5"/>
        <v>96356.331900000005</v>
      </c>
      <c r="G64" s="266">
        <f t="shared" si="6"/>
        <v>62697.021000000001</v>
      </c>
      <c r="H64" s="76">
        <f t="shared" si="7"/>
        <v>33659.310900000004</v>
      </c>
      <c r="I64" s="77">
        <f t="shared" si="8"/>
        <v>3.4579699228422753</v>
      </c>
      <c r="J64" s="78">
        <f t="shared" si="9"/>
        <v>24.388888888888893</v>
      </c>
      <c r="K64" s="63">
        <f t="shared" si="1"/>
        <v>1.01E-2</v>
      </c>
      <c r="L64" s="78">
        <f t="shared" si="1"/>
        <v>51.21</v>
      </c>
      <c r="M64" s="272" t="s">
        <v>388</v>
      </c>
      <c r="N64" s="273"/>
      <c r="O64" s="60"/>
      <c r="P64" s="44" t="s">
        <v>98</v>
      </c>
      <c r="Q64" s="75">
        <f t="shared" si="2"/>
        <v>12916</v>
      </c>
      <c r="R64" s="80">
        <f t="shared" si="2"/>
        <v>37457</v>
      </c>
      <c r="S64" s="60">
        <f t="shared" si="2"/>
        <v>15</v>
      </c>
      <c r="T64" s="75">
        <f t="shared" si="2"/>
        <v>31119</v>
      </c>
      <c r="U64" s="80">
        <f t="shared" si="2"/>
        <v>38101</v>
      </c>
      <c r="V64" s="60">
        <f t="shared" si="2"/>
        <v>16</v>
      </c>
      <c r="W64" s="75">
        <f t="shared" si="2"/>
        <v>31497</v>
      </c>
      <c r="X64" s="80">
        <f t="shared" si="2"/>
        <v>37531</v>
      </c>
      <c r="Y64" s="60">
        <f t="shared" si="2"/>
        <v>9</v>
      </c>
      <c r="Z64" s="75">
        <f t="shared" si="2"/>
        <v>53813</v>
      </c>
      <c r="AA64" s="80">
        <f t="shared" si="2"/>
        <v>37531</v>
      </c>
      <c r="AB64" s="79">
        <f t="shared" si="2"/>
        <v>9</v>
      </c>
    </row>
    <row r="65" spans="1:28" ht="15.75">
      <c r="A65" s="44" t="s">
        <v>102</v>
      </c>
      <c r="B65" s="74">
        <f t="shared" si="3"/>
        <v>39708</v>
      </c>
      <c r="C65" s="97">
        <f t="shared" si="4"/>
        <v>26172</v>
      </c>
      <c r="D65" s="60">
        <f t="shared" si="0"/>
        <v>2656</v>
      </c>
      <c r="E65" s="60">
        <f t="shared" si="0"/>
        <v>10880</v>
      </c>
      <c r="F65" s="75">
        <f t="shared" si="5"/>
        <v>100729.97010000001</v>
      </c>
      <c r="G65" s="266">
        <f t="shared" si="6"/>
        <v>63311.065500000004</v>
      </c>
      <c r="H65" s="76">
        <f t="shared" si="7"/>
        <v>37418.904600000002</v>
      </c>
      <c r="I65" s="77">
        <f t="shared" si="8"/>
        <v>3.4941712952684894</v>
      </c>
      <c r="J65" s="78">
        <f t="shared" si="9"/>
        <v>24.277777777777779</v>
      </c>
      <c r="K65" s="63">
        <f t="shared" si="1"/>
        <v>9.9000000000000008E-3</v>
      </c>
      <c r="L65" s="78">
        <f t="shared" si="1"/>
        <v>50.58</v>
      </c>
      <c r="M65" s="74"/>
      <c r="N65" s="60"/>
      <c r="O65" s="60"/>
      <c r="P65" s="44" t="s">
        <v>102</v>
      </c>
      <c r="Q65" s="75">
        <f t="shared" si="2"/>
        <v>13212</v>
      </c>
      <c r="R65" s="80">
        <f t="shared" si="2"/>
        <v>37457</v>
      </c>
      <c r="S65" s="60">
        <f t="shared" si="2"/>
        <v>15</v>
      </c>
      <c r="T65" s="75">
        <f t="shared" si="2"/>
        <v>33410</v>
      </c>
      <c r="U65" s="80">
        <f t="shared" si="2"/>
        <v>37421</v>
      </c>
      <c r="V65" s="60">
        <f t="shared" si="2"/>
        <v>14</v>
      </c>
      <c r="W65" s="75">
        <f t="shared" si="2"/>
        <v>26941</v>
      </c>
      <c r="X65" s="80">
        <f t="shared" si="2"/>
        <v>37882</v>
      </c>
      <c r="Y65" s="60">
        <f t="shared" si="2"/>
        <v>15</v>
      </c>
      <c r="Z65" s="75">
        <f t="shared" si="2"/>
        <v>43628</v>
      </c>
      <c r="AA65" s="80">
        <f t="shared" si="2"/>
        <v>37531</v>
      </c>
      <c r="AB65" s="79">
        <f t="shared" si="2"/>
        <v>9</v>
      </c>
    </row>
    <row r="66" spans="1:28" ht="15.75">
      <c r="A66" s="44" t="s">
        <v>356</v>
      </c>
      <c r="B66" s="74">
        <f t="shared" si="3"/>
        <v>39358</v>
      </c>
      <c r="C66" s="97">
        <f t="shared" si="4"/>
        <v>25829</v>
      </c>
      <c r="D66" s="60">
        <f t="shared" si="0"/>
        <v>2649</v>
      </c>
      <c r="E66" s="60">
        <f t="shared" si="0"/>
        <v>10880</v>
      </c>
      <c r="F66" s="75">
        <f t="shared" si="5"/>
        <v>99027.645300000004</v>
      </c>
      <c r="G66" s="266">
        <f t="shared" si="6"/>
        <v>63053.4306</v>
      </c>
      <c r="H66" s="76">
        <f t="shared" si="7"/>
        <v>35974.214700000004</v>
      </c>
      <c r="I66" s="77">
        <f t="shared" si="8"/>
        <v>3.4773384823372431</v>
      </c>
      <c r="J66" s="78">
        <f t="shared" si="9"/>
        <v>24.277777777777779</v>
      </c>
      <c r="K66" s="63">
        <f t="shared" si="1"/>
        <v>9.9000000000000008E-3</v>
      </c>
      <c r="L66" s="78">
        <f t="shared" si="1"/>
        <v>50.69</v>
      </c>
      <c r="M66" s="74"/>
      <c r="N66" s="60"/>
      <c r="O66" s="60"/>
      <c r="P66" s="44" t="s">
        <v>356</v>
      </c>
      <c r="Q66" s="75">
        <f t="shared" si="2"/>
        <v>13158</v>
      </c>
      <c r="R66" s="80">
        <f t="shared" si="2"/>
        <v>37457</v>
      </c>
      <c r="S66" s="60">
        <f t="shared" si="2"/>
        <v>15</v>
      </c>
      <c r="T66" s="75">
        <f t="shared" si="2"/>
        <v>32086</v>
      </c>
      <c r="U66" s="80">
        <f t="shared" si="2"/>
        <v>37392</v>
      </c>
      <c r="V66" s="60">
        <f t="shared" si="2"/>
        <v>16</v>
      </c>
      <c r="W66" s="75">
        <f t="shared" si="2"/>
        <v>30451</v>
      </c>
      <c r="X66" s="80">
        <f t="shared" si="2"/>
        <v>37531</v>
      </c>
      <c r="Y66" s="60">
        <f t="shared" si="2"/>
        <v>9</v>
      </c>
      <c r="Z66" s="75">
        <f t="shared" si="2"/>
        <v>50819</v>
      </c>
      <c r="AA66" s="80">
        <f t="shared" si="2"/>
        <v>37531</v>
      </c>
      <c r="AB66" s="79">
        <f t="shared" si="2"/>
        <v>9</v>
      </c>
    </row>
    <row r="67" spans="1:28" ht="15.75">
      <c r="A67" s="44" t="s">
        <v>105</v>
      </c>
      <c r="B67" s="74">
        <f t="shared" si="3"/>
        <v>30547</v>
      </c>
      <c r="C67" s="97">
        <f t="shared" si="4"/>
        <v>17802</v>
      </c>
      <c r="D67" s="60">
        <f t="shared" si="0"/>
        <v>1865</v>
      </c>
      <c r="E67" s="60">
        <f t="shared" si="0"/>
        <v>10880</v>
      </c>
      <c r="F67" s="75">
        <f t="shared" si="5"/>
        <v>63736.353600000009</v>
      </c>
      <c r="G67" s="266">
        <f t="shared" si="6"/>
        <v>47684.439000000006</v>
      </c>
      <c r="H67" s="76">
        <f t="shared" si="7"/>
        <v>16051.914600000002</v>
      </c>
      <c r="I67" s="77">
        <f t="shared" si="8"/>
        <v>3.240776610565923</v>
      </c>
      <c r="J67" s="78">
        <f t="shared" si="9"/>
        <v>26.166666666666664</v>
      </c>
      <c r="K67" s="63">
        <f t="shared" si="1"/>
        <v>0.01</v>
      </c>
      <c r="L67" s="78">
        <f t="shared" si="1"/>
        <v>45.45</v>
      </c>
      <c r="M67" s="74"/>
      <c r="N67" s="60"/>
      <c r="O67" s="60"/>
      <c r="P67" s="44" t="s">
        <v>105</v>
      </c>
      <c r="Q67" s="75">
        <f t="shared" si="2"/>
        <v>11654</v>
      </c>
      <c r="R67" s="80">
        <f t="shared" si="2"/>
        <v>37457</v>
      </c>
      <c r="S67" s="60">
        <f t="shared" si="2"/>
        <v>15</v>
      </c>
      <c r="T67" s="75">
        <f t="shared" si="2"/>
        <v>23203</v>
      </c>
      <c r="U67" s="80">
        <f t="shared" si="2"/>
        <v>37457</v>
      </c>
      <c r="V67" s="60">
        <f t="shared" si="2"/>
        <v>15</v>
      </c>
      <c r="W67" s="75">
        <f t="shared" si="2"/>
        <v>9303</v>
      </c>
      <c r="X67" s="80">
        <f t="shared" si="2"/>
        <v>37137</v>
      </c>
      <c r="Y67" s="60">
        <f t="shared" si="2"/>
        <v>15</v>
      </c>
      <c r="Z67" s="75">
        <f t="shared" si="2"/>
        <v>31401</v>
      </c>
      <c r="AA67" s="80">
        <f t="shared" si="2"/>
        <v>37092</v>
      </c>
      <c r="AB67" s="79">
        <f t="shared" si="2"/>
        <v>15</v>
      </c>
    </row>
    <row r="68" spans="1:28" ht="15.75">
      <c r="A68" s="44" t="s">
        <v>108</v>
      </c>
      <c r="B68" s="74">
        <f t="shared" si="3"/>
        <v>54064</v>
      </c>
      <c r="C68" s="97">
        <f t="shared" si="4"/>
        <v>38999</v>
      </c>
      <c r="D68" s="60">
        <f t="shared" si="0"/>
        <v>4185</v>
      </c>
      <c r="E68" s="60">
        <f t="shared" si="0"/>
        <v>10880</v>
      </c>
      <c r="F68" s="75">
        <f t="shared" si="5"/>
        <v>159807.20610000001</v>
      </c>
      <c r="G68" s="266">
        <f t="shared" si="6"/>
        <v>134919.79200000002</v>
      </c>
      <c r="H68" s="76">
        <f t="shared" si="7"/>
        <v>24887.414100000002</v>
      </c>
      <c r="I68" s="77">
        <f t="shared" si="8"/>
        <v>3.7006114787884403</v>
      </c>
      <c r="J68" s="78">
        <f t="shared" si="9"/>
        <v>25.611111111111107</v>
      </c>
      <c r="K68" s="63">
        <f t="shared" si="1"/>
        <v>8.6999999999999994E-3</v>
      </c>
      <c r="L68" s="78">
        <f t="shared" si="1"/>
        <v>41.49</v>
      </c>
      <c r="M68" s="74"/>
      <c r="N68" s="60"/>
      <c r="O68" s="60"/>
      <c r="P68" s="44" t="s">
        <v>108</v>
      </c>
      <c r="Q68" s="75">
        <f t="shared" si="2"/>
        <v>12736</v>
      </c>
      <c r="R68" s="80">
        <f t="shared" si="2"/>
        <v>37457</v>
      </c>
      <c r="S68" s="60">
        <f t="shared" si="2"/>
        <v>15</v>
      </c>
      <c r="T68" s="75">
        <f t="shared" si="2"/>
        <v>32111</v>
      </c>
      <c r="U68" s="80">
        <f t="shared" si="2"/>
        <v>37735</v>
      </c>
      <c r="V68" s="60">
        <f t="shared" si="2"/>
        <v>16</v>
      </c>
      <c r="W68" s="75">
        <f t="shared" si="2"/>
        <v>10026</v>
      </c>
      <c r="X68" s="80">
        <f t="shared" si="2"/>
        <v>37531</v>
      </c>
      <c r="Y68" s="60">
        <f t="shared" si="2"/>
        <v>9</v>
      </c>
      <c r="Z68" s="75">
        <f t="shared" si="2"/>
        <v>40613</v>
      </c>
      <c r="AA68" s="80">
        <f t="shared" si="2"/>
        <v>37531</v>
      </c>
      <c r="AB68" s="79">
        <f t="shared" si="2"/>
        <v>9</v>
      </c>
    </row>
    <row r="69" spans="1:28" ht="15.75">
      <c r="A69" s="44" t="s">
        <v>109</v>
      </c>
      <c r="B69" s="74">
        <f t="shared" si="3"/>
        <v>30846</v>
      </c>
      <c r="C69" s="97">
        <f t="shared" si="4"/>
        <v>18106</v>
      </c>
      <c r="D69" s="60">
        <f t="shared" si="0"/>
        <v>1860</v>
      </c>
      <c r="E69" s="60">
        <f t="shared" si="0"/>
        <v>10880</v>
      </c>
      <c r="F69" s="75">
        <f t="shared" si="5"/>
        <v>64917.546600000009</v>
      </c>
      <c r="G69" s="266">
        <f t="shared" si="6"/>
        <v>41419.133400000006</v>
      </c>
      <c r="H69" s="76">
        <f t="shared" si="7"/>
        <v>23498.413200000003</v>
      </c>
      <c r="I69" s="77">
        <f t="shared" si="8"/>
        <v>3.2514047180206354</v>
      </c>
      <c r="J69" s="78">
        <f t="shared" si="9"/>
        <v>24.055555555555554</v>
      </c>
      <c r="K69" s="63">
        <f t="shared" si="1"/>
        <v>0.01</v>
      </c>
      <c r="L69" s="78">
        <f t="shared" si="1"/>
        <v>52.21</v>
      </c>
      <c r="M69" s="74"/>
      <c r="N69" s="60"/>
      <c r="O69" s="60"/>
      <c r="P69" s="44" t="s">
        <v>109</v>
      </c>
      <c r="Q69" s="75">
        <f t="shared" si="2"/>
        <v>11564</v>
      </c>
      <c r="R69" s="80">
        <f t="shared" si="2"/>
        <v>37457</v>
      </c>
      <c r="S69" s="60">
        <f t="shared" si="2"/>
        <v>15</v>
      </c>
      <c r="T69" s="75">
        <f t="shared" si="2"/>
        <v>23203</v>
      </c>
      <c r="U69" s="80">
        <f t="shared" si="2"/>
        <v>37457</v>
      </c>
      <c r="V69" s="60">
        <f t="shared" si="2"/>
        <v>15</v>
      </c>
      <c r="W69" s="75">
        <f t="shared" si="2"/>
        <v>25578</v>
      </c>
      <c r="X69" s="80">
        <f t="shared" si="2"/>
        <v>37517</v>
      </c>
      <c r="Y69" s="60">
        <f t="shared" si="2"/>
        <v>14</v>
      </c>
      <c r="Z69" s="75">
        <f t="shared" si="2"/>
        <v>40543</v>
      </c>
      <c r="AA69" s="80">
        <f t="shared" si="2"/>
        <v>37517</v>
      </c>
      <c r="AB69" s="79">
        <f t="shared" si="2"/>
        <v>14</v>
      </c>
    </row>
    <row r="70" spans="1:28" ht="15.75">
      <c r="A70" s="44" t="s">
        <v>111</v>
      </c>
      <c r="B70" s="74">
        <f t="shared" si="3"/>
        <v>31668</v>
      </c>
      <c r="C70" s="97">
        <f t="shared" si="4"/>
        <v>18823</v>
      </c>
      <c r="D70" s="60">
        <f t="shared" si="0"/>
        <v>1965</v>
      </c>
      <c r="E70" s="60">
        <f t="shared" si="0"/>
        <v>10880</v>
      </c>
      <c r="F70" s="75">
        <f t="shared" si="5"/>
        <v>66779.6109</v>
      </c>
      <c r="G70" s="266">
        <f t="shared" si="6"/>
        <v>47658.646200000003</v>
      </c>
      <c r="H70" s="76">
        <f t="shared" si="7"/>
        <v>19120.9647</v>
      </c>
      <c r="I70" s="77">
        <f t="shared" si="8"/>
        <v>3.2124115306907832</v>
      </c>
      <c r="J70" s="78">
        <f t="shared" si="9"/>
        <v>24.055555555555554</v>
      </c>
      <c r="K70" s="63">
        <f t="shared" si="1"/>
        <v>9.4999999999999998E-3</v>
      </c>
      <c r="L70" s="78">
        <f t="shared" si="1"/>
        <v>49.65</v>
      </c>
      <c r="M70" s="74"/>
      <c r="N70" s="60"/>
      <c r="O70" s="60"/>
      <c r="P70" s="44" t="s">
        <v>111</v>
      </c>
      <c r="Q70" s="75">
        <f t="shared" si="2"/>
        <v>11564</v>
      </c>
      <c r="R70" s="80">
        <f t="shared" si="2"/>
        <v>37457</v>
      </c>
      <c r="S70" s="60">
        <f t="shared" si="2"/>
        <v>15</v>
      </c>
      <c r="T70" s="75">
        <f t="shared" si="2"/>
        <v>23203</v>
      </c>
      <c r="U70" s="80">
        <f t="shared" si="2"/>
        <v>37457</v>
      </c>
      <c r="V70" s="60">
        <f t="shared" si="2"/>
        <v>15</v>
      </c>
      <c r="W70" s="75">
        <f t="shared" si="2"/>
        <v>9304</v>
      </c>
      <c r="X70" s="80">
        <f t="shared" si="2"/>
        <v>37137</v>
      </c>
      <c r="Y70" s="60">
        <f t="shared" si="2"/>
        <v>15</v>
      </c>
      <c r="Z70" s="75">
        <f t="shared" si="2"/>
        <v>31401</v>
      </c>
      <c r="AA70" s="80">
        <f t="shared" si="2"/>
        <v>37092</v>
      </c>
      <c r="AB70" s="79">
        <f t="shared" si="2"/>
        <v>15</v>
      </c>
    </row>
    <row r="71" spans="1:28" ht="15.75">
      <c r="A71" s="44" t="s">
        <v>112</v>
      </c>
      <c r="B71" s="74">
        <f t="shared" si="3"/>
        <v>32530</v>
      </c>
      <c r="C71" s="97">
        <f t="shared" si="4"/>
        <v>19596</v>
      </c>
      <c r="D71" s="60">
        <f t="shared" si="0"/>
        <v>2054</v>
      </c>
      <c r="E71" s="60">
        <f t="shared" si="0"/>
        <v>10880</v>
      </c>
      <c r="F71" s="75">
        <f t="shared" si="5"/>
        <v>69610.956900000005</v>
      </c>
      <c r="G71" s="266">
        <f t="shared" si="6"/>
        <v>49666.088100000008</v>
      </c>
      <c r="H71" s="76">
        <f t="shared" si="7"/>
        <v>19944.8688</v>
      </c>
      <c r="I71" s="77">
        <f t="shared" si="8"/>
        <v>3.2152866928406469</v>
      </c>
      <c r="J71" s="78">
        <f t="shared" si="9"/>
        <v>24.055555555555554</v>
      </c>
      <c r="K71" s="63">
        <f t="shared" si="1"/>
        <v>9.4000000000000004E-3</v>
      </c>
      <c r="L71" s="78">
        <f t="shared" si="1"/>
        <v>49.14</v>
      </c>
      <c r="M71" s="74"/>
      <c r="N71" s="60"/>
      <c r="O71" s="60"/>
      <c r="P71" s="44" t="s">
        <v>112</v>
      </c>
      <c r="Q71" s="75">
        <f t="shared" si="2"/>
        <v>11564</v>
      </c>
      <c r="R71" s="80">
        <f t="shared" si="2"/>
        <v>37457</v>
      </c>
      <c r="S71" s="60">
        <f t="shared" si="2"/>
        <v>15</v>
      </c>
      <c r="T71" s="75">
        <f t="shared" si="2"/>
        <v>23203</v>
      </c>
      <c r="U71" s="80">
        <f t="shared" si="2"/>
        <v>37457</v>
      </c>
      <c r="V71" s="60">
        <f t="shared" si="2"/>
        <v>15</v>
      </c>
      <c r="W71" s="75">
        <f t="shared" si="2"/>
        <v>9304</v>
      </c>
      <c r="X71" s="80">
        <f t="shared" si="2"/>
        <v>37137</v>
      </c>
      <c r="Y71" s="60">
        <f t="shared" si="2"/>
        <v>15</v>
      </c>
      <c r="Z71" s="75">
        <f t="shared" si="2"/>
        <v>31401</v>
      </c>
      <c r="AA71" s="80">
        <f t="shared" si="2"/>
        <v>37092</v>
      </c>
      <c r="AB71" s="79">
        <f t="shared" si="2"/>
        <v>15</v>
      </c>
    </row>
    <row r="72" spans="1:28" ht="15.75">
      <c r="A72" s="44" t="s">
        <v>113</v>
      </c>
      <c r="B72" s="74">
        <f t="shared" si="3"/>
        <v>31932</v>
      </c>
      <c r="C72" s="97">
        <f t="shared" si="4"/>
        <v>19059</v>
      </c>
      <c r="D72" s="60">
        <f t="shared" si="0"/>
        <v>1993</v>
      </c>
      <c r="E72" s="60">
        <f t="shared" si="0"/>
        <v>10880</v>
      </c>
      <c r="F72" s="75">
        <f t="shared" si="5"/>
        <v>67640.738700000002</v>
      </c>
      <c r="G72" s="266">
        <f t="shared" si="6"/>
        <v>47731.334999999999</v>
      </c>
      <c r="H72" s="76">
        <f t="shared" si="7"/>
        <v>19909.403700000003</v>
      </c>
      <c r="I72" s="77">
        <f t="shared" si="8"/>
        <v>3.2130314791943757</v>
      </c>
      <c r="J72" s="78">
        <f t="shared" si="9"/>
        <v>24.055555555555554</v>
      </c>
      <c r="K72" s="63">
        <f t="shared" si="1"/>
        <v>9.4000000000000004E-3</v>
      </c>
      <c r="L72" s="78">
        <f t="shared" si="1"/>
        <v>49.17</v>
      </c>
      <c r="M72" s="74"/>
      <c r="N72" s="60"/>
      <c r="O72" s="60"/>
      <c r="P72" s="44" t="s">
        <v>113</v>
      </c>
      <c r="Q72" s="75">
        <f t="shared" si="2"/>
        <v>11564</v>
      </c>
      <c r="R72" s="80">
        <f t="shared" si="2"/>
        <v>37457</v>
      </c>
      <c r="S72" s="60">
        <f t="shared" si="2"/>
        <v>15</v>
      </c>
      <c r="T72" s="75">
        <f t="shared" si="2"/>
        <v>23203</v>
      </c>
      <c r="U72" s="80">
        <f t="shared" si="2"/>
        <v>37457</v>
      </c>
      <c r="V72" s="60">
        <f t="shared" si="2"/>
        <v>15</v>
      </c>
      <c r="W72" s="75">
        <f t="shared" si="2"/>
        <v>11105</v>
      </c>
      <c r="X72" s="80">
        <f t="shared" si="2"/>
        <v>38284</v>
      </c>
      <c r="Y72" s="60">
        <f t="shared" si="2"/>
        <v>14</v>
      </c>
      <c r="Z72" s="75">
        <f t="shared" si="2"/>
        <v>31401</v>
      </c>
      <c r="AA72" s="80">
        <f t="shared" si="2"/>
        <v>37092</v>
      </c>
      <c r="AB72" s="79">
        <f t="shared" si="2"/>
        <v>15</v>
      </c>
    </row>
    <row r="73" spans="1:28" ht="15.75">
      <c r="A73" s="44" t="s">
        <v>114</v>
      </c>
      <c r="B73" s="74">
        <f t="shared" si="3"/>
        <v>33032</v>
      </c>
      <c r="C73" s="97">
        <f t="shared" si="4"/>
        <v>20042</v>
      </c>
      <c r="D73" s="60">
        <f t="shared" si="0"/>
        <v>2110</v>
      </c>
      <c r="E73" s="60">
        <f t="shared" si="0"/>
        <v>10880</v>
      </c>
      <c r="F73" s="75">
        <f t="shared" si="5"/>
        <v>71380.108500000002</v>
      </c>
      <c r="G73" s="266">
        <f t="shared" si="6"/>
        <v>50592.5772</v>
      </c>
      <c r="H73" s="76">
        <f t="shared" si="7"/>
        <v>20787.531300000002</v>
      </c>
      <c r="I73" s="77">
        <f t="shared" si="8"/>
        <v>3.2222873104008669</v>
      </c>
      <c r="J73" s="78">
        <f t="shared" si="9"/>
        <v>24.055555555555554</v>
      </c>
      <c r="K73" s="63">
        <f t="shared" si="1"/>
        <v>9.2999999999999992E-3</v>
      </c>
      <c r="L73" s="78">
        <f t="shared" si="1"/>
        <v>48.46</v>
      </c>
      <c r="M73" s="74"/>
      <c r="N73" s="60"/>
      <c r="O73" s="60"/>
      <c r="P73" s="44" t="s">
        <v>114</v>
      </c>
      <c r="Q73" s="75">
        <f t="shared" si="2"/>
        <v>11564</v>
      </c>
      <c r="R73" s="80">
        <f t="shared" si="2"/>
        <v>37457</v>
      </c>
      <c r="S73" s="60">
        <f t="shared" si="2"/>
        <v>15</v>
      </c>
      <c r="T73" s="75">
        <f t="shared" si="2"/>
        <v>23203</v>
      </c>
      <c r="U73" s="80">
        <f t="shared" si="2"/>
        <v>37457</v>
      </c>
      <c r="V73" s="60">
        <f t="shared" si="2"/>
        <v>15</v>
      </c>
      <c r="W73" s="75">
        <f t="shared" si="2"/>
        <v>9304</v>
      </c>
      <c r="X73" s="80">
        <f t="shared" si="2"/>
        <v>37137</v>
      </c>
      <c r="Y73" s="60">
        <f t="shared" si="2"/>
        <v>15</v>
      </c>
      <c r="Z73" s="75">
        <f t="shared" si="2"/>
        <v>31401</v>
      </c>
      <c r="AA73" s="80">
        <f t="shared" si="2"/>
        <v>37092</v>
      </c>
      <c r="AB73" s="79">
        <f t="shared" si="2"/>
        <v>15</v>
      </c>
    </row>
    <row r="74" spans="1:28" ht="15.75">
      <c r="A74" s="44" t="s">
        <v>115</v>
      </c>
      <c r="B74" s="74">
        <f t="shared" si="3"/>
        <v>22817</v>
      </c>
      <c r="C74" s="97">
        <f t="shared" si="4"/>
        <v>18473</v>
      </c>
      <c r="D74" s="60">
        <f t="shared" si="0"/>
        <v>1975</v>
      </c>
      <c r="E74" s="60">
        <f t="shared" si="0"/>
        <v>2369</v>
      </c>
      <c r="F74" s="75">
        <f t="shared" si="5"/>
        <v>65995.861499999999</v>
      </c>
      <c r="G74" s="266">
        <f t="shared" si="6"/>
        <v>47649.853199999998</v>
      </c>
      <c r="H74" s="76">
        <f t="shared" si="7"/>
        <v>18346.008300000001</v>
      </c>
      <c r="I74" s="77">
        <f t="shared" si="8"/>
        <v>3.2274971390845071</v>
      </c>
      <c r="J74" s="78">
        <f t="shared" si="9"/>
        <v>20.666666666666668</v>
      </c>
      <c r="K74" s="63"/>
      <c r="L74" s="78"/>
      <c r="M74" s="74"/>
      <c r="N74" s="60"/>
      <c r="O74" s="60"/>
      <c r="P74" s="44" t="s">
        <v>116</v>
      </c>
      <c r="Q74" s="75">
        <f t="shared" si="2"/>
        <v>10431</v>
      </c>
      <c r="R74" s="80">
        <f t="shared" si="2"/>
        <v>37457</v>
      </c>
      <c r="S74" s="60">
        <f t="shared" si="2"/>
        <v>15</v>
      </c>
      <c r="T74" s="75">
        <f t="shared" si="2"/>
        <v>20009</v>
      </c>
      <c r="U74" s="80">
        <f t="shared" si="2"/>
        <v>37776</v>
      </c>
      <c r="V74" s="60">
        <f t="shared" si="2"/>
        <v>16</v>
      </c>
      <c r="W74" s="75">
        <f t="shared" si="2"/>
        <v>7733</v>
      </c>
      <c r="X74" s="80">
        <f t="shared" si="2"/>
        <v>37137</v>
      </c>
      <c r="Y74" s="60">
        <f t="shared" si="2"/>
        <v>15</v>
      </c>
      <c r="Z74" s="75">
        <f t="shared" si="2"/>
        <v>27707</v>
      </c>
      <c r="AA74" s="80">
        <f t="shared" si="2"/>
        <v>37119</v>
      </c>
      <c r="AB74" s="79">
        <f t="shared" si="2"/>
        <v>16</v>
      </c>
    </row>
    <row r="75" spans="1:28" ht="15.75">
      <c r="A75" s="44" t="s">
        <v>120</v>
      </c>
      <c r="B75" s="74">
        <f t="shared" si="3"/>
        <v>17872</v>
      </c>
      <c r="C75" s="97">
        <f t="shared" si="4"/>
        <v>14508</v>
      </c>
      <c r="D75" s="60">
        <f t="shared" si="0"/>
        <v>1527</v>
      </c>
      <c r="E75" s="60">
        <f t="shared" si="0"/>
        <v>1837</v>
      </c>
      <c r="F75" s="75">
        <f t="shared" si="5"/>
        <v>50692.817400000007</v>
      </c>
      <c r="G75" s="266">
        <f t="shared" si="6"/>
        <v>36595.586700000007</v>
      </c>
      <c r="H75" s="76">
        <f t="shared" si="7"/>
        <v>14097.230700000002</v>
      </c>
      <c r="I75" s="77">
        <f t="shared" si="8"/>
        <v>3.1613855565949489</v>
      </c>
      <c r="J75" s="78">
        <f t="shared" si="9"/>
        <v>25</v>
      </c>
      <c r="K75" s="63">
        <f>K159</f>
        <v>1.14E-2</v>
      </c>
      <c r="L75" s="78">
        <f>L159</f>
        <v>57.47</v>
      </c>
      <c r="M75" s="74"/>
      <c r="N75" s="60"/>
      <c r="O75" s="60"/>
      <c r="P75" s="44" t="s">
        <v>121</v>
      </c>
      <c r="Q75" s="75">
        <f t="shared" si="2"/>
        <v>11590</v>
      </c>
      <c r="R75" s="80">
        <f t="shared" si="2"/>
        <v>37457</v>
      </c>
      <c r="S75" s="60">
        <f t="shared" si="2"/>
        <v>15</v>
      </c>
      <c r="T75" s="75">
        <f t="shared" si="2"/>
        <v>22513</v>
      </c>
      <c r="U75" s="80">
        <f t="shared" si="2"/>
        <v>37448</v>
      </c>
      <c r="V75" s="60">
        <f t="shared" si="2"/>
        <v>15</v>
      </c>
      <c r="W75" s="75">
        <f t="shared" si="2"/>
        <v>8723</v>
      </c>
      <c r="X75" s="80">
        <f t="shared" si="2"/>
        <v>37531</v>
      </c>
      <c r="Y75" s="60">
        <f t="shared" si="2"/>
        <v>9</v>
      </c>
      <c r="Z75" s="75">
        <f t="shared" si="2"/>
        <v>31188</v>
      </c>
      <c r="AA75" s="80">
        <f t="shared" si="2"/>
        <v>37092</v>
      </c>
      <c r="AB75" s="79">
        <f t="shared" si="2"/>
        <v>15</v>
      </c>
    </row>
    <row r="76" spans="1:28" ht="15.75">
      <c r="A76" s="44" t="s">
        <v>124</v>
      </c>
      <c r="B76" s="74">
        <f t="shared" si="3"/>
        <v>35971</v>
      </c>
      <c r="C76" s="97">
        <f t="shared" si="4"/>
        <v>28811</v>
      </c>
      <c r="D76" s="60">
        <f t="shared" si="0"/>
        <v>3061</v>
      </c>
      <c r="E76" s="60">
        <f t="shared" si="0"/>
        <v>4099</v>
      </c>
      <c r="F76" s="75">
        <f t="shared" si="5"/>
        <v>114017.95170000001</v>
      </c>
      <c r="G76" s="266">
        <f t="shared" si="6"/>
        <v>82305.704100000003</v>
      </c>
      <c r="H76" s="76">
        <f t="shared" si="7"/>
        <v>31712.247600000002</v>
      </c>
      <c r="I76" s="77">
        <f t="shared" si="8"/>
        <v>3.5773704725150606</v>
      </c>
      <c r="J76" s="78">
        <f t="shared" si="9"/>
        <v>25.111111111111111</v>
      </c>
      <c r="K76" s="63">
        <f>K160</f>
        <v>1.14E-2</v>
      </c>
      <c r="L76" s="78">
        <f>L160</f>
        <v>57.36</v>
      </c>
      <c r="M76" s="74"/>
      <c r="N76" s="60"/>
      <c r="O76" s="60"/>
      <c r="P76" s="44" t="s">
        <v>125</v>
      </c>
      <c r="Q76" s="75">
        <f t="shared" si="2"/>
        <v>10989</v>
      </c>
      <c r="R76" s="80">
        <f t="shared" si="2"/>
        <v>37457</v>
      </c>
      <c r="S76" s="60">
        <f t="shared" si="2"/>
        <v>15</v>
      </c>
      <c r="T76" s="75">
        <f t="shared" si="2"/>
        <v>20159</v>
      </c>
      <c r="U76" s="80">
        <f t="shared" si="2"/>
        <v>38133</v>
      </c>
      <c r="V76" s="60">
        <f t="shared" si="2"/>
        <v>16</v>
      </c>
      <c r="W76" s="75">
        <f t="shared" si="2"/>
        <v>7785</v>
      </c>
      <c r="X76" s="80">
        <f t="shared" si="2"/>
        <v>37137</v>
      </c>
      <c r="Y76" s="60">
        <f t="shared" si="2"/>
        <v>15</v>
      </c>
      <c r="Z76" s="75">
        <f t="shared" si="2"/>
        <v>27878</v>
      </c>
      <c r="AA76" s="80">
        <f t="shared" si="2"/>
        <v>38213</v>
      </c>
      <c r="AB76" s="79">
        <f t="shared" si="2"/>
        <v>16</v>
      </c>
    </row>
    <row r="77" spans="1:28" ht="15.75">
      <c r="A77" s="44" t="s">
        <v>125</v>
      </c>
      <c r="B77" s="74">
        <f t="shared" si="3"/>
        <v>25389</v>
      </c>
      <c r="C77" s="97">
        <f t="shared" si="4"/>
        <v>20121</v>
      </c>
      <c r="D77" s="60">
        <f t="shared" si="0"/>
        <v>2394</v>
      </c>
      <c r="E77" s="60">
        <f t="shared" si="0"/>
        <v>2874</v>
      </c>
      <c r="F77" s="75">
        <f t="shared" si="5"/>
        <v>66571.216800000009</v>
      </c>
      <c r="G77" s="266">
        <f t="shared" si="6"/>
        <v>48101.520300000004</v>
      </c>
      <c r="H77" s="76">
        <f t="shared" si="7"/>
        <v>18469.696500000002</v>
      </c>
      <c r="I77" s="77">
        <f t="shared" si="8"/>
        <v>2.9567495802798138</v>
      </c>
      <c r="J77" s="78">
        <f t="shared" si="9"/>
        <v>13.777777777777775</v>
      </c>
      <c r="K77" s="63"/>
      <c r="L77" s="78"/>
      <c r="M77" s="74"/>
      <c r="N77" s="60"/>
      <c r="O77" s="60"/>
      <c r="P77" s="44" t="s">
        <v>127</v>
      </c>
      <c r="Q77" s="75">
        <f t="shared" si="2"/>
        <v>10972</v>
      </c>
      <c r="R77" s="80">
        <f t="shared" si="2"/>
        <v>37457</v>
      </c>
      <c r="S77" s="60">
        <f t="shared" si="2"/>
        <v>15</v>
      </c>
      <c r="T77" s="75">
        <f t="shared" si="2"/>
        <v>20137</v>
      </c>
      <c r="U77" s="80">
        <f t="shared" si="2"/>
        <v>37448</v>
      </c>
      <c r="V77" s="60">
        <f t="shared" si="2"/>
        <v>16</v>
      </c>
      <c r="W77" s="75">
        <f t="shared" si="2"/>
        <v>7760</v>
      </c>
      <c r="X77" s="80">
        <f t="shared" si="2"/>
        <v>37137</v>
      </c>
      <c r="Y77" s="60">
        <f t="shared" si="2"/>
        <v>15</v>
      </c>
      <c r="Z77" s="75">
        <f t="shared" si="2"/>
        <v>27868</v>
      </c>
      <c r="AA77" s="80">
        <f t="shared" si="2"/>
        <v>37484</v>
      </c>
      <c r="AB77" s="79">
        <f t="shared" si="2"/>
        <v>16</v>
      </c>
    </row>
    <row r="78" spans="1:28" ht="15.75">
      <c r="A78" s="44" t="s">
        <v>127</v>
      </c>
      <c r="B78" s="74">
        <f t="shared" si="3"/>
        <v>24293</v>
      </c>
      <c r="C78" s="97">
        <f t="shared" si="4"/>
        <v>19407</v>
      </c>
      <c r="D78" s="60">
        <f t="shared" ref="D78:E82" si="10">D162</f>
        <v>2182</v>
      </c>
      <c r="E78" s="60">
        <f t="shared" si="10"/>
        <v>2704</v>
      </c>
      <c r="F78" s="75">
        <f t="shared" si="5"/>
        <v>66373.081200000001</v>
      </c>
      <c r="G78" s="266">
        <f t="shared" si="6"/>
        <v>47962.2978</v>
      </c>
      <c r="H78" s="76">
        <f t="shared" si="7"/>
        <v>18410.7834</v>
      </c>
      <c r="I78" s="77">
        <f t="shared" si="8"/>
        <v>3.0743934966881281</v>
      </c>
      <c r="J78" s="78">
        <f t="shared" si="9"/>
        <v>17.277777777777779</v>
      </c>
      <c r="K78" s="63"/>
      <c r="L78" s="78"/>
      <c r="M78" s="74"/>
      <c r="N78" s="60"/>
      <c r="O78" s="60"/>
      <c r="P78" s="44" t="s">
        <v>130</v>
      </c>
      <c r="Q78" s="75">
        <f t="shared" ref="Q78:AB81" si="11">Q162</f>
        <v>9538</v>
      </c>
      <c r="R78" s="80">
        <f t="shared" si="11"/>
        <v>37457</v>
      </c>
      <c r="S78" s="60">
        <f t="shared" si="11"/>
        <v>15</v>
      </c>
      <c r="T78" s="75">
        <f t="shared" si="11"/>
        <v>19850</v>
      </c>
      <c r="U78" s="80">
        <f t="shared" si="11"/>
        <v>37370</v>
      </c>
      <c r="V78" s="60">
        <f t="shared" si="11"/>
        <v>16</v>
      </c>
      <c r="W78" s="75">
        <f t="shared" si="11"/>
        <v>7663</v>
      </c>
      <c r="X78" s="80">
        <f t="shared" si="11"/>
        <v>37137</v>
      </c>
      <c r="Y78" s="60">
        <f t="shared" si="11"/>
        <v>15</v>
      </c>
      <c r="Z78" s="75">
        <f t="shared" si="11"/>
        <v>27466</v>
      </c>
      <c r="AA78" s="80">
        <f t="shared" si="11"/>
        <v>37445</v>
      </c>
      <c r="AB78" s="79">
        <f t="shared" si="11"/>
        <v>16</v>
      </c>
    </row>
    <row r="79" spans="1:28" ht="15.75">
      <c r="A79" s="44" t="s">
        <v>130</v>
      </c>
      <c r="B79" s="74">
        <f t="shared" si="3"/>
        <v>20408</v>
      </c>
      <c r="C79" s="97">
        <f t="shared" si="4"/>
        <v>16880</v>
      </c>
      <c r="D79" s="60">
        <f t="shared" si="10"/>
        <v>1642</v>
      </c>
      <c r="E79" s="60">
        <f t="shared" si="10"/>
        <v>1886</v>
      </c>
      <c r="F79" s="75">
        <f t="shared" si="5"/>
        <v>65399.109900000003</v>
      </c>
      <c r="G79" s="266">
        <f t="shared" si="6"/>
        <v>47217.530700000003</v>
      </c>
      <c r="H79" s="76">
        <f t="shared" si="7"/>
        <v>18181.5792</v>
      </c>
      <c r="I79" s="77">
        <f t="shared" si="8"/>
        <v>3.5308881276320054</v>
      </c>
      <c r="J79" s="78">
        <f t="shared" si="9"/>
        <v>27.388888888888886</v>
      </c>
      <c r="K79" s="63"/>
      <c r="L79" s="78"/>
      <c r="M79" s="74"/>
      <c r="N79" s="60"/>
      <c r="O79" s="60"/>
      <c r="P79" s="44" t="s">
        <v>132</v>
      </c>
      <c r="Q79" s="75">
        <f t="shared" si="11"/>
        <v>8059</v>
      </c>
      <c r="R79" s="80">
        <f t="shared" si="11"/>
        <v>37457</v>
      </c>
      <c r="S79" s="60">
        <f t="shared" si="11"/>
        <v>15</v>
      </c>
      <c r="T79" s="75">
        <f t="shared" si="11"/>
        <v>19576</v>
      </c>
      <c r="U79" s="80">
        <f t="shared" si="11"/>
        <v>37370</v>
      </c>
      <c r="V79" s="60">
        <f t="shared" si="11"/>
        <v>16</v>
      </c>
      <c r="W79" s="75">
        <f t="shared" si="11"/>
        <v>0</v>
      </c>
      <c r="X79" s="80">
        <f t="shared" si="11"/>
        <v>0</v>
      </c>
      <c r="Y79" s="60">
        <f t="shared" si="11"/>
        <v>0</v>
      </c>
      <c r="Z79" s="75">
        <f t="shared" si="11"/>
        <v>19576</v>
      </c>
      <c r="AA79" s="80">
        <f t="shared" si="11"/>
        <v>37370</v>
      </c>
      <c r="AB79" s="79">
        <f t="shared" si="11"/>
        <v>16</v>
      </c>
    </row>
    <row r="80" spans="1:28" ht="15.75">
      <c r="A80" s="44" t="s">
        <v>132</v>
      </c>
      <c r="B80" s="74">
        <f t="shared" si="3"/>
        <v>17540</v>
      </c>
      <c r="C80" s="97">
        <f t="shared" si="4"/>
        <v>14127</v>
      </c>
      <c r="D80" s="60">
        <f t="shared" si="10"/>
        <v>1580</v>
      </c>
      <c r="E80" s="60">
        <f t="shared" si="10"/>
        <v>1833</v>
      </c>
      <c r="F80" s="75">
        <f t="shared" si="5"/>
        <v>46634.261700000003</v>
      </c>
      <c r="G80" s="266">
        <f t="shared" si="6"/>
        <v>46573.590000000004</v>
      </c>
      <c r="H80" s="76">
        <f t="shared" si="7"/>
        <v>60.671700000000008</v>
      </c>
      <c r="I80" s="77">
        <f t="shared" si="8"/>
        <v>2.969011377093016</v>
      </c>
      <c r="J80" s="78">
        <f t="shared" si="9"/>
        <v>20.611111111111107</v>
      </c>
      <c r="K80" s="63"/>
      <c r="L80" s="78"/>
      <c r="M80" s="74"/>
      <c r="N80" s="60"/>
      <c r="O80" s="60"/>
      <c r="P80" s="44" t="s">
        <v>135</v>
      </c>
      <c r="Q80" s="75">
        <f t="shared" si="11"/>
        <v>8943</v>
      </c>
      <c r="R80" s="80">
        <f t="shared" si="11"/>
        <v>37457</v>
      </c>
      <c r="S80" s="60">
        <f t="shared" si="11"/>
        <v>15</v>
      </c>
      <c r="T80" s="75">
        <f t="shared" si="11"/>
        <v>19766</v>
      </c>
      <c r="U80" s="80">
        <f t="shared" si="11"/>
        <v>37370</v>
      </c>
      <c r="V80" s="60">
        <f t="shared" si="11"/>
        <v>16</v>
      </c>
      <c r="W80" s="75">
        <f t="shared" si="11"/>
        <v>0</v>
      </c>
      <c r="X80" s="80">
        <f t="shared" si="11"/>
        <v>0</v>
      </c>
      <c r="Y80" s="60">
        <f t="shared" si="11"/>
        <v>0</v>
      </c>
      <c r="Z80" s="75">
        <f t="shared" si="11"/>
        <v>19766</v>
      </c>
      <c r="AA80" s="80">
        <f t="shared" si="11"/>
        <v>37370</v>
      </c>
      <c r="AB80" s="79">
        <f t="shared" si="11"/>
        <v>16</v>
      </c>
    </row>
    <row r="81" spans="1:40" ht="15.75">
      <c r="A81" s="44" t="s">
        <v>135</v>
      </c>
      <c r="B81" s="74">
        <f t="shared" si="3"/>
        <v>19878</v>
      </c>
      <c r="C81" s="97">
        <f t="shared" si="4"/>
        <v>15680</v>
      </c>
      <c r="D81" s="60">
        <f t="shared" si="10"/>
        <v>1940</v>
      </c>
      <c r="E81" s="60">
        <f t="shared" si="10"/>
        <v>2258</v>
      </c>
      <c r="F81" s="75">
        <f t="shared" si="5"/>
        <v>47129.893800000005</v>
      </c>
      <c r="G81" s="266">
        <f t="shared" si="6"/>
        <v>47022.912300000004</v>
      </c>
      <c r="H81" s="76">
        <f t="shared" si="7"/>
        <v>106.98150000000001</v>
      </c>
      <c r="I81" s="77">
        <f t="shared" si="8"/>
        <v>2.6747953348467655</v>
      </c>
      <c r="J81" s="78">
        <f t="shared" si="9"/>
        <v>13.777777777777775</v>
      </c>
      <c r="K81" s="63"/>
      <c r="L81" s="78"/>
      <c r="M81" s="74"/>
      <c r="N81" s="60"/>
      <c r="O81" s="60"/>
      <c r="P81" s="45" t="s">
        <v>138</v>
      </c>
      <c r="Q81" s="75">
        <f t="shared" si="11"/>
        <v>7350</v>
      </c>
      <c r="R81" s="80">
        <f t="shared" si="11"/>
        <v>37457</v>
      </c>
      <c r="S81" s="60">
        <f t="shared" si="11"/>
        <v>15</v>
      </c>
      <c r="T81" s="75">
        <f t="shared" si="11"/>
        <v>19475</v>
      </c>
      <c r="U81" s="80">
        <f t="shared" si="11"/>
        <v>37370</v>
      </c>
      <c r="V81" s="60">
        <f t="shared" si="11"/>
        <v>16</v>
      </c>
      <c r="W81" s="75">
        <f t="shared" si="11"/>
        <v>0</v>
      </c>
      <c r="X81" s="82">
        <f t="shared" si="11"/>
        <v>0</v>
      </c>
      <c r="Y81" s="64">
        <f t="shared" si="11"/>
        <v>0</v>
      </c>
      <c r="Z81" s="75">
        <f t="shared" si="11"/>
        <v>19475</v>
      </c>
      <c r="AA81" s="82">
        <f t="shared" si="11"/>
        <v>37370</v>
      </c>
      <c r="AB81" s="84">
        <f t="shared" si="11"/>
        <v>16</v>
      </c>
    </row>
    <row r="82" spans="1:40" ht="15.75">
      <c r="A82" s="45" t="s">
        <v>138</v>
      </c>
      <c r="B82" s="81">
        <f t="shared" si="3"/>
        <v>15802</v>
      </c>
      <c r="C82" s="64">
        <f t="shared" si="4"/>
        <v>12967</v>
      </c>
      <c r="D82" s="64">
        <f t="shared" si="10"/>
        <v>1334</v>
      </c>
      <c r="E82" s="64">
        <f t="shared" si="10"/>
        <v>1501</v>
      </c>
      <c r="F82" s="83">
        <f t="shared" si="5"/>
        <v>46239.749100000001</v>
      </c>
      <c r="G82" s="85">
        <f t="shared" si="6"/>
        <v>46214.249400000001</v>
      </c>
      <c r="H82" s="85">
        <f t="shared" si="7"/>
        <v>25.499700000000001</v>
      </c>
      <c r="I82" s="86">
        <f t="shared" si="8"/>
        <v>3.2333227816236629</v>
      </c>
      <c r="J82" s="87">
        <f t="shared" si="9"/>
        <v>27.333333333333336</v>
      </c>
      <c r="K82" s="67"/>
      <c r="L82" s="274"/>
      <c r="M82" s="74"/>
      <c r="N82" s="97"/>
      <c r="O82" s="97"/>
    </row>
    <row r="84" spans="1:40" ht="15.75">
      <c r="A84" s="41"/>
      <c r="B84" s="41"/>
      <c r="C84" s="42"/>
      <c r="D84" s="42"/>
      <c r="E84" s="42" t="s">
        <v>141</v>
      </c>
      <c r="F84" s="42"/>
      <c r="G84" s="42"/>
      <c r="H84" s="42"/>
      <c r="I84" s="42"/>
      <c r="J84" s="42"/>
      <c r="K84" s="42"/>
      <c r="L84" s="43"/>
      <c r="M84" s="272" t="s">
        <v>390</v>
      </c>
      <c r="P84" s="41"/>
      <c r="Q84" s="41"/>
      <c r="R84" s="42"/>
      <c r="S84" s="42"/>
      <c r="T84" s="42" t="s">
        <v>142</v>
      </c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3"/>
    </row>
    <row r="85" spans="1:40" ht="15.75">
      <c r="A85" s="44"/>
      <c r="B85" s="45"/>
      <c r="C85" s="46"/>
      <c r="D85" s="46"/>
      <c r="E85" s="46"/>
      <c r="F85" s="46"/>
      <c r="G85" s="46"/>
      <c r="H85" s="46"/>
      <c r="I85" s="46"/>
      <c r="J85" s="46"/>
      <c r="K85" s="275" t="s">
        <v>391</v>
      </c>
      <c r="L85" s="47"/>
      <c r="M85" s="272" t="s">
        <v>392</v>
      </c>
      <c r="P85" s="44"/>
      <c r="Q85" s="45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7"/>
    </row>
    <row r="86" spans="1:40">
      <c r="A86" s="44"/>
      <c r="B86" s="44" t="s">
        <v>143</v>
      </c>
      <c r="C86" s="120"/>
      <c r="D86" s="41" t="s">
        <v>369</v>
      </c>
      <c r="E86" s="120"/>
      <c r="G86" s="51" t="s">
        <v>361</v>
      </c>
      <c r="H86" s="88"/>
      <c r="K86" s="43"/>
      <c r="L86" s="259" t="s">
        <v>370</v>
      </c>
      <c r="P86" s="44"/>
      <c r="Q86" s="44"/>
      <c r="S86" t="s">
        <v>145</v>
      </c>
      <c r="W86" s="44"/>
      <c r="X86" t="s">
        <v>146</v>
      </c>
      <c r="AC86" s="44"/>
      <c r="AD86" t="s">
        <v>147</v>
      </c>
      <c r="AI86" s="44"/>
      <c r="AJ86" t="s">
        <v>148</v>
      </c>
      <c r="AN86" s="48"/>
    </row>
    <row r="87" spans="1:40">
      <c r="A87" s="44" t="s">
        <v>78</v>
      </c>
      <c r="B87" s="51" t="s">
        <v>5</v>
      </c>
      <c r="C87" s="49" t="s">
        <v>84</v>
      </c>
      <c r="D87" s="51" t="s">
        <v>4</v>
      </c>
      <c r="E87" s="252" t="s">
        <v>6</v>
      </c>
      <c r="F87" s="49" t="s">
        <v>7</v>
      </c>
      <c r="G87" s="51" t="s">
        <v>371</v>
      </c>
      <c r="H87" s="89" t="s">
        <v>150</v>
      </c>
      <c r="I87" s="90" t="s">
        <v>151</v>
      </c>
      <c r="J87" s="90" t="s">
        <v>152</v>
      </c>
      <c r="K87" s="91" t="s">
        <v>153</v>
      </c>
      <c r="L87" s="91" t="s">
        <v>371</v>
      </c>
      <c r="M87" s="90" t="s">
        <v>393</v>
      </c>
      <c r="N87" s="90" t="s">
        <v>394</v>
      </c>
      <c r="P87" s="44" t="s">
        <v>3</v>
      </c>
      <c r="Q87" s="44"/>
      <c r="R87" t="s">
        <v>154</v>
      </c>
      <c r="T87" s="44"/>
      <c r="U87" t="s">
        <v>155</v>
      </c>
      <c r="W87" s="44"/>
      <c r="X87" t="s">
        <v>154</v>
      </c>
      <c r="Z87" s="44"/>
      <c r="AA87" t="s">
        <v>155</v>
      </c>
      <c r="AC87" s="44"/>
      <c r="AD87" t="s">
        <v>154</v>
      </c>
      <c r="AF87" s="44"/>
      <c r="AG87" t="s">
        <v>155</v>
      </c>
      <c r="AI87" s="44"/>
      <c r="AJ87" t="s">
        <v>154</v>
      </c>
      <c r="AL87" s="44"/>
      <c r="AM87" t="s">
        <v>155</v>
      </c>
      <c r="AN87" s="48"/>
    </row>
    <row r="88" spans="1:40">
      <c r="A88" s="45"/>
      <c r="B88" s="52" t="s">
        <v>156</v>
      </c>
      <c r="C88" s="53" t="s">
        <v>156</v>
      </c>
      <c r="D88" s="52" t="s">
        <v>156</v>
      </c>
      <c r="E88" s="53" t="s">
        <v>156</v>
      </c>
      <c r="F88" s="53" t="s">
        <v>156</v>
      </c>
      <c r="G88" s="52" t="s">
        <v>157</v>
      </c>
      <c r="H88" s="92"/>
      <c r="I88" s="53" t="s">
        <v>11</v>
      </c>
      <c r="J88" s="53" t="s">
        <v>11</v>
      </c>
      <c r="K88" s="54" t="s">
        <v>11</v>
      </c>
      <c r="L88" s="260" t="s">
        <v>22</v>
      </c>
      <c r="M88" s="90" t="s">
        <v>22</v>
      </c>
      <c r="N88" s="90" t="s">
        <v>395</v>
      </c>
      <c r="P88" s="45"/>
      <c r="Q88" s="52" t="s">
        <v>86</v>
      </c>
      <c r="R88" s="53" t="s">
        <v>77</v>
      </c>
      <c r="S88" s="53" t="s">
        <v>78</v>
      </c>
      <c r="T88" s="52" t="s">
        <v>86</v>
      </c>
      <c r="U88" s="53" t="s">
        <v>77</v>
      </c>
      <c r="V88" s="53" t="s">
        <v>78</v>
      </c>
      <c r="W88" s="52" t="s">
        <v>29</v>
      </c>
      <c r="X88" s="53" t="s">
        <v>77</v>
      </c>
      <c r="Y88" s="53" t="s">
        <v>78</v>
      </c>
      <c r="Z88" s="52" t="s">
        <v>29</v>
      </c>
      <c r="AA88" s="53" t="s">
        <v>77</v>
      </c>
      <c r="AB88" s="53" t="s">
        <v>78</v>
      </c>
      <c r="AC88" s="52" t="s">
        <v>30</v>
      </c>
      <c r="AD88" s="53" t="s">
        <v>77</v>
      </c>
      <c r="AE88" s="53" t="s">
        <v>78</v>
      </c>
      <c r="AF88" s="52" t="s">
        <v>30</v>
      </c>
      <c r="AG88" s="53" t="s">
        <v>77</v>
      </c>
      <c r="AH88" s="53" t="s">
        <v>78</v>
      </c>
      <c r="AI88" s="52" t="s">
        <v>158</v>
      </c>
      <c r="AJ88" s="53" t="s">
        <v>77</v>
      </c>
      <c r="AK88" s="53" t="s">
        <v>78</v>
      </c>
      <c r="AL88" s="52" t="s">
        <v>158</v>
      </c>
      <c r="AM88" s="53" t="s">
        <v>77</v>
      </c>
      <c r="AN88" s="54" t="s">
        <v>78</v>
      </c>
    </row>
    <row r="89" spans="1:40" ht="15.75">
      <c r="A89" s="44" t="s">
        <v>159</v>
      </c>
      <c r="B89" s="74">
        <f>B173-C89</f>
        <v>1897</v>
      </c>
      <c r="C89" s="97">
        <f>C173</f>
        <v>237</v>
      </c>
      <c r="D89" s="75">
        <f>D173*0.2931</f>
        <v>7552.3077000000003</v>
      </c>
      <c r="E89" s="266">
        <f>D89-F89</f>
        <v>5889.2583000000004</v>
      </c>
      <c r="F89" s="76">
        <f>F173*0.2931</f>
        <v>1663.0494000000001</v>
      </c>
      <c r="G89" s="93">
        <f t="shared" ref="G89:H104" si="12">G173</f>
        <v>9.4000000000000004E-3</v>
      </c>
      <c r="H89" s="94">
        <f t="shared" si="12"/>
        <v>3.5390382849109656</v>
      </c>
      <c r="I89" s="276">
        <f t="shared" ref="I89:J104" si="13">(I173-32)/180*100</f>
        <v>17.777777777777779</v>
      </c>
      <c r="J89" s="276">
        <f t="shared" si="13"/>
        <v>23.833333333333336</v>
      </c>
      <c r="K89" s="276">
        <v>17.34</v>
      </c>
      <c r="L89" s="277">
        <f>L173</f>
        <v>1.14E-2</v>
      </c>
      <c r="M89" s="118">
        <f>M173</f>
        <v>9.7000000000000003E-3</v>
      </c>
      <c r="N89">
        <f>N173*(14.696/29.921)*(6894.8/1)</f>
        <v>101254.86534273588</v>
      </c>
      <c r="P89" s="44" t="s">
        <v>91</v>
      </c>
      <c r="Q89" s="77">
        <f t="shared" ref="Q89:AN99" si="14">Q173</f>
        <v>3.8690000000000002</v>
      </c>
      <c r="R89" s="80">
        <f t="shared" si="14"/>
        <v>37376</v>
      </c>
      <c r="S89" s="76">
        <f t="shared" si="14"/>
        <v>16</v>
      </c>
      <c r="T89" s="77">
        <f t="shared" si="14"/>
        <v>2.798</v>
      </c>
      <c r="U89" s="80">
        <f t="shared" si="14"/>
        <v>37591</v>
      </c>
      <c r="V89" s="76">
        <f t="shared" si="14"/>
        <v>14</v>
      </c>
      <c r="W89" s="62">
        <f t="shared" si="14"/>
        <v>25.11</v>
      </c>
      <c r="X89" s="80">
        <f t="shared" si="14"/>
        <v>37368</v>
      </c>
      <c r="Y89" s="76">
        <f t="shared" si="14"/>
        <v>15</v>
      </c>
      <c r="Z89" s="62">
        <f t="shared" si="14"/>
        <v>8.89</v>
      </c>
      <c r="AA89" s="80">
        <f t="shared" si="14"/>
        <v>36897</v>
      </c>
      <c r="AB89" s="76">
        <f t="shared" si="14"/>
        <v>6</v>
      </c>
      <c r="AC89" s="93">
        <f t="shared" si="14"/>
        <v>1.38E-2</v>
      </c>
      <c r="AD89" s="80">
        <f t="shared" si="14"/>
        <v>37211</v>
      </c>
      <c r="AE89" s="76">
        <f t="shared" si="14"/>
        <v>16</v>
      </c>
      <c r="AF89" s="93">
        <f t="shared" si="14"/>
        <v>1.6999999999999999E-3</v>
      </c>
      <c r="AG89" s="80">
        <f t="shared" si="14"/>
        <v>36895</v>
      </c>
      <c r="AH89" s="76">
        <f t="shared" si="14"/>
        <v>24</v>
      </c>
      <c r="AI89" s="62">
        <f t="shared" si="14"/>
        <v>69.349999999999994</v>
      </c>
      <c r="AJ89" s="80">
        <f t="shared" si="14"/>
        <v>37576</v>
      </c>
      <c r="AK89" s="76">
        <f t="shared" si="14"/>
        <v>16</v>
      </c>
      <c r="AL89" s="62">
        <f t="shared" si="14"/>
        <v>11.97</v>
      </c>
      <c r="AM89" s="80">
        <f t="shared" si="14"/>
        <v>37566</v>
      </c>
      <c r="AN89" s="76">
        <f t="shared" si="14"/>
        <v>4</v>
      </c>
    </row>
    <row r="90" spans="1:40" ht="15.75">
      <c r="A90" s="44" t="s">
        <v>166</v>
      </c>
      <c r="B90" s="74">
        <f t="shared" ref="B90:B112" si="15">B174-C90</f>
        <v>1941</v>
      </c>
      <c r="C90" s="97">
        <f t="shared" ref="C90:C112" si="16">C174</f>
        <v>240</v>
      </c>
      <c r="D90" s="75">
        <f t="shared" ref="D90:D112" si="17">D174*0.2931</f>
        <v>7630.2723000000005</v>
      </c>
      <c r="E90" s="266">
        <f t="shared" ref="E90:E112" si="18">D90-F90</f>
        <v>6069.8079000000007</v>
      </c>
      <c r="F90" s="76">
        <f t="shared" ref="F90:F112" si="19">F174*0.2931</f>
        <v>1560.4644000000001</v>
      </c>
      <c r="G90" s="93">
        <f t="shared" si="12"/>
        <v>9.2999999999999992E-3</v>
      </c>
      <c r="H90" s="94">
        <f t="shared" si="12"/>
        <v>3.4985200825309493</v>
      </c>
      <c r="I90" s="276">
        <f t="shared" si="13"/>
        <v>18.333333333333332</v>
      </c>
      <c r="J90" s="276">
        <f t="shared" si="13"/>
        <v>23.944444444444439</v>
      </c>
      <c r="K90" s="276">
        <v>17.29</v>
      </c>
      <c r="L90" s="279">
        <f>L174</f>
        <v>1.12E-2</v>
      </c>
      <c r="M90" s="118">
        <f>M174</f>
        <v>9.5999999999999992E-3</v>
      </c>
      <c r="N90">
        <f t="shared" ref="N90:N112" si="20">N174*(14.696/29.921)*(6894.8/1)</f>
        <v>101254.86534273588</v>
      </c>
      <c r="P90" s="44" t="s">
        <v>96</v>
      </c>
      <c r="Q90" s="77">
        <f t="shared" si="14"/>
        <v>4.141</v>
      </c>
      <c r="R90" s="80">
        <f t="shared" si="14"/>
        <v>37376</v>
      </c>
      <c r="S90" s="76">
        <f t="shared" si="14"/>
        <v>16</v>
      </c>
      <c r="T90" s="77">
        <f t="shared" si="14"/>
        <v>2.85</v>
      </c>
      <c r="U90" s="80">
        <f t="shared" si="14"/>
        <v>37591</v>
      </c>
      <c r="V90" s="76">
        <f t="shared" si="14"/>
        <v>14</v>
      </c>
      <c r="W90" s="62">
        <f t="shared" si="14"/>
        <v>26.89</v>
      </c>
      <c r="X90" s="80">
        <f t="shared" si="14"/>
        <v>38188</v>
      </c>
      <c r="Y90" s="76">
        <f t="shared" si="14"/>
        <v>16</v>
      </c>
      <c r="Z90" s="62">
        <f t="shared" si="14"/>
        <v>8.89</v>
      </c>
      <c r="AA90" s="80">
        <f t="shared" si="14"/>
        <v>36897</v>
      </c>
      <c r="AB90" s="76">
        <f t="shared" si="14"/>
        <v>6</v>
      </c>
      <c r="AC90" s="93">
        <f t="shared" si="14"/>
        <v>1.8800000000000001E-2</v>
      </c>
      <c r="AD90" s="80">
        <f t="shared" si="14"/>
        <v>37544</v>
      </c>
      <c r="AE90" s="76">
        <f t="shared" si="14"/>
        <v>9</v>
      </c>
      <c r="AF90" s="93">
        <f t="shared" si="14"/>
        <v>1.6999999999999999E-3</v>
      </c>
      <c r="AG90" s="80">
        <f t="shared" si="14"/>
        <v>36895</v>
      </c>
      <c r="AH90" s="76">
        <f t="shared" si="14"/>
        <v>24</v>
      </c>
      <c r="AI90" s="62">
        <f t="shared" si="14"/>
        <v>100.18</v>
      </c>
      <c r="AJ90" s="80">
        <f t="shared" si="14"/>
        <v>37544</v>
      </c>
      <c r="AK90" s="76">
        <f t="shared" si="14"/>
        <v>9</v>
      </c>
      <c r="AL90" s="62">
        <f t="shared" si="14"/>
        <v>11.97</v>
      </c>
      <c r="AM90" s="80">
        <f t="shared" si="14"/>
        <v>37566</v>
      </c>
      <c r="AN90" s="76">
        <f t="shared" si="14"/>
        <v>4</v>
      </c>
    </row>
    <row r="91" spans="1:40" ht="15.75">
      <c r="A91" s="44" t="s">
        <v>169</v>
      </c>
      <c r="B91" s="74">
        <f t="shared" si="15"/>
        <v>1897</v>
      </c>
      <c r="C91" s="97">
        <f t="shared" si="16"/>
        <v>237</v>
      </c>
      <c r="D91" s="75">
        <f t="shared" si="17"/>
        <v>7550.2560000000003</v>
      </c>
      <c r="E91" s="266">
        <f t="shared" si="18"/>
        <v>5881.3446000000004</v>
      </c>
      <c r="F91" s="76">
        <f t="shared" si="19"/>
        <v>1668.9114000000002</v>
      </c>
      <c r="G91" s="93">
        <f t="shared" si="12"/>
        <v>9.4000000000000004E-3</v>
      </c>
      <c r="H91" s="94">
        <f t="shared" si="12"/>
        <v>3.5380768509840674</v>
      </c>
      <c r="I91" s="276">
        <f t="shared" si="13"/>
        <v>17.777777777777779</v>
      </c>
      <c r="J91" s="276">
        <f t="shared" si="13"/>
        <v>23.833333333333336</v>
      </c>
      <c r="K91" s="276">
        <v>17.34</v>
      </c>
      <c r="L91" s="279">
        <f t="shared" ref="L91:L112" si="21">L175</f>
        <v>1.14E-2</v>
      </c>
      <c r="M91" s="118">
        <f t="shared" ref="M91:M100" si="22">M175</f>
        <v>9.7000000000000003E-3</v>
      </c>
      <c r="N91">
        <f t="shared" si="20"/>
        <v>101593.51037732697</v>
      </c>
      <c r="P91" s="44" t="s">
        <v>98</v>
      </c>
      <c r="Q91" s="77">
        <f t="shared" si="14"/>
        <v>5.1429999999999998</v>
      </c>
      <c r="R91" s="80">
        <f t="shared" si="14"/>
        <v>37531</v>
      </c>
      <c r="S91" s="76">
        <f t="shared" si="14"/>
        <v>9</v>
      </c>
      <c r="T91" s="77">
        <f t="shared" si="14"/>
        <v>2.8010000000000002</v>
      </c>
      <c r="U91" s="80">
        <f t="shared" si="14"/>
        <v>37591</v>
      </c>
      <c r="V91" s="76">
        <f t="shared" si="14"/>
        <v>14</v>
      </c>
      <c r="W91" s="62">
        <f t="shared" si="14"/>
        <v>31.61</v>
      </c>
      <c r="X91" s="80">
        <f t="shared" si="14"/>
        <v>37810</v>
      </c>
      <c r="Y91" s="76">
        <f t="shared" si="14"/>
        <v>16</v>
      </c>
      <c r="Z91" s="62">
        <f t="shared" si="14"/>
        <v>10.83</v>
      </c>
      <c r="AA91" s="80">
        <f t="shared" si="14"/>
        <v>36897</v>
      </c>
      <c r="AB91" s="76">
        <f t="shared" si="14"/>
        <v>7</v>
      </c>
      <c r="AC91" s="93">
        <f t="shared" si="14"/>
        <v>1.77E-2</v>
      </c>
      <c r="AD91" s="80">
        <f t="shared" si="14"/>
        <v>37447</v>
      </c>
      <c r="AE91" s="76">
        <f t="shared" si="14"/>
        <v>12</v>
      </c>
      <c r="AF91" s="93">
        <f t="shared" si="14"/>
        <v>1.6999999999999999E-3</v>
      </c>
      <c r="AG91" s="80">
        <f t="shared" si="14"/>
        <v>36895</v>
      </c>
      <c r="AH91" s="76">
        <f t="shared" si="14"/>
        <v>24</v>
      </c>
      <c r="AI91" s="62">
        <f t="shared" si="14"/>
        <v>83.41</v>
      </c>
      <c r="AJ91" s="80">
        <f t="shared" si="14"/>
        <v>38262</v>
      </c>
      <c r="AK91" s="76">
        <f t="shared" si="14"/>
        <v>9</v>
      </c>
      <c r="AL91" s="62">
        <f t="shared" si="14"/>
        <v>11.97</v>
      </c>
      <c r="AM91" s="80">
        <f t="shared" si="14"/>
        <v>37566</v>
      </c>
      <c r="AN91" s="76">
        <f t="shared" si="14"/>
        <v>4</v>
      </c>
    </row>
    <row r="92" spans="1:40" ht="15.75">
      <c r="A92" s="44" t="s">
        <v>171</v>
      </c>
      <c r="B92" s="74">
        <f t="shared" si="15"/>
        <v>1891</v>
      </c>
      <c r="C92" s="97">
        <f t="shared" si="16"/>
        <v>237</v>
      </c>
      <c r="D92" s="75">
        <f t="shared" si="17"/>
        <v>7533.8424000000005</v>
      </c>
      <c r="E92" s="266">
        <f t="shared" si="18"/>
        <v>5878.1205</v>
      </c>
      <c r="F92" s="76">
        <f t="shared" si="19"/>
        <v>1655.7219000000002</v>
      </c>
      <c r="G92" s="93">
        <f t="shared" si="12"/>
        <v>9.4000000000000004E-3</v>
      </c>
      <c r="H92" s="94">
        <f t="shared" si="12"/>
        <v>3.5403394736842109</v>
      </c>
      <c r="I92" s="276">
        <f t="shared" si="13"/>
        <v>17.777777777777779</v>
      </c>
      <c r="J92" s="276">
        <f t="shared" si="13"/>
        <v>23.833333333333336</v>
      </c>
      <c r="K92" s="276">
        <v>17.34</v>
      </c>
      <c r="L92" s="279">
        <f t="shared" si="21"/>
        <v>1.14E-2</v>
      </c>
      <c r="M92" s="118">
        <f t="shared" si="22"/>
        <v>9.7000000000000003E-3</v>
      </c>
      <c r="N92">
        <f t="shared" si="20"/>
        <v>101593.51037732697</v>
      </c>
      <c r="P92" s="44" t="s">
        <v>102</v>
      </c>
      <c r="Q92" s="77">
        <f t="shared" si="14"/>
        <v>4.109</v>
      </c>
      <c r="R92" s="80">
        <f t="shared" si="14"/>
        <v>37789</v>
      </c>
      <c r="S92" s="76">
        <f t="shared" si="14"/>
        <v>16</v>
      </c>
      <c r="T92" s="77">
        <f t="shared" si="14"/>
        <v>2.798</v>
      </c>
      <c r="U92" s="80">
        <f t="shared" si="14"/>
        <v>37591</v>
      </c>
      <c r="V92" s="76">
        <f t="shared" si="14"/>
        <v>14</v>
      </c>
      <c r="W92" s="62">
        <f t="shared" si="14"/>
        <v>31.72</v>
      </c>
      <c r="X92" s="80">
        <f t="shared" si="14"/>
        <v>38176</v>
      </c>
      <c r="Y92" s="76">
        <f t="shared" si="14"/>
        <v>16</v>
      </c>
      <c r="Z92" s="62">
        <f t="shared" si="14"/>
        <v>8.89</v>
      </c>
      <c r="AA92" s="80">
        <f t="shared" si="14"/>
        <v>36897</v>
      </c>
      <c r="AB92" s="76">
        <f t="shared" si="14"/>
        <v>6</v>
      </c>
      <c r="AC92" s="93">
        <f t="shared" si="14"/>
        <v>1.78E-2</v>
      </c>
      <c r="AD92" s="80">
        <f t="shared" si="14"/>
        <v>37896</v>
      </c>
      <c r="AE92" s="76">
        <f t="shared" si="14"/>
        <v>9</v>
      </c>
      <c r="AF92" s="93">
        <f t="shared" si="14"/>
        <v>1.6999999999999999E-3</v>
      </c>
      <c r="AG92" s="80">
        <f t="shared" si="14"/>
        <v>36895</v>
      </c>
      <c r="AH92" s="76">
        <f t="shared" si="14"/>
        <v>24</v>
      </c>
      <c r="AI92" s="62">
        <f t="shared" si="14"/>
        <v>78.459999999999994</v>
      </c>
      <c r="AJ92" s="80">
        <f t="shared" si="14"/>
        <v>38262</v>
      </c>
      <c r="AK92" s="76">
        <f t="shared" si="14"/>
        <v>9</v>
      </c>
      <c r="AL92" s="62">
        <f t="shared" si="14"/>
        <v>11.97</v>
      </c>
      <c r="AM92" s="80">
        <f t="shared" si="14"/>
        <v>37566</v>
      </c>
      <c r="AN92" s="76">
        <f t="shared" si="14"/>
        <v>4</v>
      </c>
    </row>
    <row r="93" spans="1:40" ht="15.75">
      <c r="A93" s="44" t="s">
        <v>173</v>
      </c>
      <c r="B93" s="74">
        <f t="shared" si="15"/>
        <v>1697</v>
      </c>
      <c r="C93" s="97">
        <f t="shared" si="16"/>
        <v>215</v>
      </c>
      <c r="D93" s="75">
        <f t="shared" si="17"/>
        <v>6797.868300000001</v>
      </c>
      <c r="E93" s="266">
        <f t="shared" si="18"/>
        <v>5675.2953000000007</v>
      </c>
      <c r="F93" s="76">
        <f t="shared" si="19"/>
        <v>1122.5730000000001</v>
      </c>
      <c r="G93" s="93">
        <f t="shared" si="12"/>
        <v>8.8999999999999999E-3</v>
      </c>
      <c r="H93" s="94">
        <f t="shared" si="12"/>
        <v>3.5553704497907956</v>
      </c>
      <c r="I93" s="276">
        <f t="shared" si="13"/>
        <v>17.222222222222221</v>
      </c>
      <c r="J93" s="276">
        <f t="shared" si="13"/>
        <v>23.777777777777775</v>
      </c>
      <c r="K93" s="276">
        <v>16.850000000000001</v>
      </c>
      <c r="L93" s="279">
        <f t="shared" si="21"/>
        <v>1.03E-2</v>
      </c>
      <c r="M93" s="118">
        <f t="shared" si="22"/>
        <v>9.1000000000000004E-3</v>
      </c>
      <c r="N93">
        <f t="shared" si="20"/>
        <v>101593.51037732697</v>
      </c>
      <c r="P93" s="44" t="s">
        <v>356</v>
      </c>
      <c r="Q93" s="77">
        <f t="shared" si="14"/>
        <v>4.6210000000000004</v>
      </c>
      <c r="R93" s="80">
        <f t="shared" si="14"/>
        <v>37531</v>
      </c>
      <c r="S93" s="76">
        <f t="shared" si="14"/>
        <v>9</v>
      </c>
      <c r="T93" s="77">
        <f t="shared" si="14"/>
        <v>2.798</v>
      </c>
      <c r="U93" s="80">
        <f t="shared" si="14"/>
        <v>37591</v>
      </c>
      <c r="V93" s="76">
        <f t="shared" si="14"/>
        <v>14</v>
      </c>
      <c r="W93" s="62">
        <f t="shared" si="14"/>
        <v>31.61</v>
      </c>
      <c r="X93" s="80">
        <f t="shared" si="14"/>
        <v>37810</v>
      </c>
      <c r="Y93" s="76">
        <f t="shared" si="14"/>
        <v>16</v>
      </c>
      <c r="Z93" s="62">
        <f t="shared" si="14"/>
        <v>8.89</v>
      </c>
      <c r="AA93" s="80">
        <f t="shared" si="14"/>
        <v>36897</v>
      </c>
      <c r="AB93" s="76">
        <f t="shared" si="14"/>
        <v>6</v>
      </c>
      <c r="AC93" s="93">
        <f t="shared" si="14"/>
        <v>1.77E-2</v>
      </c>
      <c r="AD93" s="80">
        <f t="shared" si="14"/>
        <v>37447</v>
      </c>
      <c r="AE93" s="76">
        <f t="shared" si="14"/>
        <v>12</v>
      </c>
      <c r="AF93" s="93">
        <f t="shared" si="14"/>
        <v>1.6999999999999999E-3</v>
      </c>
      <c r="AG93" s="80">
        <f t="shared" si="14"/>
        <v>36895</v>
      </c>
      <c r="AH93" s="76">
        <f t="shared" si="14"/>
        <v>24</v>
      </c>
      <c r="AI93" s="62">
        <f t="shared" si="14"/>
        <v>81.37</v>
      </c>
      <c r="AJ93" s="80">
        <f t="shared" si="14"/>
        <v>38248</v>
      </c>
      <c r="AK93" s="76">
        <f t="shared" si="14"/>
        <v>9</v>
      </c>
      <c r="AL93" s="62">
        <f t="shared" si="14"/>
        <v>11.97</v>
      </c>
      <c r="AM93" s="80">
        <f t="shared" si="14"/>
        <v>37566</v>
      </c>
      <c r="AN93" s="76">
        <f t="shared" si="14"/>
        <v>4</v>
      </c>
    </row>
    <row r="94" spans="1:40" ht="15.75">
      <c r="A94" s="44" t="s">
        <v>174</v>
      </c>
      <c r="B94" s="74">
        <f t="shared" si="15"/>
        <v>2126</v>
      </c>
      <c r="C94" s="97">
        <f t="shared" si="16"/>
        <v>259</v>
      </c>
      <c r="D94" s="75">
        <f t="shared" si="17"/>
        <v>8136.1629000000012</v>
      </c>
      <c r="E94" s="266">
        <f t="shared" si="18"/>
        <v>6438.5277000000006</v>
      </c>
      <c r="F94" s="76">
        <f t="shared" si="19"/>
        <v>1697.6352000000002</v>
      </c>
      <c r="G94" s="93">
        <f t="shared" si="12"/>
        <v>9.1999999999999998E-3</v>
      </c>
      <c r="H94" s="94">
        <f t="shared" si="12"/>
        <v>3.4113890566037739</v>
      </c>
      <c r="I94" s="276">
        <f t="shared" si="13"/>
        <v>19.444444444444446</v>
      </c>
      <c r="J94" s="276">
        <f t="shared" si="13"/>
        <v>24.111111111111114</v>
      </c>
      <c r="K94" s="276">
        <v>17.3</v>
      </c>
      <c r="L94" s="279">
        <f t="shared" si="21"/>
        <v>1.1299999999999999E-2</v>
      </c>
      <c r="M94" s="118">
        <f t="shared" si="22"/>
        <v>9.4999999999999998E-3</v>
      </c>
      <c r="N94">
        <f t="shared" si="20"/>
        <v>101593.51037732697</v>
      </c>
      <c r="P94" s="44" t="s">
        <v>105</v>
      </c>
      <c r="Q94" s="77">
        <f t="shared" si="14"/>
        <v>3.8889999999999998</v>
      </c>
      <c r="R94" s="80">
        <f t="shared" si="14"/>
        <v>37738</v>
      </c>
      <c r="S94" s="76">
        <f t="shared" si="14"/>
        <v>5</v>
      </c>
      <c r="T94" s="77">
        <f t="shared" si="14"/>
        <v>2.798</v>
      </c>
      <c r="U94" s="80">
        <f t="shared" si="14"/>
        <v>38322</v>
      </c>
      <c r="V94" s="76">
        <f t="shared" si="14"/>
        <v>14</v>
      </c>
      <c r="W94" s="62">
        <f t="shared" si="14"/>
        <v>34.94</v>
      </c>
      <c r="X94" s="80">
        <f t="shared" si="14"/>
        <v>37795</v>
      </c>
      <c r="Y94" s="76">
        <f t="shared" si="14"/>
        <v>24</v>
      </c>
      <c r="Z94" s="62">
        <f t="shared" si="14"/>
        <v>8.89</v>
      </c>
      <c r="AA94" s="80">
        <f t="shared" si="14"/>
        <v>36897</v>
      </c>
      <c r="AB94" s="76">
        <f t="shared" si="14"/>
        <v>6</v>
      </c>
      <c r="AC94" s="93">
        <f t="shared" si="14"/>
        <v>1.9900000000000001E-2</v>
      </c>
      <c r="AD94" s="80">
        <f t="shared" si="14"/>
        <v>37470</v>
      </c>
      <c r="AE94" s="76">
        <f t="shared" si="14"/>
        <v>22</v>
      </c>
      <c r="AF94" s="93">
        <f t="shared" si="14"/>
        <v>1.6999999999999999E-3</v>
      </c>
      <c r="AG94" s="80">
        <f t="shared" si="14"/>
        <v>36895</v>
      </c>
      <c r="AH94" s="76">
        <f t="shared" si="14"/>
        <v>24</v>
      </c>
      <c r="AI94" s="62">
        <f t="shared" si="14"/>
        <v>81.12</v>
      </c>
      <c r="AJ94" s="80">
        <f t="shared" si="14"/>
        <v>37840</v>
      </c>
      <c r="AK94" s="76">
        <f t="shared" si="14"/>
        <v>21</v>
      </c>
      <c r="AL94" s="62">
        <f t="shared" si="14"/>
        <v>11.97</v>
      </c>
      <c r="AM94" s="80">
        <f t="shared" si="14"/>
        <v>37566</v>
      </c>
      <c r="AN94" s="76">
        <f t="shared" si="14"/>
        <v>4</v>
      </c>
    </row>
    <row r="95" spans="1:40" ht="15.75">
      <c r="A95" s="44" t="s">
        <v>176</v>
      </c>
      <c r="B95" s="74">
        <f t="shared" si="15"/>
        <v>3198</v>
      </c>
      <c r="C95" s="97">
        <f t="shared" si="16"/>
        <v>352</v>
      </c>
      <c r="D95" s="75">
        <f t="shared" si="17"/>
        <v>11075.955900000001</v>
      </c>
      <c r="E95" s="266">
        <f t="shared" si="18"/>
        <v>8342.2121999999999</v>
      </c>
      <c r="F95" s="76">
        <f t="shared" si="19"/>
        <v>2733.7437000000004</v>
      </c>
      <c r="G95" s="93">
        <f t="shared" si="12"/>
        <v>0.01</v>
      </c>
      <c r="H95" s="94">
        <f t="shared" si="12"/>
        <v>3.1199875774647889</v>
      </c>
      <c r="I95" s="276">
        <f t="shared" si="13"/>
        <v>25</v>
      </c>
      <c r="J95" s="276">
        <f t="shared" si="13"/>
        <v>24.944444444444446</v>
      </c>
      <c r="K95" s="276">
        <v>18.39</v>
      </c>
      <c r="L95" s="279">
        <f t="shared" si="21"/>
        <v>1.3299999999999999E-2</v>
      </c>
      <c r="M95" s="118">
        <f t="shared" si="22"/>
        <v>1.0500000000000001E-2</v>
      </c>
      <c r="N95">
        <f t="shared" si="20"/>
        <v>101593.51037732697</v>
      </c>
      <c r="P95" s="44" t="s">
        <v>108</v>
      </c>
      <c r="Q95" s="77">
        <f t="shared" si="14"/>
        <v>4.4279999999999999</v>
      </c>
      <c r="R95" s="80">
        <f t="shared" si="14"/>
        <v>37533</v>
      </c>
      <c r="S95" s="76">
        <f t="shared" si="14"/>
        <v>24</v>
      </c>
      <c r="T95" s="77">
        <f t="shared" si="14"/>
        <v>2.7989999999999999</v>
      </c>
      <c r="U95" s="80">
        <f t="shared" si="14"/>
        <v>37591</v>
      </c>
      <c r="V95" s="76">
        <f t="shared" si="14"/>
        <v>14</v>
      </c>
      <c r="W95" s="62">
        <f t="shared" si="14"/>
        <v>32.78</v>
      </c>
      <c r="X95" s="80">
        <f t="shared" si="14"/>
        <v>37457</v>
      </c>
      <c r="Y95" s="76">
        <f t="shared" si="14"/>
        <v>15</v>
      </c>
      <c r="Z95" s="62">
        <f t="shared" si="14"/>
        <v>8.89</v>
      </c>
      <c r="AA95" s="80">
        <f t="shared" si="14"/>
        <v>36897</v>
      </c>
      <c r="AB95" s="76">
        <f t="shared" si="14"/>
        <v>6</v>
      </c>
      <c r="AC95" s="93">
        <f t="shared" si="14"/>
        <v>1.38E-2</v>
      </c>
      <c r="AD95" s="80">
        <f t="shared" si="14"/>
        <v>37211</v>
      </c>
      <c r="AE95" s="76">
        <f t="shared" si="14"/>
        <v>16</v>
      </c>
      <c r="AF95" s="93">
        <f t="shared" si="14"/>
        <v>1.6999999999999999E-3</v>
      </c>
      <c r="AG95" s="80">
        <f t="shared" si="14"/>
        <v>36895</v>
      </c>
      <c r="AH95" s="76">
        <f t="shared" si="14"/>
        <v>24</v>
      </c>
      <c r="AI95" s="62">
        <f t="shared" si="14"/>
        <v>69.349999999999994</v>
      </c>
      <c r="AJ95" s="80">
        <f t="shared" si="14"/>
        <v>37576</v>
      </c>
      <c r="AK95" s="76">
        <f t="shared" si="14"/>
        <v>16</v>
      </c>
      <c r="AL95" s="62">
        <f t="shared" si="14"/>
        <v>11.97</v>
      </c>
      <c r="AM95" s="80">
        <f t="shared" si="14"/>
        <v>37566</v>
      </c>
      <c r="AN95" s="76">
        <f t="shared" si="14"/>
        <v>4</v>
      </c>
    </row>
    <row r="96" spans="1:40" ht="15.75">
      <c r="A96" s="44" t="s">
        <v>178</v>
      </c>
      <c r="B96" s="74">
        <f t="shared" si="15"/>
        <v>3135</v>
      </c>
      <c r="C96" s="97">
        <f t="shared" si="16"/>
        <v>332</v>
      </c>
      <c r="D96" s="75">
        <f t="shared" si="17"/>
        <v>10290.741000000002</v>
      </c>
      <c r="E96" s="266">
        <f t="shared" si="18"/>
        <v>9069.9795000000013</v>
      </c>
      <c r="F96" s="76">
        <f t="shared" si="19"/>
        <v>1220.7615000000001</v>
      </c>
      <c r="G96" s="93">
        <f t="shared" si="12"/>
        <v>9.4000000000000004E-3</v>
      </c>
      <c r="H96" s="94">
        <f t="shared" si="12"/>
        <v>2.9681975771560434</v>
      </c>
      <c r="I96" s="276">
        <f t="shared" si="13"/>
        <v>27.222222222222221</v>
      </c>
      <c r="J96" s="276">
        <f t="shared" si="13"/>
        <v>25.277777777777779</v>
      </c>
      <c r="K96" s="276">
        <v>17.78</v>
      </c>
      <c r="L96" s="279">
        <f t="shared" si="21"/>
        <v>1.09E-2</v>
      </c>
      <c r="M96" s="118">
        <f t="shared" si="22"/>
        <v>9.5999999999999992E-3</v>
      </c>
      <c r="N96">
        <f t="shared" si="20"/>
        <v>101593.51037732697</v>
      </c>
      <c r="P96" s="44" t="s">
        <v>109</v>
      </c>
      <c r="Q96" s="77">
        <f t="shared" si="14"/>
        <v>4.0880000000000001</v>
      </c>
      <c r="R96" s="80">
        <f t="shared" si="14"/>
        <v>37789</v>
      </c>
      <c r="S96" s="76">
        <f t="shared" si="14"/>
        <v>16</v>
      </c>
      <c r="T96" s="77">
        <f t="shared" si="14"/>
        <v>2.734</v>
      </c>
      <c r="U96" s="80">
        <f t="shared" si="14"/>
        <v>37593</v>
      </c>
      <c r="V96" s="76">
        <f t="shared" si="14"/>
        <v>15</v>
      </c>
      <c r="W96" s="62">
        <f t="shared" si="14"/>
        <v>27.56</v>
      </c>
      <c r="X96" s="80">
        <f t="shared" si="14"/>
        <v>37880</v>
      </c>
      <c r="Y96" s="76">
        <f t="shared" si="14"/>
        <v>16</v>
      </c>
      <c r="Z96" s="62">
        <f t="shared" si="14"/>
        <v>8.89</v>
      </c>
      <c r="AA96" s="80">
        <f t="shared" si="14"/>
        <v>36897</v>
      </c>
      <c r="AB96" s="76">
        <f t="shared" si="14"/>
        <v>6</v>
      </c>
      <c r="AC96" s="93">
        <f t="shared" si="14"/>
        <v>1.7000000000000001E-2</v>
      </c>
      <c r="AD96" s="80">
        <f t="shared" si="14"/>
        <v>37351</v>
      </c>
      <c r="AE96" s="76">
        <f t="shared" si="14"/>
        <v>21</v>
      </c>
      <c r="AF96" s="93">
        <f t="shared" si="14"/>
        <v>1.6999999999999999E-3</v>
      </c>
      <c r="AG96" s="80">
        <f t="shared" si="14"/>
        <v>36895</v>
      </c>
      <c r="AH96" s="76">
        <f t="shared" si="14"/>
        <v>24</v>
      </c>
      <c r="AI96" s="62">
        <f t="shared" si="14"/>
        <v>85.57</v>
      </c>
      <c r="AJ96" s="80">
        <f t="shared" si="14"/>
        <v>37351</v>
      </c>
      <c r="AK96" s="76">
        <f t="shared" si="14"/>
        <v>21</v>
      </c>
      <c r="AL96" s="62">
        <f t="shared" si="14"/>
        <v>11.97</v>
      </c>
      <c r="AM96" s="80">
        <f t="shared" si="14"/>
        <v>37566</v>
      </c>
      <c r="AN96" s="76">
        <f t="shared" si="14"/>
        <v>4</v>
      </c>
    </row>
    <row r="97" spans="1:40" ht="15.75">
      <c r="A97" s="44" t="s">
        <v>180</v>
      </c>
      <c r="B97" s="74">
        <f t="shared" si="15"/>
        <v>4528</v>
      </c>
      <c r="C97" s="97">
        <f t="shared" si="16"/>
        <v>469</v>
      </c>
      <c r="D97" s="75">
        <f t="shared" si="17"/>
        <v>14785.722600000001</v>
      </c>
      <c r="E97" s="266">
        <f t="shared" si="18"/>
        <v>11872.601700000001</v>
      </c>
      <c r="F97" s="76">
        <f t="shared" si="19"/>
        <v>2913.1209000000003</v>
      </c>
      <c r="G97" s="93">
        <f t="shared" si="12"/>
        <v>9.9000000000000008E-3</v>
      </c>
      <c r="H97" s="94">
        <f t="shared" si="12"/>
        <v>2.958919871923154</v>
      </c>
      <c r="I97" s="276">
        <f t="shared" si="13"/>
        <v>28.888888888888886</v>
      </c>
      <c r="J97" s="276">
        <f t="shared" si="13"/>
        <v>25.555555555555554</v>
      </c>
      <c r="K97" s="276">
        <v>18.36</v>
      </c>
      <c r="L97" s="279">
        <f t="shared" si="21"/>
        <v>1.17E-2</v>
      </c>
      <c r="M97" s="118">
        <f t="shared" si="22"/>
        <v>1.0200000000000001E-2</v>
      </c>
      <c r="N97">
        <f t="shared" si="20"/>
        <v>101593.51037732697</v>
      </c>
      <c r="P97" s="44" t="s">
        <v>111</v>
      </c>
      <c r="Q97" s="77">
        <f t="shared" si="14"/>
        <v>3.903</v>
      </c>
      <c r="R97" s="80">
        <f t="shared" si="14"/>
        <v>37376</v>
      </c>
      <c r="S97" s="76">
        <f t="shared" si="14"/>
        <v>15</v>
      </c>
      <c r="T97" s="77">
        <f t="shared" si="14"/>
        <v>2.798</v>
      </c>
      <c r="U97" s="80">
        <f t="shared" si="14"/>
        <v>38322</v>
      </c>
      <c r="V97" s="76">
        <f t="shared" si="14"/>
        <v>14</v>
      </c>
      <c r="W97" s="62">
        <f t="shared" si="14"/>
        <v>25.11</v>
      </c>
      <c r="X97" s="80">
        <f t="shared" si="14"/>
        <v>37368</v>
      </c>
      <c r="Y97" s="76">
        <f t="shared" si="14"/>
        <v>15</v>
      </c>
      <c r="Z97" s="62">
        <f t="shared" si="14"/>
        <v>8.89</v>
      </c>
      <c r="AA97" s="80">
        <f t="shared" si="14"/>
        <v>36897</v>
      </c>
      <c r="AB97" s="76">
        <f t="shared" si="14"/>
        <v>6</v>
      </c>
      <c r="AC97" s="93">
        <f t="shared" si="14"/>
        <v>1.6899999999999998E-2</v>
      </c>
      <c r="AD97" s="80">
        <f t="shared" si="14"/>
        <v>37348</v>
      </c>
      <c r="AE97" s="76">
        <f t="shared" si="14"/>
        <v>5</v>
      </c>
      <c r="AF97" s="93">
        <f t="shared" si="14"/>
        <v>1.6999999999999999E-3</v>
      </c>
      <c r="AG97" s="80">
        <f t="shared" si="14"/>
        <v>36895</v>
      </c>
      <c r="AH97" s="76">
        <f t="shared" si="14"/>
        <v>24</v>
      </c>
      <c r="AI97" s="62">
        <f t="shared" si="14"/>
        <v>84.79</v>
      </c>
      <c r="AJ97" s="80">
        <f t="shared" si="14"/>
        <v>37348</v>
      </c>
      <c r="AK97" s="76">
        <f t="shared" si="14"/>
        <v>5</v>
      </c>
      <c r="AL97" s="62">
        <f t="shared" si="14"/>
        <v>11.97</v>
      </c>
      <c r="AM97" s="80">
        <f t="shared" si="14"/>
        <v>37566</v>
      </c>
      <c r="AN97" s="76">
        <f t="shared" si="14"/>
        <v>4</v>
      </c>
    </row>
    <row r="98" spans="1:40" ht="15.75">
      <c r="A98" s="44" t="s">
        <v>183</v>
      </c>
      <c r="B98" s="74">
        <f t="shared" si="15"/>
        <v>4651</v>
      </c>
      <c r="C98" s="97">
        <f t="shared" si="16"/>
        <v>479</v>
      </c>
      <c r="D98" s="75">
        <f t="shared" si="17"/>
        <v>15339.974700000001</v>
      </c>
      <c r="E98" s="266">
        <f t="shared" si="18"/>
        <v>12039.0825</v>
      </c>
      <c r="F98" s="76">
        <f t="shared" si="19"/>
        <v>3300.8922000000002</v>
      </c>
      <c r="G98" s="93">
        <f t="shared" si="12"/>
        <v>1.03E-2</v>
      </c>
      <c r="H98" s="94">
        <f t="shared" si="12"/>
        <v>2.990248479532164</v>
      </c>
      <c r="I98" s="276">
        <f t="shared" si="13"/>
        <v>28.888888888888886</v>
      </c>
      <c r="J98" s="276">
        <f t="shared" si="13"/>
        <v>25.555555555555554</v>
      </c>
      <c r="K98" s="276">
        <v>18.68</v>
      </c>
      <c r="L98" s="279">
        <f t="shared" si="21"/>
        <v>1.2500000000000001E-2</v>
      </c>
      <c r="M98" s="118">
        <f t="shared" si="22"/>
        <v>1.06E-2</v>
      </c>
      <c r="N98">
        <f t="shared" si="20"/>
        <v>101593.51037732697</v>
      </c>
      <c r="P98" s="44" t="s">
        <v>112</v>
      </c>
      <c r="Q98" s="77">
        <f t="shared" si="14"/>
        <v>3.8069999999999999</v>
      </c>
      <c r="R98" s="80">
        <f t="shared" si="14"/>
        <v>37762</v>
      </c>
      <c r="S98" s="76">
        <f t="shared" si="14"/>
        <v>15</v>
      </c>
      <c r="T98" s="77">
        <f t="shared" si="14"/>
        <v>2.798</v>
      </c>
      <c r="U98" s="80">
        <f t="shared" si="14"/>
        <v>38322</v>
      </c>
      <c r="V98" s="76">
        <f t="shared" si="14"/>
        <v>14</v>
      </c>
      <c r="W98" s="62">
        <f t="shared" si="14"/>
        <v>25.11</v>
      </c>
      <c r="X98" s="80">
        <f t="shared" si="14"/>
        <v>37368</v>
      </c>
      <c r="Y98" s="76">
        <f t="shared" si="14"/>
        <v>15</v>
      </c>
      <c r="Z98" s="62">
        <f t="shared" si="14"/>
        <v>8.89</v>
      </c>
      <c r="AA98" s="80">
        <f t="shared" si="14"/>
        <v>36897</v>
      </c>
      <c r="AB98" s="76">
        <f t="shared" si="14"/>
        <v>6</v>
      </c>
      <c r="AC98" s="93">
        <f t="shared" si="14"/>
        <v>1.47E-2</v>
      </c>
      <c r="AD98" s="80">
        <f t="shared" si="14"/>
        <v>37712</v>
      </c>
      <c r="AE98" s="76">
        <f t="shared" si="14"/>
        <v>21</v>
      </c>
      <c r="AF98" s="93">
        <f t="shared" si="14"/>
        <v>1.6999999999999999E-3</v>
      </c>
      <c r="AG98" s="80">
        <f t="shared" si="14"/>
        <v>36895</v>
      </c>
      <c r="AH98" s="76">
        <f t="shared" si="14"/>
        <v>24</v>
      </c>
      <c r="AI98" s="62">
        <f t="shared" si="14"/>
        <v>74.510000000000005</v>
      </c>
      <c r="AJ98" s="80">
        <f t="shared" si="14"/>
        <v>37728</v>
      </c>
      <c r="AK98" s="76">
        <f t="shared" si="14"/>
        <v>7</v>
      </c>
      <c r="AL98" s="62">
        <f t="shared" si="14"/>
        <v>11.97</v>
      </c>
      <c r="AM98" s="80">
        <f t="shared" si="14"/>
        <v>37566</v>
      </c>
      <c r="AN98" s="76">
        <f t="shared" si="14"/>
        <v>4</v>
      </c>
    </row>
    <row r="99" spans="1:40" ht="15.75">
      <c r="A99" s="44" t="s">
        <v>186</v>
      </c>
      <c r="B99" s="74">
        <f t="shared" si="15"/>
        <v>5434</v>
      </c>
      <c r="C99" s="97">
        <f t="shared" si="16"/>
        <v>537</v>
      </c>
      <c r="D99" s="75">
        <f t="shared" si="17"/>
        <v>17455.277400000003</v>
      </c>
      <c r="E99" s="266">
        <f t="shared" si="18"/>
        <v>12811.987200000003</v>
      </c>
      <c r="F99" s="76">
        <f t="shared" si="19"/>
        <v>4643.2902000000004</v>
      </c>
      <c r="G99" s="93">
        <f t="shared" si="12"/>
        <v>1.09E-2</v>
      </c>
      <c r="H99" s="94">
        <f t="shared" si="12"/>
        <v>2.9233423882096807</v>
      </c>
      <c r="I99" s="276">
        <f t="shared" si="13"/>
        <v>31.111111111111111</v>
      </c>
      <c r="J99" s="276">
        <f t="shared" si="13"/>
        <v>25.888888888888882</v>
      </c>
      <c r="K99" s="276">
        <v>19.48</v>
      </c>
      <c r="L99" s="279">
        <f t="shared" si="21"/>
        <v>1.4800000000000001E-2</v>
      </c>
      <c r="M99" s="118">
        <f t="shared" si="22"/>
        <v>1.15E-2</v>
      </c>
      <c r="N99">
        <f t="shared" si="20"/>
        <v>101593.51037732697</v>
      </c>
      <c r="P99" s="44" t="s">
        <v>113</v>
      </c>
      <c r="Q99" s="77">
        <f t="shared" si="14"/>
        <v>3.8050000000000002</v>
      </c>
      <c r="R99" s="80">
        <f t="shared" si="14"/>
        <v>37918</v>
      </c>
      <c r="S99" s="76">
        <f t="shared" si="14"/>
        <v>15</v>
      </c>
      <c r="T99" s="77">
        <f t="shared" si="14"/>
        <v>2.734</v>
      </c>
      <c r="U99" s="80">
        <f t="shared" si="14"/>
        <v>37593</v>
      </c>
      <c r="V99" s="76">
        <f t="shared" si="14"/>
        <v>13</v>
      </c>
      <c r="W99" s="62">
        <f t="shared" si="14"/>
        <v>25.11</v>
      </c>
      <c r="X99" s="80">
        <f t="shared" si="14"/>
        <v>37368</v>
      </c>
      <c r="Y99" s="76">
        <f t="shared" si="14"/>
        <v>15</v>
      </c>
      <c r="Z99" s="62">
        <f t="shared" si="14"/>
        <v>8.89</v>
      </c>
      <c r="AA99" s="80">
        <f t="shared" si="14"/>
        <v>36897</v>
      </c>
      <c r="AB99" s="76">
        <f t="shared" si="14"/>
        <v>6</v>
      </c>
      <c r="AC99" s="93">
        <f t="shared" si="14"/>
        <v>1.5599999999999999E-2</v>
      </c>
      <c r="AD99" s="80">
        <f t="shared" si="14"/>
        <v>37348</v>
      </c>
      <c r="AE99" s="76">
        <f t="shared" si="14"/>
        <v>4</v>
      </c>
      <c r="AF99" s="93">
        <f t="shared" ref="AF99:AN99" si="23">AF183</f>
        <v>1.6999999999999999E-3</v>
      </c>
      <c r="AG99" s="80">
        <f t="shared" si="23"/>
        <v>36895</v>
      </c>
      <c r="AH99" s="76">
        <f t="shared" si="23"/>
        <v>24</v>
      </c>
      <c r="AI99" s="62">
        <f t="shared" si="23"/>
        <v>78.430000000000007</v>
      </c>
      <c r="AJ99" s="80">
        <f t="shared" si="23"/>
        <v>37348</v>
      </c>
      <c r="AK99" s="76">
        <f t="shared" si="23"/>
        <v>4</v>
      </c>
      <c r="AL99" s="62">
        <f t="shared" si="23"/>
        <v>11.97</v>
      </c>
      <c r="AM99" s="80">
        <f t="shared" si="23"/>
        <v>37566</v>
      </c>
      <c r="AN99" s="76">
        <f t="shared" si="23"/>
        <v>4</v>
      </c>
    </row>
    <row r="100" spans="1:40" ht="15.75">
      <c r="A100" s="44" t="s">
        <v>187</v>
      </c>
      <c r="B100" s="74">
        <f t="shared" si="15"/>
        <v>5019</v>
      </c>
      <c r="C100" s="97">
        <f t="shared" si="16"/>
        <v>498</v>
      </c>
      <c r="D100" s="75">
        <f t="shared" si="17"/>
        <v>16215.171300000002</v>
      </c>
      <c r="E100" s="266">
        <f t="shared" si="18"/>
        <v>12612.093000000001</v>
      </c>
      <c r="F100" s="76">
        <f t="shared" si="19"/>
        <v>3603.0783000000001</v>
      </c>
      <c r="G100" s="93">
        <f t="shared" si="12"/>
        <v>1.0800000000000001E-2</v>
      </c>
      <c r="H100" s="94">
        <f t="shared" si="12"/>
        <v>2.9391283849918439</v>
      </c>
      <c r="I100" s="276">
        <f t="shared" si="13"/>
        <v>30.555555555555557</v>
      </c>
      <c r="J100" s="276">
        <f t="shared" si="13"/>
        <v>25.833333333333336</v>
      </c>
      <c r="K100" s="276">
        <v>19.23</v>
      </c>
      <c r="L100" s="279">
        <f t="shared" si="21"/>
        <v>1.34E-2</v>
      </c>
      <c r="M100" s="118">
        <f t="shared" si="22"/>
        <v>1.12E-2</v>
      </c>
      <c r="N100">
        <f t="shared" si="20"/>
        <v>101593.51037732697</v>
      </c>
      <c r="P100" s="45" t="s">
        <v>114</v>
      </c>
      <c r="Q100" s="77">
        <f t="shared" ref="Q100:AN108" si="24">Q184</f>
        <v>3.774</v>
      </c>
      <c r="R100" s="80">
        <f t="shared" si="24"/>
        <v>37526</v>
      </c>
      <c r="S100" s="76">
        <f t="shared" si="24"/>
        <v>15</v>
      </c>
      <c r="T100" s="77">
        <f t="shared" si="24"/>
        <v>2.734</v>
      </c>
      <c r="U100" s="80">
        <f t="shared" si="24"/>
        <v>37593</v>
      </c>
      <c r="V100" s="76">
        <f t="shared" si="24"/>
        <v>13</v>
      </c>
      <c r="W100" s="62">
        <f t="shared" si="24"/>
        <v>25.11</v>
      </c>
      <c r="X100" s="82">
        <f t="shared" si="24"/>
        <v>37368</v>
      </c>
      <c r="Y100" s="85">
        <f t="shared" si="24"/>
        <v>15</v>
      </c>
      <c r="Z100" s="62">
        <f t="shared" si="24"/>
        <v>8.89</v>
      </c>
      <c r="AA100" s="80">
        <f t="shared" si="24"/>
        <v>36897</v>
      </c>
      <c r="AB100" s="76">
        <f t="shared" si="24"/>
        <v>6</v>
      </c>
      <c r="AC100" s="98">
        <f t="shared" si="24"/>
        <v>1.38E-2</v>
      </c>
      <c r="AD100" s="82">
        <f t="shared" si="24"/>
        <v>37211</v>
      </c>
      <c r="AE100" s="85">
        <f t="shared" si="24"/>
        <v>16</v>
      </c>
      <c r="AF100" s="98">
        <f t="shared" si="24"/>
        <v>1.6999999999999999E-3</v>
      </c>
      <c r="AG100" s="82">
        <f t="shared" si="24"/>
        <v>36895</v>
      </c>
      <c r="AH100" s="85">
        <f t="shared" si="24"/>
        <v>24</v>
      </c>
      <c r="AI100" s="62">
        <f t="shared" si="24"/>
        <v>69.349999999999994</v>
      </c>
      <c r="AJ100" s="80">
        <f t="shared" si="24"/>
        <v>37576</v>
      </c>
      <c r="AK100" s="76">
        <f t="shared" si="24"/>
        <v>16</v>
      </c>
      <c r="AL100" s="62">
        <f t="shared" si="24"/>
        <v>11.97</v>
      </c>
      <c r="AM100" s="80">
        <f t="shared" si="24"/>
        <v>37566</v>
      </c>
      <c r="AN100" s="76">
        <f t="shared" si="24"/>
        <v>4</v>
      </c>
    </row>
    <row r="101" spans="1:40" ht="15.75">
      <c r="A101" s="44" t="s">
        <v>191</v>
      </c>
      <c r="B101" s="74">
        <f t="shared" si="15"/>
        <v>6040</v>
      </c>
      <c r="C101" s="97">
        <f t="shared" si="16"/>
        <v>597</v>
      </c>
      <c r="D101" s="75">
        <f t="shared" si="17"/>
        <v>19722.992100000003</v>
      </c>
      <c r="E101" s="266">
        <f t="shared" si="18"/>
        <v>17139.022500000003</v>
      </c>
      <c r="F101" s="76">
        <f t="shared" si="19"/>
        <v>2583.9696000000004</v>
      </c>
      <c r="G101" s="93">
        <f t="shared" si="12"/>
        <v>1.01E-2</v>
      </c>
      <c r="H101" s="94">
        <f t="shared" si="12"/>
        <v>2.9716727587765561</v>
      </c>
      <c r="I101" s="276">
        <f t="shared" si="13"/>
        <v>31.111111111111111</v>
      </c>
      <c r="J101" s="276">
        <f t="shared" si="13"/>
        <v>25.944444444444446</v>
      </c>
      <c r="K101" s="276">
        <v>18.559999999999999</v>
      </c>
      <c r="L101" s="279">
        <f t="shared" si="21"/>
        <v>1.15E-2</v>
      </c>
      <c r="M101" s="118">
        <f t="shared" ref="M101:M112" si="25">M185</f>
        <v>1.03E-2</v>
      </c>
      <c r="N101">
        <f t="shared" si="20"/>
        <v>101593.51037732697</v>
      </c>
      <c r="P101" s="44" t="s">
        <v>116</v>
      </c>
      <c r="Q101" s="77">
        <f t="shared" si="24"/>
        <v>7.367</v>
      </c>
      <c r="R101" s="80">
        <f t="shared" si="24"/>
        <v>38057</v>
      </c>
      <c r="S101" s="76">
        <f t="shared" si="24"/>
        <v>10</v>
      </c>
      <c r="T101" s="77">
        <f t="shared" si="24"/>
        <v>2.6930000000000001</v>
      </c>
      <c r="U101" s="80">
        <f t="shared" si="24"/>
        <v>37466</v>
      </c>
      <c r="V101" s="76">
        <f t="shared" si="24"/>
        <v>12</v>
      </c>
      <c r="W101" s="62">
        <f t="shared" si="24"/>
        <v>25.11</v>
      </c>
      <c r="X101" s="80">
        <f t="shared" si="24"/>
        <v>37002</v>
      </c>
      <c r="Y101" s="76">
        <f t="shared" si="24"/>
        <v>16</v>
      </c>
      <c r="Z101" s="62">
        <f t="shared" si="24"/>
        <v>8.17</v>
      </c>
      <c r="AA101" s="80">
        <f t="shared" si="24"/>
        <v>38341</v>
      </c>
      <c r="AB101" s="76">
        <f t="shared" si="24"/>
        <v>12</v>
      </c>
      <c r="AC101" s="93">
        <f t="shared" si="24"/>
        <v>1.1900000000000001E-2</v>
      </c>
      <c r="AD101" s="80">
        <f t="shared" si="24"/>
        <v>38188</v>
      </c>
      <c r="AE101" s="76">
        <f t="shared" si="24"/>
        <v>15</v>
      </c>
      <c r="AF101" s="93" t="str">
        <f t="shared" si="24"/>
        <v>system off gives 0.000</v>
      </c>
      <c r="AG101" s="80">
        <f t="shared" si="24"/>
        <v>0</v>
      </c>
      <c r="AH101" s="76">
        <f t="shared" si="24"/>
        <v>0</v>
      </c>
      <c r="AI101" s="62" t="str">
        <f t="shared" si="24"/>
        <v>system off gives 0.000</v>
      </c>
      <c r="AJ101" s="80">
        <f t="shared" si="24"/>
        <v>0</v>
      </c>
      <c r="AK101" s="76">
        <f t="shared" si="24"/>
        <v>0</v>
      </c>
      <c r="AL101" s="62" t="str">
        <f t="shared" si="24"/>
        <v>system off gives 0.000</v>
      </c>
      <c r="AM101" s="80">
        <f t="shared" si="24"/>
        <v>0</v>
      </c>
      <c r="AN101" s="76">
        <f t="shared" si="24"/>
        <v>0</v>
      </c>
    </row>
    <row r="102" spans="1:40" ht="15.75">
      <c r="A102" s="44" t="s">
        <v>194</v>
      </c>
      <c r="B102" s="74">
        <f t="shared" si="15"/>
        <v>6420</v>
      </c>
      <c r="C102" s="97">
        <f t="shared" si="16"/>
        <v>633</v>
      </c>
      <c r="D102" s="75">
        <f t="shared" si="17"/>
        <v>20808.341400000001</v>
      </c>
      <c r="E102" s="266">
        <f t="shared" si="18"/>
        <v>17638.1718</v>
      </c>
      <c r="F102" s="76">
        <f t="shared" si="19"/>
        <v>3170.1696000000002</v>
      </c>
      <c r="G102" s="93">
        <f t="shared" si="12"/>
        <v>0.01</v>
      </c>
      <c r="H102" s="94">
        <f t="shared" si="12"/>
        <v>2.9502823479370481</v>
      </c>
      <c r="I102" s="276">
        <f t="shared" si="13"/>
        <v>31.666666666666664</v>
      </c>
      <c r="J102" s="276">
        <f t="shared" si="13"/>
        <v>26.055555555555561</v>
      </c>
      <c r="K102" s="276">
        <v>18.600000000000001</v>
      </c>
      <c r="L102" s="279">
        <f t="shared" si="21"/>
        <v>1.21E-2</v>
      </c>
      <c r="M102" s="118">
        <f t="shared" si="25"/>
        <v>1.03E-2</v>
      </c>
      <c r="N102">
        <f t="shared" si="20"/>
        <v>101593.51037732697</v>
      </c>
      <c r="P102" s="44" t="s">
        <v>121</v>
      </c>
      <c r="Q102" s="77">
        <f t="shared" si="24"/>
        <v>7.367</v>
      </c>
      <c r="R102" s="80">
        <f t="shared" si="24"/>
        <v>38057</v>
      </c>
      <c r="S102" s="76">
        <f t="shared" si="24"/>
        <v>10</v>
      </c>
      <c r="T102" s="77">
        <f t="shared" si="24"/>
        <v>2.8170000000000002</v>
      </c>
      <c r="U102" s="80">
        <f t="shared" si="24"/>
        <v>38082</v>
      </c>
      <c r="V102" s="76">
        <f t="shared" si="24"/>
        <v>17</v>
      </c>
      <c r="W102" s="62">
        <f t="shared" si="24"/>
        <v>25.11</v>
      </c>
      <c r="X102" s="80">
        <f t="shared" si="24"/>
        <v>37002</v>
      </c>
      <c r="Y102" s="76">
        <f t="shared" si="24"/>
        <v>3</v>
      </c>
      <c r="Z102" s="62">
        <f t="shared" si="24"/>
        <v>8.17</v>
      </c>
      <c r="AA102" s="80">
        <f t="shared" si="24"/>
        <v>38341</v>
      </c>
      <c r="AB102" s="76">
        <f t="shared" si="24"/>
        <v>12</v>
      </c>
      <c r="AC102" s="93">
        <f t="shared" si="24"/>
        <v>1.1900000000000001E-2</v>
      </c>
      <c r="AD102" s="80">
        <f t="shared" si="24"/>
        <v>37092</v>
      </c>
      <c r="AE102" s="76">
        <f t="shared" si="24"/>
        <v>15</v>
      </c>
      <c r="AF102" s="93" t="str">
        <f t="shared" si="24"/>
        <v>system off gives 0.000</v>
      </c>
      <c r="AG102" s="80">
        <f t="shared" si="24"/>
        <v>0</v>
      </c>
      <c r="AH102" s="76">
        <f t="shared" si="24"/>
        <v>0</v>
      </c>
      <c r="AI102" s="62" t="str">
        <f t="shared" si="24"/>
        <v>system off gives 0.000</v>
      </c>
      <c r="AJ102" s="80">
        <f t="shared" si="24"/>
        <v>0</v>
      </c>
      <c r="AK102" s="76">
        <f t="shared" si="24"/>
        <v>0</v>
      </c>
      <c r="AL102" s="62" t="str">
        <f t="shared" si="24"/>
        <v>system off gives 0.000</v>
      </c>
      <c r="AM102" s="80">
        <f t="shared" si="24"/>
        <v>0</v>
      </c>
      <c r="AN102" s="76">
        <f t="shared" si="24"/>
        <v>0</v>
      </c>
    </row>
    <row r="103" spans="1:40" ht="15.75">
      <c r="A103" s="44" t="s">
        <v>79</v>
      </c>
      <c r="B103" s="74">
        <f t="shared" si="15"/>
        <v>7671</v>
      </c>
      <c r="C103" s="97">
        <f t="shared" si="16"/>
        <v>751</v>
      </c>
      <c r="D103" s="75">
        <f t="shared" si="17"/>
        <v>25387.149600000001</v>
      </c>
      <c r="E103" s="266">
        <f t="shared" si="18"/>
        <v>22196.463</v>
      </c>
      <c r="F103" s="76">
        <f t="shared" si="19"/>
        <v>3190.6866000000005</v>
      </c>
      <c r="G103" s="93">
        <f t="shared" si="12"/>
        <v>9.7999999999999997E-3</v>
      </c>
      <c r="H103" s="94">
        <f t="shared" si="12"/>
        <v>3.0143848966991214</v>
      </c>
      <c r="I103" s="276">
        <f t="shared" si="13"/>
        <v>32.222222222222221</v>
      </c>
      <c r="J103" s="276">
        <f t="shared" si="13"/>
        <v>26.111111111111114</v>
      </c>
      <c r="K103" s="276">
        <v>18.46</v>
      </c>
      <c r="L103" s="279">
        <f t="shared" si="21"/>
        <v>1.1900000000000001E-2</v>
      </c>
      <c r="M103" s="118">
        <f t="shared" si="25"/>
        <v>1.01E-2</v>
      </c>
      <c r="N103">
        <f t="shared" si="20"/>
        <v>101593.51037732697</v>
      </c>
      <c r="P103" s="44" t="s">
        <v>125</v>
      </c>
      <c r="Q103" s="77">
        <f t="shared" si="24"/>
        <v>4.8959999999999999</v>
      </c>
      <c r="R103" s="80">
        <f t="shared" si="24"/>
        <v>38062</v>
      </c>
      <c r="S103" s="76">
        <f t="shared" si="24"/>
        <v>10</v>
      </c>
      <c r="T103" s="77">
        <f t="shared" si="24"/>
        <v>2.4630000000000001</v>
      </c>
      <c r="U103" s="80">
        <f t="shared" si="24"/>
        <v>38082</v>
      </c>
      <c r="V103" s="76">
        <f t="shared" si="24"/>
        <v>17</v>
      </c>
      <c r="W103" s="62">
        <f t="shared" si="24"/>
        <v>16.11</v>
      </c>
      <c r="X103" s="80">
        <f t="shared" si="24"/>
        <v>37484</v>
      </c>
      <c r="Y103" s="76">
        <f t="shared" si="24"/>
        <v>16</v>
      </c>
      <c r="Z103" s="62">
        <f t="shared" si="24"/>
        <v>8.11</v>
      </c>
      <c r="AA103" s="80">
        <f t="shared" si="24"/>
        <v>38341</v>
      </c>
      <c r="AB103" s="76">
        <f t="shared" si="24"/>
        <v>12</v>
      </c>
      <c r="AC103" s="93">
        <f t="shared" si="24"/>
        <v>7.7000000000000002E-3</v>
      </c>
      <c r="AD103" s="80">
        <f t="shared" si="24"/>
        <v>38178</v>
      </c>
      <c r="AE103" s="76">
        <f t="shared" si="24"/>
        <v>16</v>
      </c>
      <c r="AF103" s="93" t="str">
        <f t="shared" si="24"/>
        <v>system off gives 0.000</v>
      </c>
      <c r="AG103" s="80">
        <f t="shared" si="24"/>
        <v>0</v>
      </c>
      <c r="AH103" s="76">
        <f t="shared" si="24"/>
        <v>0</v>
      </c>
      <c r="AI103" s="62" t="str">
        <f t="shared" si="24"/>
        <v>system off gives 0.000</v>
      </c>
      <c r="AJ103" s="80">
        <f t="shared" si="24"/>
        <v>0</v>
      </c>
      <c r="AK103" s="76">
        <f t="shared" si="24"/>
        <v>0</v>
      </c>
      <c r="AL103" s="62" t="str">
        <f t="shared" si="24"/>
        <v>system off gives 0.000</v>
      </c>
      <c r="AM103" s="80">
        <f t="shared" si="24"/>
        <v>0</v>
      </c>
      <c r="AN103" s="76">
        <f t="shared" si="24"/>
        <v>0</v>
      </c>
    </row>
    <row r="104" spans="1:40" ht="15.75">
      <c r="A104" s="44" t="s">
        <v>198</v>
      </c>
      <c r="B104" s="74">
        <f t="shared" si="15"/>
        <v>8190</v>
      </c>
      <c r="C104" s="97">
        <f t="shared" si="16"/>
        <v>800</v>
      </c>
      <c r="D104" s="75">
        <f t="shared" si="17"/>
        <v>27581.003100000002</v>
      </c>
      <c r="E104" s="266">
        <f t="shared" si="18"/>
        <v>22527.9591</v>
      </c>
      <c r="F104" s="76">
        <f t="shared" si="19"/>
        <v>5053.0440000000008</v>
      </c>
      <c r="G104" s="93">
        <f t="shared" si="12"/>
        <v>0.01</v>
      </c>
      <c r="H104" s="94">
        <f t="shared" si="12"/>
        <v>3.0679647497219134</v>
      </c>
      <c r="I104" s="276">
        <f t="shared" si="13"/>
        <v>32.222222222222221</v>
      </c>
      <c r="J104" s="276">
        <f t="shared" si="13"/>
        <v>26.166666666666664</v>
      </c>
      <c r="K104" s="276">
        <v>18.84</v>
      </c>
      <c r="L104" s="279">
        <f t="shared" si="21"/>
        <v>1.44E-2</v>
      </c>
      <c r="M104" s="118">
        <f t="shared" si="25"/>
        <v>1.06E-2</v>
      </c>
      <c r="N104">
        <f t="shared" si="20"/>
        <v>101254.86534273588</v>
      </c>
      <c r="P104" s="44" t="s">
        <v>127</v>
      </c>
      <c r="Q104" s="77">
        <f t="shared" si="24"/>
        <v>6.2329999999999997</v>
      </c>
      <c r="R104" s="80">
        <f t="shared" si="24"/>
        <v>38057</v>
      </c>
      <c r="S104" s="76">
        <f t="shared" si="24"/>
        <v>10</v>
      </c>
      <c r="T104" s="77">
        <f t="shared" si="24"/>
        <v>2.5720000000000001</v>
      </c>
      <c r="U104" s="80">
        <f t="shared" si="24"/>
        <v>37466</v>
      </c>
      <c r="V104" s="76">
        <f t="shared" si="24"/>
        <v>12</v>
      </c>
      <c r="W104" s="62">
        <f t="shared" si="24"/>
        <v>20.11</v>
      </c>
      <c r="X104" s="80">
        <f t="shared" si="24"/>
        <v>37002</v>
      </c>
      <c r="Y104" s="76">
        <f t="shared" si="24"/>
        <v>15</v>
      </c>
      <c r="Z104" s="62">
        <f t="shared" si="24"/>
        <v>8.17</v>
      </c>
      <c r="AA104" s="80">
        <f t="shared" si="24"/>
        <v>38341</v>
      </c>
      <c r="AB104" s="76">
        <f t="shared" si="24"/>
        <v>12</v>
      </c>
      <c r="AC104" s="93">
        <f t="shared" si="24"/>
        <v>9.4999999999999998E-3</v>
      </c>
      <c r="AD104" s="80">
        <f t="shared" si="24"/>
        <v>37776</v>
      </c>
      <c r="AE104" s="76">
        <f t="shared" si="24"/>
        <v>15</v>
      </c>
      <c r="AF104" s="93" t="str">
        <f t="shared" si="24"/>
        <v>system off gives 0.000</v>
      </c>
      <c r="AG104" s="80">
        <f t="shared" si="24"/>
        <v>0</v>
      </c>
      <c r="AH104" s="76">
        <f t="shared" si="24"/>
        <v>0</v>
      </c>
      <c r="AI104" s="62" t="str">
        <f t="shared" si="24"/>
        <v>system off gives 0.000</v>
      </c>
      <c r="AJ104" s="80">
        <f t="shared" si="24"/>
        <v>0</v>
      </c>
      <c r="AK104" s="76">
        <f t="shared" si="24"/>
        <v>0</v>
      </c>
      <c r="AL104" s="62" t="str">
        <f t="shared" si="24"/>
        <v>system off gives 0.000</v>
      </c>
      <c r="AM104" s="80">
        <f t="shared" si="24"/>
        <v>0</v>
      </c>
      <c r="AN104" s="76">
        <f t="shared" si="24"/>
        <v>0</v>
      </c>
    </row>
    <row r="105" spans="1:40" ht="15.75">
      <c r="A105" s="44" t="s">
        <v>201</v>
      </c>
      <c r="B105" s="74">
        <f t="shared" si="15"/>
        <v>5715</v>
      </c>
      <c r="C105" s="97">
        <f t="shared" si="16"/>
        <v>561</v>
      </c>
      <c r="D105" s="75">
        <f t="shared" si="17"/>
        <v>18204.734100000001</v>
      </c>
      <c r="E105" s="266">
        <f t="shared" si="18"/>
        <v>13599.253800000002</v>
      </c>
      <c r="F105" s="76">
        <f t="shared" si="19"/>
        <v>4605.4803000000002</v>
      </c>
      <c r="G105" s="93">
        <f t="shared" ref="G105:H112" si="26">G189</f>
        <v>1.0699999999999999E-2</v>
      </c>
      <c r="H105" s="94">
        <f t="shared" si="26"/>
        <v>2.9006905831739962</v>
      </c>
      <c r="I105" s="276">
        <f t="shared" ref="I105:J110" si="27">(I189-32)/180*100</f>
        <v>31.666666666666664</v>
      </c>
      <c r="J105" s="276">
        <f>(J189-32)/180*100</f>
        <v>26.055555555555561</v>
      </c>
      <c r="K105" s="276">
        <v>19.350000000000001</v>
      </c>
      <c r="L105" s="279">
        <f t="shared" si="21"/>
        <v>1.46E-2</v>
      </c>
      <c r="M105" s="118">
        <f t="shared" si="25"/>
        <v>1.1299999999999999E-2</v>
      </c>
      <c r="N105">
        <f t="shared" si="20"/>
        <v>101254.86534273588</v>
      </c>
      <c r="P105" s="44" t="s">
        <v>130</v>
      </c>
      <c r="Q105" s="77">
        <f t="shared" si="24"/>
        <v>6.3250000000000002</v>
      </c>
      <c r="R105" s="80">
        <f t="shared" si="24"/>
        <v>38089</v>
      </c>
      <c r="S105" s="76">
        <f t="shared" si="24"/>
        <v>9</v>
      </c>
      <c r="T105" s="77">
        <f t="shared" si="24"/>
        <v>2.9390000000000001</v>
      </c>
      <c r="U105" s="80">
        <f t="shared" si="24"/>
        <v>37832</v>
      </c>
      <c r="V105" s="76">
        <f t="shared" si="24"/>
        <v>12</v>
      </c>
      <c r="W105" s="62">
        <f t="shared" si="24"/>
        <v>35.06</v>
      </c>
      <c r="X105" s="80">
        <f t="shared" si="24"/>
        <v>37732</v>
      </c>
      <c r="Y105" s="76">
        <f t="shared" si="24"/>
        <v>16</v>
      </c>
      <c r="Z105" s="62">
        <f t="shared" si="24"/>
        <v>8.17</v>
      </c>
      <c r="AA105" s="80">
        <f t="shared" si="24"/>
        <v>38341</v>
      </c>
      <c r="AB105" s="76">
        <f t="shared" si="24"/>
        <v>13</v>
      </c>
      <c r="AC105" s="93">
        <f t="shared" si="24"/>
        <v>1.7999999999999999E-2</v>
      </c>
      <c r="AD105" s="80">
        <f t="shared" si="24"/>
        <v>38188</v>
      </c>
      <c r="AE105" s="76">
        <f t="shared" si="24"/>
        <v>15</v>
      </c>
      <c r="AF105" s="93" t="str">
        <f t="shared" si="24"/>
        <v>system off gives 0.000</v>
      </c>
      <c r="AG105" s="80">
        <f t="shared" si="24"/>
        <v>0</v>
      </c>
      <c r="AH105" s="76">
        <f t="shared" si="24"/>
        <v>0</v>
      </c>
      <c r="AI105" s="62" t="str">
        <f t="shared" si="24"/>
        <v>system off gives 0.000</v>
      </c>
      <c r="AJ105" s="80">
        <f t="shared" si="24"/>
        <v>0</v>
      </c>
      <c r="AK105" s="76">
        <f t="shared" si="24"/>
        <v>0</v>
      </c>
      <c r="AL105" s="62" t="str">
        <f t="shared" si="24"/>
        <v>system off gives 0.000</v>
      </c>
      <c r="AM105" s="80">
        <f t="shared" si="24"/>
        <v>0</v>
      </c>
      <c r="AN105" s="76">
        <f t="shared" si="24"/>
        <v>0</v>
      </c>
    </row>
    <row r="106" spans="1:40" ht="15.75">
      <c r="A106" s="44" t="s">
        <v>204</v>
      </c>
      <c r="B106" s="74">
        <f t="shared" si="15"/>
        <v>5536</v>
      </c>
      <c r="C106" s="97">
        <f t="shared" si="16"/>
        <v>544</v>
      </c>
      <c r="D106" s="75">
        <f t="shared" si="17"/>
        <v>17933.323500000002</v>
      </c>
      <c r="E106" s="266">
        <f t="shared" si="18"/>
        <v>12829.866300000002</v>
      </c>
      <c r="F106" s="76">
        <f t="shared" si="19"/>
        <v>5103.4572000000007</v>
      </c>
      <c r="G106" s="93">
        <f t="shared" si="26"/>
        <v>1.12E-2</v>
      </c>
      <c r="H106" s="94">
        <f t="shared" si="26"/>
        <v>2.9495597861842109</v>
      </c>
      <c r="I106" s="276">
        <f t="shared" si="27"/>
        <v>31.111111111111111</v>
      </c>
      <c r="J106" s="276">
        <f t="shared" si="27"/>
        <v>25.944444444444446</v>
      </c>
      <c r="K106" s="276">
        <v>19.75</v>
      </c>
      <c r="L106" s="279">
        <f t="shared" si="21"/>
        <v>1.5699999999999999E-2</v>
      </c>
      <c r="M106" s="118">
        <f t="shared" si="25"/>
        <v>1.1900000000000001E-2</v>
      </c>
      <c r="N106">
        <f t="shared" si="20"/>
        <v>101254.86534273588</v>
      </c>
      <c r="P106" s="44" t="s">
        <v>132</v>
      </c>
      <c r="Q106" s="77">
        <f t="shared" si="24"/>
        <v>3.9809999999999999</v>
      </c>
      <c r="R106" s="80">
        <f t="shared" si="24"/>
        <v>38057</v>
      </c>
      <c r="S106" s="76">
        <f t="shared" si="24"/>
        <v>10</v>
      </c>
      <c r="T106" s="77">
        <f t="shared" si="24"/>
        <v>2.4950000000000001</v>
      </c>
      <c r="U106" s="80">
        <f t="shared" si="24"/>
        <v>37466</v>
      </c>
      <c r="V106" s="76">
        <f t="shared" si="24"/>
        <v>12</v>
      </c>
      <c r="W106" s="62">
        <f t="shared" si="24"/>
        <v>25.06</v>
      </c>
      <c r="X106" s="80">
        <f t="shared" si="24"/>
        <v>37002</v>
      </c>
      <c r="Y106" s="76">
        <f t="shared" si="24"/>
        <v>16</v>
      </c>
      <c r="Z106" s="62">
        <f t="shared" si="24"/>
        <v>8.17</v>
      </c>
      <c r="AA106" s="80">
        <f t="shared" si="24"/>
        <v>38341</v>
      </c>
      <c r="AB106" s="76">
        <f t="shared" si="24"/>
        <v>12</v>
      </c>
      <c r="AC106" s="93">
        <f t="shared" si="24"/>
        <v>8.0999999999999996E-3</v>
      </c>
      <c r="AD106" s="80">
        <f t="shared" si="24"/>
        <v>37092</v>
      </c>
      <c r="AE106" s="76">
        <f t="shared" si="24"/>
        <v>15</v>
      </c>
      <c r="AF106" s="93" t="str">
        <f t="shared" si="24"/>
        <v>system off gives 0.000</v>
      </c>
      <c r="AG106" s="80">
        <f t="shared" si="24"/>
        <v>0</v>
      </c>
      <c r="AH106" s="76">
        <f t="shared" si="24"/>
        <v>0</v>
      </c>
      <c r="AI106" s="62" t="str">
        <f t="shared" si="24"/>
        <v>system off gives 0.000</v>
      </c>
      <c r="AJ106" s="80">
        <f t="shared" si="24"/>
        <v>0</v>
      </c>
      <c r="AK106" s="76">
        <f t="shared" si="24"/>
        <v>0</v>
      </c>
      <c r="AL106" s="62" t="str">
        <f t="shared" si="24"/>
        <v>system off gives 0.000</v>
      </c>
      <c r="AM106" s="80">
        <f t="shared" si="24"/>
        <v>0</v>
      </c>
      <c r="AN106" s="76">
        <f t="shared" si="24"/>
        <v>0</v>
      </c>
    </row>
    <row r="107" spans="1:40" ht="15.75">
      <c r="A107" s="44" t="s">
        <v>206</v>
      </c>
      <c r="B107" s="74">
        <f t="shared" si="15"/>
        <v>4711</v>
      </c>
      <c r="C107" s="97">
        <f t="shared" si="16"/>
        <v>481</v>
      </c>
      <c r="D107" s="75">
        <f t="shared" si="17"/>
        <v>16012.053000000002</v>
      </c>
      <c r="E107" s="266">
        <f t="shared" si="18"/>
        <v>11875.532700000002</v>
      </c>
      <c r="F107" s="76">
        <f t="shared" si="19"/>
        <v>4136.5203000000001</v>
      </c>
      <c r="G107" s="93">
        <f t="shared" si="26"/>
        <v>1.0999999999999999E-2</v>
      </c>
      <c r="H107" s="94">
        <f t="shared" si="26"/>
        <v>3.0839855546995381</v>
      </c>
      <c r="I107" s="276">
        <f t="shared" si="27"/>
        <v>28.333333333333332</v>
      </c>
      <c r="J107" s="276">
        <f t="shared" si="27"/>
        <v>25.5</v>
      </c>
      <c r="K107" s="276">
        <v>19.32</v>
      </c>
      <c r="L107" s="279">
        <f t="shared" si="21"/>
        <v>1.43E-2</v>
      </c>
      <c r="M107" s="118">
        <f t="shared" si="25"/>
        <v>1.15E-2</v>
      </c>
      <c r="N107">
        <f t="shared" si="20"/>
        <v>101254.86534273588</v>
      </c>
      <c r="P107" s="44" t="s">
        <v>135</v>
      </c>
      <c r="Q107" s="77">
        <f t="shared" si="24"/>
        <v>3.456</v>
      </c>
      <c r="R107" s="80">
        <f t="shared" si="24"/>
        <v>38107</v>
      </c>
      <c r="S107" s="76">
        <f t="shared" si="24"/>
        <v>16</v>
      </c>
      <c r="T107" s="77">
        <f t="shared" si="24"/>
        <v>2.2610000000000001</v>
      </c>
      <c r="U107" s="80">
        <f t="shared" si="24"/>
        <v>37831</v>
      </c>
      <c r="V107" s="76">
        <f t="shared" si="24"/>
        <v>12</v>
      </c>
      <c r="W107" s="62">
        <f t="shared" si="24"/>
        <v>15.11</v>
      </c>
      <c r="X107" s="80">
        <f t="shared" si="24"/>
        <v>38138</v>
      </c>
      <c r="Y107" s="76">
        <f t="shared" si="24"/>
        <v>16</v>
      </c>
      <c r="Z107" s="62">
        <f t="shared" si="24"/>
        <v>8.11</v>
      </c>
      <c r="AA107" s="80">
        <f t="shared" si="24"/>
        <v>38341</v>
      </c>
      <c r="AB107" s="76">
        <f t="shared" si="24"/>
        <v>12</v>
      </c>
      <c r="AC107" s="93">
        <f t="shared" si="24"/>
        <v>5.0000000000000001E-3</v>
      </c>
      <c r="AD107" s="80">
        <f t="shared" si="24"/>
        <v>37776</v>
      </c>
      <c r="AE107" s="76">
        <f t="shared" si="24"/>
        <v>13</v>
      </c>
      <c r="AF107" s="93" t="str">
        <f t="shared" si="24"/>
        <v>system off gives 0.000</v>
      </c>
      <c r="AG107" s="80">
        <f t="shared" si="24"/>
        <v>0</v>
      </c>
      <c r="AH107" s="76">
        <f t="shared" si="24"/>
        <v>0</v>
      </c>
      <c r="AI107" s="62" t="str">
        <f t="shared" si="24"/>
        <v>system off gives 0.000</v>
      </c>
      <c r="AJ107" s="80">
        <f t="shared" si="24"/>
        <v>0</v>
      </c>
      <c r="AK107" s="76">
        <f t="shared" si="24"/>
        <v>0</v>
      </c>
      <c r="AL107" s="62" t="str">
        <f t="shared" si="24"/>
        <v>system off gives 0.000</v>
      </c>
      <c r="AM107" s="80">
        <f t="shared" si="24"/>
        <v>0</v>
      </c>
      <c r="AN107" s="76">
        <f t="shared" si="24"/>
        <v>0</v>
      </c>
    </row>
    <row r="108" spans="1:40" ht="15.75">
      <c r="A108" s="44" t="s">
        <v>207</v>
      </c>
      <c r="B108" s="74">
        <f t="shared" si="15"/>
        <v>4859</v>
      </c>
      <c r="C108" s="97">
        <f t="shared" si="16"/>
        <v>504</v>
      </c>
      <c r="D108" s="75">
        <f t="shared" si="17"/>
        <v>17082.161100000001</v>
      </c>
      <c r="E108" s="266">
        <f t="shared" si="18"/>
        <v>11532.312600000001</v>
      </c>
      <c r="F108" s="76">
        <f t="shared" si="19"/>
        <v>5549.848500000001</v>
      </c>
      <c r="G108" s="93">
        <f t="shared" si="26"/>
        <v>1.14E-2</v>
      </c>
      <c r="H108" s="94">
        <f t="shared" si="26"/>
        <v>3.1851876002237556</v>
      </c>
      <c r="I108" s="276">
        <f t="shared" si="27"/>
        <v>27.222222222222221</v>
      </c>
      <c r="J108" s="276">
        <f t="shared" si="27"/>
        <v>25.333333333333329</v>
      </c>
      <c r="K108" s="276">
        <v>19.760000000000002</v>
      </c>
      <c r="L108" s="279">
        <f t="shared" si="21"/>
        <v>1.6400000000000001E-2</v>
      </c>
      <c r="M108" s="118">
        <f t="shared" si="25"/>
        <v>1.21E-2</v>
      </c>
      <c r="N108">
        <f t="shared" si="20"/>
        <v>101593.51037732697</v>
      </c>
      <c r="P108" s="45" t="s">
        <v>138</v>
      </c>
      <c r="Q108" s="77">
        <f t="shared" si="24"/>
        <v>4.2750000000000004</v>
      </c>
      <c r="R108" s="80">
        <f t="shared" si="24"/>
        <v>38062</v>
      </c>
      <c r="S108" s="76">
        <f t="shared" si="24"/>
        <v>10</v>
      </c>
      <c r="T108" s="77">
        <f t="shared" si="24"/>
        <v>2.72</v>
      </c>
      <c r="U108" s="80">
        <f t="shared" si="24"/>
        <v>37831</v>
      </c>
      <c r="V108" s="76">
        <f t="shared" si="24"/>
        <v>12</v>
      </c>
      <c r="W108" s="62">
        <f t="shared" si="24"/>
        <v>35</v>
      </c>
      <c r="X108" s="82">
        <f t="shared" si="24"/>
        <v>37732</v>
      </c>
      <c r="Y108" s="85">
        <f t="shared" si="24"/>
        <v>15</v>
      </c>
      <c r="Z108" s="62">
        <f t="shared" si="24"/>
        <v>8.17</v>
      </c>
      <c r="AA108" s="80">
        <f t="shared" si="24"/>
        <v>38341</v>
      </c>
      <c r="AB108" s="76">
        <f t="shared" si="24"/>
        <v>13</v>
      </c>
      <c r="AC108" s="98">
        <f t="shared" si="24"/>
        <v>1.2200000000000001E-2</v>
      </c>
      <c r="AD108" s="82">
        <f t="shared" si="24"/>
        <v>38188</v>
      </c>
      <c r="AE108" s="85">
        <f t="shared" si="24"/>
        <v>15</v>
      </c>
      <c r="AF108" s="98" t="str">
        <f t="shared" si="24"/>
        <v>system off gives 0.000</v>
      </c>
      <c r="AG108" s="82">
        <f t="shared" si="24"/>
        <v>0</v>
      </c>
      <c r="AH108" s="85">
        <f t="shared" si="24"/>
        <v>0</v>
      </c>
      <c r="AI108" s="62" t="str">
        <f t="shared" si="24"/>
        <v>system off gives 0.000</v>
      </c>
      <c r="AJ108" s="80">
        <f t="shared" si="24"/>
        <v>0</v>
      </c>
      <c r="AK108" s="76">
        <f t="shared" si="24"/>
        <v>0</v>
      </c>
      <c r="AL108" s="62" t="str">
        <f t="shared" si="24"/>
        <v>system off gives 0.000</v>
      </c>
      <c r="AM108" s="80">
        <f t="shared" si="24"/>
        <v>0</v>
      </c>
      <c r="AN108" s="76">
        <f t="shared" si="24"/>
        <v>0</v>
      </c>
    </row>
    <row r="109" spans="1:40" ht="15.75">
      <c r="A109" s="44" t="s">
        <v>208</v>
      </c>
      <c r="B109" s="74">
        <f t="shared" si="15"/>
        <v>3913</v>
      </c>
      <c r="C109" s="97">
        <f t="shared" si="16"/>
        <v>405</v>
      </c>
      <c r="D109" s="75">
        <f t="shared" si="17"/>
        <v>13435.410900000001</v>
      </c>
      <c r="E109" s="266">
        <f t="shared" si="18"/>
        <v>9302.4078000000009</v>
      </c>
      <c r="F109" s="76">
        <f t="shared" si="19"/>
        <v>4133.0031000000008</v>
      </c>
      <c r="G109" s="93">
        <f t="shared" si="26"/>
        <v>1.1299999999999999E-2</v>
      </c>
      <c r="H109" s="94">
        <f t="shared" si="26"/>
        <v>3.1114893237610008</v>
      </c>
      <c r="I109" s="276">
        <f t="shared" si="27"/>
        <v>27.222222222222221</v>
      </c>
      <c r="J109" s="276">
        <f t="shared" si="27"/>
        <v>25.333333333333329</v>
      </c>
      <c r="K109" s="276">
        <v>19.760000000000002</v>
      </c>
      <c r="L109" s="279">
        <f t="shared" si="21"/>
        <v>1.6400000000000001E-2</v>
      </c>
      <c r="M109" s="118">
        <f t="shared" si="25"/>
        <v>1.21E-2</v>
      </c>
      <c r="N109">
        <f t="shared" si="20"/>
        <v>101593.51037732697</v>
      </c>
    </row>
    <row r="110" spans="1:40" ht="15.75">
      <c r="A110" s="44" t="s">
        <v>209</v>
      </c>
      <c r="B110" s="74">
        <f t="shared" si="15"/>
        <v>3825</v>
      </c>
      <c r="C110" s="97">
        <f t="shared" si="16"/>
        <v>399</v>
      </c>
      <c r="D110" s="75">
        <f t="shared" si="17"/>
        <v>13280.361000000001</v>
      </c>
      <c r="E110" s="266">
        <f t="shared" si="18"/>
        <v>8973.5496000000003</v>
      </c>
      <c r="F110" s="76">
        <f t="shared" si="19"/>
        <v>4306.8114000000005</v>
      </c>
      <c r="G110" s="93">
        <f t="shared" si="26"/>
        <v>1.14E-2</v>
      </c>
      <c r="H110" s="94">
        <f t="shared" si="26"/>
        <v>3.1440248579545456</v>
      </c>
      <c r="I110" s="276">
        <f t="shared" si="27"/>
        <v>26.666666666666668</v>
      </c>
      <c r="J110" s="276">
        <f t="shared" si="27"/>
        <v>25.222222222222225</v>
      </c>
      <c r="K110" s="276">
        <v>19.8</v>
      </c>
      <c r="L110" s="279">
        <f t="shared" si="21"/>
        <v>1.67E-2</v>
      </c>
      <c r="M110" s="118">
        <f t="shared" si="25"/>
        <v>1.2200000000000001E-2</v>
      </c>
      <c r="N110">
        <f t="shared" si="20"/>
        <v>101593.51037732697</v>
      </c>
    </row>
    <row r="111" spans="1:40" ht="15.75">
      <c r="A111" s="44" t="s">
        <v>210</v>
      </c>
      <c r="B111" s="74">
        <f t="shared" si="15"/>
        <v>3750</v>
      </c>
      <c r="C111" s="97">
        <f t="shared" si="16"/>
        <v>395</v>
      </c>
      <c r="D111" s="75">
        <f t="shared" si="17"/>
        <v>13191.844800000001</v>
      </c>
      <c r="E111" s="266">
        <f t="shared" si="18"/>
        <v>8787.4311000000016</v>
      </c>
      <c r="F111" s="76">
        <f t="shared" si="19"/>
        <v>4404.4137000000001</v>
      </c>
      <c r="G111" s="93">
        <f t="shared" si="26"/>
        <v>1.15E-2</v>
      </c>
      <c r="H111" s="94">
        <f t="shared" si="26"/>
        <v>3.1825922316043429</v>
      </c>
      <c r="I111" s="276">
        <f>(I195-32)/180*100</f>
        <v>26.111111111111114</v>
      </c>
      <c r="J111" s="276">
        <f>(J195-32)/180*100</f>
        <v>25.111111111111111</v>
      </c>
      <c r="K111" s="276">
        <v>19.84</v>
      </c>
      <c r="L111" s="279">
        <f t="shared" si="21"/>
        <v>1.6899999999999998E-2</v>
      </c>
      <c r="M111" s="118">
        <f t="shared" si="25"/>
        <v>1.23E-2</v>
      </c>
      <c r="N111">
        <f t="shared" si="20"/>
        <v>101593.51037732697</v>
      </c>
    </row>
    <row r="112" spans="1:40" ht="15.75">
      <c r="A112" s="45" t="s">
        <v>211</v>
      </c>
      <c r="B112" s="81">
        <f t="shared" si="15"/>
        <v>3880</v>
      </c>
      <c r="C112" s="64">
        <f t="shared" si="16"/>
        <v>407</v>
      </c>
      <c r="D112" s="83">
        <f t="shared" si="17"/>
        <v>13724.407500000001</v>
      </c>
      <c r="E112" s="85">
        <f t="shared" si="18"/>
        <v>8799.1550999999999</v>
      </c>
      <c r="F112" s="85">
        <f t="shared" si="19"/>
        <v>4925.2524000000003</v>
      </c>
      <c r="G112" s="98">
        <f t="shared" si="26"/>
        <v>1.17E-2</v>
      </c>
      <c r="H112" s="99">
        <f t="shared" si="26"/>
        <v>3.2014013296011199</v>
      </c>
      <c r="I112" s="280">
        <f>(I196-32)/180*100</f>
        <v>26.111111111111114</v>
      </c>
      <c r="J112" s="280">
        <f>(J196-32)/180*100</f>
        <v>25.111111111111111</v>
      </c>
      <c r="K112" s="280">
        <v>20.14</v>
      </c>
      <c r="L112" s="279">
        <f t="shared" si="21"/>
        <v>1.78E-2</v>
      </c>
      <c r="M112" s="118">
        <f t="shared" si="25"/>
        <v>1.2699999999999999E-2</v>
      </c>
      <c r="N112">
        <f t="shared" si="20"/>
        <v>101593.51037732697</v>
      </c>
    </row>
    <row r="115" spans="1:12">
      <c r="A115" s="41"/>
      <c r="B115" s="41" t="s">
        <v>212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</row>
    <row r="116" spans="1:12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7"/>
    </row>
    <row r="117" spans="1:12">
      <c r="A117" s="44"/>
      <c r="B117" s="741" t="s">
        <v>143</v>
      </c>
      <c r="C117" s="742"/>
      <c r="D117" s="742"/>
      <c r="E117" s="743"/>
      <c r="F117" s="44" t="s">
        <v>144</v>
      </c>
      <c r="G117" s="120"/>
      <c r="I117" s="51" t="s">
        <v>361</v>
      </c>
      <c r="J117" s="88"/>
      <c r="K117" s="41"/>
      <c r="L117" s="43"/>
    </row>
    <row r="118" spans="1:12">
      <c r="A118" s="44" t="s">
        <v>213</v>
      </c>
      <c r="B118" s="51" t="s">
        <v>4</v>
      </c>
      <c r="C118" s="252" t="s">
        <v>5</v>
      </c>
      <c r="D118" s="49" t="s">
        <v>84</v>
      </c>
      <c r="E118" s="49" t="s">
        <v>85</v>
      </c>
      <c r="F118" s="51" t="s">
        <v>4</v>
      </c>
      <c r="G118" s="252" t="s">
        <v>6</v>
      </c>
      <c r="H118" s="49" t="s">
        <v>7</v>
      </c>
      <c r="I118" s="51" t="s">
        <v>372</v>
      </c>
      <c r="J118" s="89" t="s">
        <v>150</v>
      </c>
      <c r="K118" s="263" t="s">
        <v>151</v>
      </c>
      <c r="L118" s="91" t="s">
        <v>152</v>
      </c>
    </row>
    <row r="119" spans="1:12">
      <c r="A119" s="45"/>
      <c r="B119" s="52" t="s">
        <v>156</v>
      </c>
      <c r="C119" s="53" t="s">
        <v>156</v>
      </c>
      <c r="D119" s="53" t="s">
        <v>156</v>
      </c>
      <c r="E119" s="53" t="s">
        <v>156</v>
      </c>
      <c r="F119" s="52" t="s">
        <v>156</v>
      </c>
      <c r="G119" s="53" t="s">
        <v>156</v>
      </c>
      <c r="H119" s="53" t="s">
        <v>156</v>
      </c>
      <c r="I119" s="52" t="s">
        <v>157</v>
      </c>
      <c r="J119" s="92"/>
      <c r="K119" s="52" t="s">
        <v>11</v>
      </c>
      <c r="L119" s="54" t="s">
        <v>11</v>
      </c>
    </row>
    <row r="120" spans="1:12" ht="15.75">
      <c r="A120" s="100" t="s">
        <v>214</v>
      </c>
      <c r="B120" s="75">
        <f>(C120+D120+E120)</f>
        <v>3975.4583333333335</v>
      </c>
      <c r="C120" s="266">
        <f>C204/24-D120</f>
        <v>3119.8333333333335</v>
      </c>
      <c r="D120" s="76">
        <f>D204/24</f>
        <v>389.125</v>
      </c>
      <c r="E120" s="116">
        <f>E204/24</f>
        <v>466.5</v>
      </c>
      <c r="F120" s="75">
        <f>F204*0.2931/24</f>
        <v>13732.699787500002</v>
      </c>
      <c r="G120" s="266">
        <f>F120-H120</f>
        <v>9924.8178625000019</v>
      </c>
      <c r="H120" s="76">
        <f>H204*0.2931/24</f>
        <v>3807.8819250000001</v>
      </c>
      <c r="I120" s="93">
        <f>I204</f>
        <v>1.0999999999999999E-2</v>
      </c>
      <c r="J120" s="94">
        <f>J204</f>
        <v>3.9136115288250317</v>
      </c>
      <c r="K120" s="281">
        <f>(K204-32)/180*100</f>
        <v>16.833333333333332</v>
      </c>
      <c r="L120" s="282">
        <f>(L204-32)/180*100</f>
        <v>24.944444444444446</v>
      </c>
    </row>
    <row r="121" spans="1:12" ht="15.75">
      <c r="A121" s="101" t="s">
        <v>215</v>
      </c>
      <c r="B121" s="83">
        <f>(C121+D121+E121)</f>
        <v>5204.333333333333</v>
      </c>
      <c r="C121" s="85">
        <f>C205/24-D121</f>
        <v>4263.541666666667</v>
      </c>
      <c r="D121" s="85">
        <f>D205/24</f>
        <v>426.33333333333331</v>
      </c>
      <c r="E121" s="283">
        <f>E205/24</f>
        <v>514.45833333333337</v>
      </c>
      <c r="F121" s="83">
        <f>F205*0.2931/24</f>
        <v>13837.531887500001</v>
      </c>
      <c r="G121" s="85">
        <f>F121-H121</f>
        <v>9981.2396125000014</v>
      </c>
      <c r="H121" s="85">
        <f>H205*0.2931/24</f>
        <v>3856.2922750000002</v>
      </c>
      <c r="I121" s="98">
        <f>I205</f>
        <v>1.15E-2</v>
      </c>
      <c r="J121" s="99">
        <f>J205</f>
        <v>2.9505118766491645</v>
      </c>
      <c r="K121" s="284">
        <f>(K205-32)/180*100</f>
        <v>29.5</v>
      </c>
      <c r="L121" s="285">
        <f>(L205-32)/180*100</f>
        <v>25</v>
      </c>
    </row>
    <row r="124" spans="1:12">
      <c r="A124" s="41"/>
      <c r="B124" s="41" t="s">
        <v>216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3"/>
    </row>
    <row r="125" spans="1:12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7"/>
    </row>
    <row r="126" spans="1:12">
      <c r="A126" s="44"/>
      <c r="B126" s="741" t="s">
        <v>143</v>
      </c>
      <c r="C126" s="742"/>
      <c r="D126" s="742"/>
      <c r="E126" s="743"/>
      <c r="F126" s="44" t="s">
        <v>144</v>
      </c>
      <c r="G126" s="120"/>
      <c r="I126" s="51" t="s">
        <v>361</v>
      </c>
      <c r="J126" s="88"/>
      <c r="K126" s="41"/>
      <c r="L126" s="43"/>
    </row>
    <row r="127" spans="1:12">
      <c r="A127" s="44" t="s">
        <v>213</v>
      </c>
      <c r="B127" s="51" t="s">
        <v>4</v>
      </c>
      <c r="C127" s="252" t="s">
        <v>5</v>
      </c>
      <c r="D127" s="49" t="s">
        <v>84</v>
      </c>
      <c r="E127" s="49" t="s">
        <v>85</v>
      </c>
      <c r="F127" s="51" t="s">
        <v>4</v>
      </c>
      <c r="G127" s="252" t="s">
        <v>6</v>
      </c>
      <c r="H127" s="49" t="s">
        <v>7</v>
      </c>
      <c r="I127" s="51" t="s">
        <v>372</v>
      </c>
      <c r="J127" s="89" t="s">
        <v>150</v>
      </c>
      <c r="K127" s="263" t="s">
        <v>151</v>
      </c>
      <c r="L127" s="91" t="s">
        <v>152</v>
      </c>
    </row>
    <row r="128" spans="1:12">
      <c r="A128" s="45"/>
      <c r="B128" s="52" t="s">
        <v>156</v>
      </c>
      <c r="C128" s="53" t="s">
        <v>156</v>
      </c>
      <c r="D128" s="53" t="s">
        <v>156</v>
      </c>
      <c r="E128" s="53" t="s">
        <v>156</v>
      </c>
      <c r="F128" s="52" t="s">
        <v>156</v>
      </c>
      <c r="G128" s="53" t="s">
        <v>156</v>
      </c>
      <c r="H128" s="53" t="s">
        <v>156</v>
      </c>
      <c r="I128" s="52" t="s">
        <v>157</v>
      </c>
      <c r="J128" s="92"/>
      <c r="K128" s="52" t="s">
        <v>11</v>
      </c>
      <c r="L128" s="54" t="s">
        <v>11</v>
      </c>
    </row>
    <row r="129" spans="1:40" ht="15.75">
      <c r="A129" s="100" t="s">
        <v>214</v>
      </c>
      <c r="B129" s="75">
        <f>(C129+D129+E129)</f>
        <v>3062</v>
      </c>
      <c r="C129" s="266">
        <f>C213/24-D129</f>
        <v>2390.041666666667</v>
      </c>
      <c r="D129" s="76">
        <f>D213/24</f>
        <v>311.16666666666669</v>
      </c>
      <c r="E129" s="116">
        <f>E213/24</f>
        <v>360.79166666666669</v>
      </c>
      <c r="F129" s="75">
        <f>F213*0.2931/24</f>
        <v>9721.1500000000015</v>
      </c>
      <c r="G129" s="266">
        <f>F129-H129</f>
        <v>9721.1500000000015</v>
      </c>
      <c r="H129" s="76">
        <f>H213*0.2931/24</f>
        <v>0</v>
      </c>
      <c r="I129" s="93">
        <f>I213</f>
        <v>7.1000000000000004E-3</v>
      </c>
      <c r="J129" s="94">
        <f>J213</f>
        <v>3.5988153449844984</v>
      </c>
      <c r="K129" s="281">
        <f>(K213-32)/180*100</f>
        <v>16.833333333333332</v>
      </c>
      <c r="L129" s="282">
        <f>(L213-32)/180*100</f>
        <v>24.944444444444446</v>
      </c>
    </row>
    <row r="130" spans="1:40" ht="15.75">
      <c r="A130" s="101" t="s">
        <v>215</v>
      </c>
      <c r="B130" s="83">
        <f>(C130+D130+E130)</f>
        <v>3978.2083333333335</v>
      </c>
      <c r="C130" s="85">
        <f>C214/24-D130</f>
        <v>3243</v>
      </c>
      <c r="D130" s="85">
        <f>D214/24</f>
        <v>339.625</v>
      </c>
      <c r="E130" s="283">
        <f>E214/24</f>
        <v>395.58333333333331</v>
      </c>
      <c r="F130" s="83">
        <f>F214*0.2931/24</f>
        <v>9760.7917750000015</v>
      </c>
      <c r="G130" s="85">
        <f>F130-H130</f>
        <v>9760.7673500000019</v>
      </c>
      <c r="H130" s="85">
        <f>H214*0.2931/24</f>
        <v>2.4425000000000002E-2</v>
      </c>
      <c r="I130" s="98">
        <f>I214</f>
        <v>7.7999999999999996E-3</v>
      </c>
      <c r="J130" s="99">
        <f>J214</f>
        <v>2.7244804507867837</v>
      </c>
      <c r="K130" s="284">
        <f>(K214-32)/180*100</f>
        <v>29.5</v>
      </c>
      <c r="L130" s="285">
        <f>(L214-32)/180*100</f>
        <v>24.944444444444446</v>
      </c>
    </row>
    <row r="136" spans="1:40" ht="15.75">
      <c r="A136" s="71" t="s">
        <v>537</v>
      </c>
    </row>
    <row r="137" spans="1:40">
      <c r="A137" t="s">
        <v>217</v>
      </c>
    </row>
    <row r="138" spans="1:40" ht="15.75">
      <c r="A138" s="71" t="s">
        <v>465</v>
      </c>
    </row>
    <row r="139" spans="1:40" ht="15.75">
      <c r="K139" s="71"/>
    </row>
    <row r="140" spans="1:40" ht="15.75">
      <c r="A140" s="286"/>
      <c r="B140" s="286"/>
      <c r="C140" s="287"/>
      <c r="D140" s="287" t="s">
        <v>80</v>
      </c>
      <c r="E140" s="287"/>
      <c r="F140" s="287"/>
      <c r="G140" s="287"/>
      <c r="H140" s="287"/>
      <c r="I140" s="286" t="s">
        <v>81</v>
      </c>
      <c r="J140" s="287"/>
      <c r="K140" s="287"/>
      <c r="L140" s="287"/>
      <c r="M140" s="286" t="s">
        <v>357</v>
      </c>
      <c r="N140" s="288"/>
      <c r="O140" s="289"/>
      <c r="P140" s="286"/>
      <c r="Q140" s="290" t="s">
        <v>358</v>
      </c>
      <c r="R140" s="291"/>
      <c r="S140" s="291"/>
      <c r="T140" s="291"/>
      <c r="U140" s="291"/>
      <c r="V140" s="291"/>
      <c r="W140" s="287"/>
      <c r="X140" s="287"/>
      <c r="Y140" s="287"/>
      <c r="Z140" s="287"/>
      <c r="AA140" s="287"/>
      <c r="AB140" s="288"/>
      <c r="AC140" s="286"/>
      <c r="AD140" s="287" t="s">
        <v>359</v>
      </c>
      <c r="AE140" s="287"/>
      <c r="AF140" s="287"/>
      <c r="AG140" s="287"/>
      <c r="AH140" s="288"/>
      <c r="AI140" s="292"/>
      <c r="AJ140" s="292"/>
      <c r="AK140" s="292"/>
      <c r="AL140" s="292"/>
      <c r="AM140" s="292"/>
      <c r="AN140" s="292"/>
    </row>
    <row r="141" spans="1:40" ht="15.75">
      <c r="A141" s="293"/>
      <c r="B141" s="294"/>
      <c r="C141" s="295"/>
      <c r="D141" s="295"/>
      <c r="E141" s="295"/>
      <c r="F141" s="295"/>
      <c r="G141" s="295"/>
      <c r="H141" s="295"/>
      <c r="I141" s="294"/>
      <c r="J141" s="295"/>
      <c r="K141" s="295"/>
      <c r="L141" s="295"/>
      <c r="M141" s="294" t="s">
        <v>360</v>
      </c>
      <c r="N141" s="296"/>
      <c r="O141" s="297"/>
      <c r="P141" s="293"/>
      <c r="Q141" s="294"/>
      <c r="R141" s="295"/>
      <c r="S141" s="295"/>
      <c r="T141" s="295"/>
      <c r="U141" s="295"/>
      <c r="V141" s="295"/>
      <c r="W141" s="295"/>
      <c r="X141" s="295"/>
      <c r="Y141" s="295"/>
      <c r="Z141" s="295"/>
      <c r="AA141" s="295"/>
      <c r="AB141" s="296"/>
      <c r="AC141" s="294"/>
      <c r="AD141" s="295"/>
      <c r="AE141" s="295"/>
      <c r="AF141" s="295"/>
      <c r="AG141" s="295"/>
      <c r="AH141" s="296"/>
      <c r="AI141" s="292"/>
      <c r="AJ141" s="292"/>
      <c r="AK141" s="292"/>
      <c r="AL141" s="292"/>
      <c r="AM141" s="292"/>
      <c r="AN141" s="292"/>
    </row>
    <row r="142" spans="1:40" ht="15.75">
      <c r="A142" s="293"/>
      <c r="B142" s="293"/>
      <c r="C142" s="298"/>
      <c r="D142" s="298"/>
      <c r="E142" s="298"/>
      <c r="F142" s="298"/>
      <c r="G142" s="298"/>
      <c r="H142" s="298"/>
      <c r="I142" s="293"/>
      <c r="J142" s="298"/>
      <c r="K142" s="299" t="s">
        <v>361</v>
      </c>
      <c r="L142" s="299" t="s">
        <v>361</v>
      </c>
      <c r="M142" s="293"/>
      <c r="N142" s="300" t="s">
        <v>362</v>
      </c>
      <c r="O142" s="301"/>
      <c r="P142" s="293"/>
      <c r="Q142" s="286"/>
      <c r="R142" s="287"/>
      <c r="S142" s="288"/>
      <c r="T142" s="298"/>
      <c r="U142" s="298"/>
      <c r="V142" s="298"/>
      <c r="W142" s="298"/>
      <c r="X142" s="298"/>
      <c r="Y142" s="298"/>
      <c r="Z142" s="298"/>
      <c r="AA142" s="298"/>
      <c r="AB142" s="302"/>
      <c r="AC142" s="292"/>
      <c r="AD142" s="292" t="s">
        <v>363</v>
      </c>
      <c r="AE142" s="292"/>
      <c r="AF142" s="292"/>
      <c r="AG142" s="292"/>
      <c r="AH142" s="288"/>
      <c r="AI142" s="292"/>
      <c r="AJ142" s="292"/>
      <c r="AK142" s="292"/>
      <c r="AL142" s="292"/>
      <c r="AM142" s="292"/>
      <c r="AN142" s="292"/>
    </row>
    <row r="143" spans="1:40" ht="15.75">
      <c r="A143" s="293"/>
      <c r="B143" s="293" t="s">
        <v>364</v>
      </c>
      <c r="C143" s="298"/>
      <c r="D143" s="292"/>
      <c r="E143" s="292"/>
      <c r="F143" s="293" t="s">
        <v>365</v>
      </c>
      <c r="G143" s="298"/>
      <c r="H143" s="292"/>
      <c r="I143" s="293"/>
      <c r="J143" s="292"/>
      <c r="K143" s="303" t="s">
        <v>2</v>
      </c>
      <c r="L143" s="303" t="s">
        <v>82</v>
      </c>
      <c r="M143" s="293"/>
      <c r="N143" s="300" t="s">
        <v>2</v>
      </c>
      <c r="O143" s="301"/>
      <c r="P143" s="293"/>
      <c r="Q143" s="304" t="s">
        <v>366</v>
      </c>
      <c r="R143" s="298"/>
      <c r="S143" s="302"/>
      <c r="T143" s="298"/>
      <c r="U143" s="292"/>
      <c r="V143" s="292" t="s">
        <v>83</v>
      </c>
      <c r="W143" s="292"/>
      <c r="X143" s="292"/>
      <c r="Y143" s="292"/>
      <c r="Z143" s="292"/>
      <c r="AA143" s="292"/>
      <c r="AB143" s="302"/>
      <c r="AC143" s="292"/>
      <c r="AD143" s="292"/>
      <c r="AE143" s="302"/>
      <c r="AF143" s="292"/>
      <c r="AG143" s="292"/>
      <c r="AH143" s="302"/>
      <c r="AI143" s="292"/>
      <c r="AJ143" s="292"/>
      <c r="AK143" s="292"/>
      <c r="AL143" s="292"/>
      <c r="AM143" s="292"/>
      <c r="AN143" s="292"/>
    </row>
    <row r="144" spans="1:40" ht="15.75">
      <c r="A144" s="293" t="s">
        <v>3</v>
      </c>
      <c r="B144" s="305" t="s">
        <v>4</v>
      </c>
      <c r="C144" s="51" t="s">
        <v>219</v>
      </c>
      <c r="D144" s="303" t="s">
        <v>84</v>
      </c>
      <c r="E144" s="303" t="s">
        <v>85</v>
      </c>
      <c r="F144" s="305" t="s">
        <v>4</v>
      </c>
      <c r="G144" s="299" t="s">
        <v>6</v>
      </c>
      <c r="H144" s="303" t="s">
        <v>7</v>
      </c>
      <c r="I144" s="305" t="s">
        <v>86</v>
      </c>
      <c r="J144" s="303" t="s">
        <v>8</v>
      </c>
      <c r="K144" s="303" t="s">
        <v>9</v>
      </c>
      <c r="L144" s="303" t="s">
        <v>2</v>
      </c>
      <c r="M144" s="305" t="s">
        <v>151</v>
      </c>
      <c r="N144" s="300" t="s">
        <v>9</v>
      </c>
      <c r="O144" s="301"/>
      <c r="P144" s="293" t="s">
        <v>3</v>
      </c>
      <c r="Q144" s="293" t="s">
        <v>87</v>
      </c>
      <c r="R144" s="292"/>
      <c r="S144" s="292"/>
      <c r="T144" s="293"/>
      <c r="U144" s="303" t="s">
        <v>6</v>
      </c>
      <c r="V144" s="292"/>
      <c r="W144" s="293"/>
      <c r="X144" s="303" t="s">
        <v>7</v>
      </c>
      <c r="Y144" s="292"/>
      <c r="Z144" s="293" t="s">
        <v>88</v>
      </c>
      <c r="AA144" s="292"/>
      <c r="AB144" s="302"/>
      <c r="AC144" s="292"/>
      <c r="AD144" s="292" t="s">
        <v>367</v>
      </c>
      <c r="AE144" s="302"/>
      <c r="AF144" s="292" t="s">
        <v>368</v>
      </c>
      <c r="AG144" s="292"/>
      <c r="AH144" s="302"/>
      <c r="AI144" s="292"/>
      <c r="AJ144" s="292"/>
      <c r="AK144" s="292"/>
      <c r="AL144" s="292"/>
      <c r="AM144" s="292"/>
      <c r="AN144" s="292"/>
    </row>
    <row r="145" spans="1:40" ht="15.75">
      <c r="A145" s="294"/>
      <c r="B145" s="306" t="s">
        <v>10</v>
      </c>
      <c r="C145" s="307" t="s">
        <v>10</v>
      </c>
      <c r="D145" s="307" t="s">
        <v>10</v>
      </c>
      <c r="E145" s="307" t="s">
        <v>10</v>
      </c>
      <c r="F145" s="52" t="s">
        <v>221</v>
      </c>
      <c r="G145" s="52" t="s">
        <v>221</v>
      </c>
      <c r="H145" s="53" t="s">
        <v>221</v>
      </c>
      <c r="I145" s="294"/>
      <c r="J145" s="307" t="s">
        <v>222</v>
      </c>
      <c r="K145" s="307" t="s">
        <v>22</v>
      </c>
      <c r="L145" s="307" t="s">
        <v>89</v>
      </c>
      <c r="M145" s="306" t="s">
        <v>222</v>
      </c>
      <c r="N145" s="308" t="s">
        <v>22</v>
      </c>
      <c r="O145" s="309"/>
      <c r="P145" s="294"/>
      <c r="Q145" s="306" t="s">
        <v>90</v>
      </c>
      <c r="R145" s="307" t="s">
        <v>77</v>
      </c>
      <c r="S145" s="307" t="s">
        <v>78</v>
      </c>
      <c r="T145" s="472" t="s">
        <v>466</v>
      </c>
      <c r="U145" s="307" t="s">
        <v>77</v>
      </c>
      <c r="V145" s="307" t="s">
        <v>78</v>
      </c>
      <c r="W145" s="472" t="s">
        <v>466</v>
      </c>
      <c r="X145" s="307" t="s">
        <v>77</v>
      </c>
      <c r="Y145" s="307" t="s">
        <v>78</v>
      </c>
      <c r="Z145" s="472" t="s">
        <v>466</v>
      </c>
      <c r="AA145" s="307" t="s">
        <v>77</v>
      </c>
      <c r="AB145" s="308" t="s">
        <v>78</v>
      </c>
      <c r="AC145" s="306" t="s">
        <v>225</v>
      </c>
      <c r="AD145" s="307" t="s">
        <v>77</v>
      </c>
      <c r="AE145" s="308" t="s">
        <v>78</v>
      </c>
      <c r="AF145" s="307" t="s">
        <v>30</v>
      </c>
      <c r="AG145" s="307" t="s">
        <v>77</v>
      </c>
      <c r="AH145" s="308" t="s">
        <v>78</v>
      </c>
      <c r="AI145" s="292"/>
      <c r="AJ145" s="292"/>
      <c r="AK145" s="292"/>
      <c r="AL145" s="292"/>
      <c r="AM145" s="292"/>
      <c r="AN145" s="292"/>
    </row>
    <row r="146" spans="1:40" ht="15.75">
      <c r="A146" s="293" t="s">
        <v>91</v>
      </c>
      <c r="B146" s="74"/>
      <c r="C146" s="310">
        <v>23870</v>
      </c>
      <c r="D146" s="60">
        <v>2301</v>
      </c>
      <c r="E146" s="60">
        <v>10880</v>
      </c>
      <c r="F146" s="75">
        <v>263676</v>
      </c>
      <c r="G146" s="695"/>
      <c r="H146" s="76">
        <v>73308</v>
      </c>
      <c r="I146" s="77">
        <f>(F146)*0.2931/(C146)</f>
        <v>3.2376805865102645</v>
      </c>
      <c r="J146" s="61">
        <v>75.3</v>
      </c>
      <c r="K146" s="60">
        <v>9.1999999999999998E-3</v>
      </c>
      <c r="L146" s="78">
        <v>48.26</v>
      </c>
      <c r="M146" s="254">
        <v>67.8</v>
      </c>
      <c r="N146" s="255">
        <v>1.1599999999999999E-2</v>
      </c>
      <c r="O146" s="311"/>
      <c r="P146" s="293" t="s">
        <v>91</v>
      </c>
      <c r="Q146" s="75">
        <v>11564</v>
      </c>
      <c r="R146" s="80">
        <v>37457</v>
      </c>
      <c r="S146" s="60">
        <v>15</v>
      </c>
      <c r="T146" s="75">
        <v>23203</v>
      </c>
      <c r="U146" s="80">
        <v>37457</v>
      </c>
      <c r="V146" s="60">
        <v>15</v>
      </c>
      <c r="W146" s="75">
        <v>9304</v>
      </c>
      <c r="X146" s="80">
        <v>37137</v>
      </c>
      <c r="Y146" s="60">
        <v>15</v>
      </c>
      <c r="Z146" s="74">
        <v>31401</v>
      </c>
      <c r="AA146" s="80">
        <v>37092</v>
      </c>
      <c r="AB146" s="79">
        <v>15</v>
      </c>
      <c r="AC146" s="256">
        <v>95</v>
      </c>
      <c r="AD146" s="312">
        <v>37457</v>
      </c>
      <c r="AE146" s="258">
        <v>15</v>
      </c>
      <c r="AF146" s="257">
        <v>2.2499999999999999E-2</v>
      </c>
      <c r="AG146" s="312">
        <v>37531</v>
      </c>
      <c r="AH146" s="258">
        <v>9</v>
      </c>
      <c r="AI146" s="292"/>
      <c r="AJ146" s="292"/>
      <c r="AK146" s="292"/>
      <c r="AL146" s="292"/>
      <c r="AM146" s="292"/>
      <c r="AN146" s="292"/>
    </row>
    <row r="147" spans="1:40" ht="15.75">
      <c r="A147" s="293" t="s">
        <v>96</v>
      </c>
      <c r="B147" s="74"/>
      <c r="C147" s="97">
        <v>28499</v>
      </c>
      <c r="D147" s="60">
        <v>2686</v>
      </c>
      <c r="E147" s="60">
        <v>10880</v>
      </c>
      <c r="F147" s="74">
        <v>332292</v>
      </c>
      <c r="G147" s="292"/>
      <c r="H147" s="60">
        <v>140204</v>
      </c>
      <c r="I147" s="77">
        <f t="shared" ref="I147:I166" si="28">(F147)*0.2931/(C147)</f>
        <v>3.4174807958173976</v>
      </c>
      <c r="J147" s="61">
        <v>75.400000000000006</v>
      </c>
      <c r="K147" s="60">
        <v>1.1299999999999999E-2</v>
      </c>
      <c r="L147" s="78">
        <v>58.51</v>
      </c>
      <c r="M147" s="313"/>
      <c r="N147" s="314"/>
      <c r="O147" s="60"/>
      <c r="P147" s="293" t="s">
        <v>96</v>
      </c>
      <c r="Q147" s="74">
        <v>12583</v>
      </c>
      <c r="R147" s="80">
        <v>37457</v>
      </c>
      <c r="S147" s="60">
        <v>15</v>
      </c>
      <c r="T147" s="74">
        <v>23080</v>
      </c>
      <c r="U147" s="80">
        <v>38240</v>
      </c>
      <c r="V147" s="60">
        <v>16</v>
      </c>
      <c r="W147" s="74">
        <v>15139</v>
      </c>
      <c r="X147" s="80">
        <v>37137</v>
      </c>
      <c r="Y147" s="60">
        <v>15</v>
      </c>
      <c r="Z147" s="74">
        <v>36750</v>
      </c>
      <c r="AA147" s="80">
        <v>38233</v>
      </c>
      <c r="AB147" s="79">
        <v>16</v>
      </c>
      <c r="AC147" s="58" t="s">
        <v>388</v>
      </c>
      <c r="AD147" s="58"/>
      <c r="AE147" s="58"/>
      <c r="AF147" s="58" t="s">
        <v>389</v>
      </c>
      <c r="AG147" s="58"/>
      <c r="AH147" s="71"/>
      <c r="AI147" s="292"/>
      <c r="AJ147" s="292"/>
      <c r="AK147" s="292"/>
      <c r="AL147" s="292"/>
      <c r="AM147" s="292"/>
      <c r="AN147" s="292"/>
    </row>
    <row r="148" spans="1:40" ht="15.75">
      <c r="A148" s="293" t="s">
        <v>98</v>
      </c>
      <c r="B148" s="74"/>
      <c r="C148" s="97">
        <v>27865</v>
      </c>
      <c r="D148" s="60">
        <v>2615</v>
      </c>
      <c r="E148" s="60">
        <v>10880</v>
      </c>
      <c r="F148" s="74">
        <v>328749</v>
      </c>
      <c r="G148" s="292"/>
      <c r="H148" s="60">
        <v>114839</v>
      </c>
      <c r="I148" s="77">
        <f t="shared" si="28"/>
        <v>3.4579699228422753</v>
      </c>
      <c r="J148" s="61">
        <v>75.900000000000006</v>
      </c>
      <c r="K148" s="60">
        <v>1.01E-2</v>
      </c>
      <c r="L148" s="78">
        <v>51.21</v>
      </c>
      <c r="M148" s="313"/>
      <c r="N148" s="314"/>
      <c r="O148" s="60"/>
      <c r="P148" s="293" t="s">
        <v>98</v>
      </c>
      <c r="Q148" s="75">
        <v>12916</v>
      </c>
      <c r="R148" s="80">
        <v>37457</v>
      </c>
      <c r="S148" s="60">
        <v>15</v>
      </c>
      <c r="T148" s="75">
        <v>31119</v>
      </c>
      <c r="U148" s="80">
        <v>38101</v>
      </c>
      <c r="V148" s="60">
        <v>16</v>
      </c>
      <c r="W148" s="74">
        <v>31497</v>
      </c>
      <c r="X148" s="80">
        <v>37531</v>
      </c>
      <c r="Y148" s="79">
        <v>9</v>
      </c>
      <c r="Z148" s="74">
        <v>53813</v>
      </c>
      <c r="AA148" s="80">
        <v>37531</v>
      </c>
      <c r="AB148" s="79">
        <v>9</v>
      </c>
      <c r="AC148" s="71"/>
      <c r="AD148" s="71"/>
      <c r="AE148" s="71"/>
      <c r="AF148" s="71"/>
      <c r="AG148" s="71"/>
      <c r="AH148" s="71"/>
      <c r="AI148" s="292"/>
      <c r="AJ148" s="292"/>
      <c r="AK148" s="292"/>
      <c r="AL148" s="292"/>
      <c r="AM148" s="292"/>
      <c r="AN148" s="292"/>
    </row>
    <row r="149" spans="1:40" ht="15.75">
      <c r="A149" s="293" t="s">
        <v>102</v>
      </c>
      <c r="B149" s="74"/>
      <c r="C149" s="97">
        <v>28828</v>
      </c>
      <c r="D149" s="60">
        <v>2656</v>
      </c>
      <c r="E149" s="60">
        <v>10880</v>
      </c>
      <c r="F149" s="74">
        <v>343671</v>
      </c>
      <c r="G149" s="292"/>
      <c r="H149" s="60">
        <v>127666</v>
      </c>
      <c r="I149" s="77">
        <f t="shared" si="28"/>
        <v>3.4941712952684894</v>
      </c>
      <c r="J149" s="61">
        <v>75.7</v>
      </c>
      <c r="K149" s="60">
        <v>9.9000000000000008E-3</v>
      </c>
      <c r="L149" s="78">
        <v>50.58</v>
      </c>
      <c r="M149" s="313"/>
      <c r="N149" s="314"/>
      <c r="O149" s="60"/>
      <c r="P149" s="293" t="s">
        <v>102</v>
      </c>
      <c r="Q149" s="75">
        <v>13212</v>
      </c>
      <c r="R149" s="80">
        <v>37457</v>
      </c>
      <c r="S149" s="60">
        <v>15</v>
      </c>
      <c r="T149" s="75">
        <v>33410</v>
      </c>
      <c r="U149" s="80">
        <v>37421</v>
      </c>
      <c r="V149" s="60">
        <v>14</v>
      </c>
      <c r="W149" s="74">
        <v>26941</v>
      </c>
      <c r="X149" s="80">
        <v>37882</v>
      </c>
      <c r="Y149" s="79">
        <v>15</v>
      </c>
      <c r="Z149" s="74">
        <v>43628</v>
      </c>
      <c r="AA149" s="80">
        <v>37531</v>
      </c>
      <c r="AB149" s="79">
        <v>9</v>
      </c>
      <c r="AC149" s="71"/>
      <c r="AD149" s="71"/>
      <c r="AE149" s="71"/>
      <c r="AF149" s="71"/>
      <c r="AG149" s="71"/>
      <c r="AH149" s="71"/>
      <c r="AI149" s="292"/>
      <c r="AJ149" s="292"/>
      <c r="AK149" s="292"/>
      <c r="AL149" s="292"/>
      <c r="AM149" s="292"/>
      <c r="AN149" s="292"/>
    </row>
    <row r="150" spans="1:40" ht="15.75">
      <c r="A150" s="293" t="s">
        <v>356</v>
      </c>
      <c r="B150" s="74"/>
      <c r="C150" s="97">
        <v>28478</v>
      </c>
      <c r="D150" s="60">
        <v>2649</v>
      </c>
      <c r="E150" s="60">
        <v>10880</v>
      </c>
      <c r="F150" s="97">
        <v>337863</v>
      </c>
      <c r="G150" s="292"/>
      <c r="H150" s="60">
        <v>122737</v>
      </c>
      <c r="I150" s="77">
        <f t="shared" si="28"/>
        <v>3.4773384823372431</v>
      </c>
      <c r="J150" s="60">
        <v>75.7</v>
      </c>
      <c r="K150" s="60">
        <v>9.9000000000000008E-3</v>
      </c>
      <c r="L150" s="78">
        <v>50.69</v>
      </c>
      <c r="M150" s="313"/>
      <c r="N150" s="314"/>
      <c r="O150" s="60"/>
      <c r="P150" s="293" t="s">
        <v>356</v>
      </c>
      <c r="Q150" s="75">
        <v>13158</v>
      </c>
      <c r="R150" s="80">
        <v>37457</v>
      </c>
      <c r="S150" s="60">
        <v>15</v>
      </c>
      <c r="T150" s="75">
        <v>32086</v>
      </c>
      <c r="U150" s="80">
        <v>37392</v>
      </c>
      <c r="V150" s="60">
        <v>16</v>
      </c>
      <c r="W150" s="292">
        <v>30451</v>
      </c>
      <c r="X150" s="80">
        <v>37531</v>
      </c>
      <c r="Y150" s="79">
        <v>9</v>
      </c>
      <c r="Z150" s="292">
        <v>50819</v>
      </c>
      <c r="AA150" s="80">
        <v>37531</v>
      </c>
      <c r="AB150" s="79">
        <v>9</v>
      </c>
      <c r="AC150" s="71"/>
      <c r="AD150" s="71"/>
      <c r="AE150" s="71"/>
      <c r="AF150" s="71"/>
      <c r="AG150" s="71"/>
      <c r="AH150" s="71"/>
      <c r="AI150" s="292"/>
      <c r="AJ150" s="292"/>
      <c r="AK150" s="292"/>
      <c r="AL150" s="292"/>
      <c r="AM150" s="292"/>
      <c r="AN150" s="292"/>
    </row>
    <row r="151" spans="1:40" ht="15.75">
      <c r="A151" s="293" t="s">
        <v>105</v>
      </c>
      <c r="B151" s="74"/>
      <c r="C151" s="97">
        <v>19667</v>
      </c>
      <c r="D151" s="60">
        <v>1865</v>
      </c>
      <c r="E151" s="60">
        <v>10880</v>
      </c>
      <c r="F151" s="74">
        <v>217456</v>
      </c>
      <c r="G151" s="292"/>
      <c r="H151" s="60">
        <v>54766</v>
      </c>
      <c r="I151" s="77">
        <f>(F151)*0.2931/(C151)</f>
        <v>3.240776610565923</v>
      </c>
      <c r="J151" s="61">
        <v>79.099999999999994</v>
      </c>
      <c r="K151" s="63">
        <v>0.01</v>
      </c>
      <c r="L151" s="78">
        <v>45.45</v>
      </c>
      <c r="M151" s="313"/>
      <c r="N151" s="314"/>
      <c r="O151" s="60"/>
      <c r="P151" s="293" t="s">
        <v>105</v>
      </c>
      <c r="Q151" s="75">
        <v>11654</v>
      </c>
      <c r="R151" s="80">
        <v>37457</v>
      </c>
      <c r="S151" s="60">
        <v>15</v>
      </c>
      <c r="T151" s="75">
        <v>23203</v>
      </c>
      <c r="U151" s="80">
        <v>37457</v>
      </c>
      <c r="V151" s="60">
        <v>15</v>
      </c>
      <c r="W151" s="74">
        <v>9303</v>
      </c>
      <c r="X151" s="80">
        <v>37137</v>
      </c>
      <c r="Y151" s="60">
        <v>15</v>
      </c>
      <c r="Z151" s="74">
        <v>31401</v>
      </c>
      <c r="AA151" s="80">
        <v>37092</v>
      </c>
      <c r="AB151" s="79">
        <v>15</v>
      </c>
      <c r="AC151" s="71"/>
      <c r="AD151" s="71"/>
      <c r="AE151" s="71"/>
      <c r="AF151" s="71"/>
      <c r="AG151" s="71"/>
      <c r="AH151" s="71"/>
      <c r="AI151" s="292"/>
      <c r="AJ151" s="292"/>
      <c r="AK151" s="292"/>
      <c r="AL151" s="292"/>
      <c r="AM151" s="292"/>
      <c r="AN151" s="292"/>
    </row>
    <row r="152" spans="1:40" ht="15.75">
      <c r="A152" s="293" t="s">
        <v>108</v>
      </c>
      <c r="B152" s="74"/>
      <c r="C152" s="97">
        <v>43184</v>
      </c>
      <c r="D152" s="60">
        <v>4185</v>
      </c>
      <c r="E152" s="60">
        <v>10880</v>
      </c>
      <c r="F152" s="74">
        <v>545231</v>
      </c>
      <c r="G152" s="292"/>
      <c r="H152" s="60">
        <v>84911</v>
      </c>
      <c r="I152" s="77">
        <f t="shared" si="28"/>
        <v>3.7006114787884403</v>
      </c>
      <c r="J152" s="61">
        <v>78.099999999999994</v>
      </c>
      <c r="K152" s="63">
        <v>8.6999999999999994E-3</v>
      </c>
      <c r="L152" s="78">
        <v>41.49</v>
      </c>
      <c r="M152" s="313"/>
      <c r="N152" s="314"/>
      <c r="O152" s="60"/>
      <c r="P152" s="293" t="s">
        <v>108</v>
      </c>
      <c r="Q152" s="75">
        <v>12736</v>
      </c>
      <c r="R152" s="80">
        <v>37457</v>
      </c>
      <c r="S152" s="60">
        <v>15</v>
      </c>
      <c r="T152" s="75">
        <v>32111</v>
      </c>
      <c r="U152" s="80">
        <v>37735</v>
      </c>
      <c r="V152" s="60">
        <v>16</v>
      </c>
      <c r="W152" s="74">
        <v>10026</v>
      </c>
      <c r="X152" s="80">
        <v>37531</v>
      </c>
      <c r="Y152" s="79">
        <v>9</v>
      </c>
      <c r="Z152" s="74">
        <v>40613</v>
      </c>
      <c r="AA152" s="80">
        <v>37531</v>
      </c>
      <c r="AB152" s="79">
        <v>9</v>
      </c>
      <c r="AC152" s="71"/>
      <c r="AD152" s="71"/>
      <c r="AE152" s="71"/>
      <c r="AF152" s="71"/>
      <c r="AG152" s="71"/>
      <c r="AH152" s="71"/>
      <c r="AI152" s="292"/>
      <c r="AJ152" s="292"/>
      <c r="AK152" s="292"/>
      <c r="AL152" s="292"/>
      <c r="AM152" s="292"/>
      <c r="AN152" s="292"/>
    </row>
    <row r="153" spans="1:40" ht="15.75">
      <c r="A153" s="293" t="s">
        <v>109</v>
      </c>
      <c r="B153" s="74"/>
      <c r="C153" s="97">
        <v>19966</v>
      </c>
      <c r="D153" s="60">
        <v>1860</v>
      </c>
      <c r="E153" s="60">
        <v>10880</v>
      </c>
      <c r="F153" s="74">
        <v>221486</v>
      </c>
      <c r="G153" s="292"/>
      <c r="H153" s="60">
        <v>80172</v>
      </c>
      <c r="I153" s="77">
        <f t="shared" si="28"/>
        <v>3.2514047180206354</v>
      </c>
      <c r="J153" s="61">
        <v>75.3</v>
      </c>
      <c r="K153" s="63">
        <v>0.01</v>
      </c>
      <c r="L153" s="78">
        <v>52.21</v>
      </c>
      <c r="M153" s="313"/>
      <c r="N153" s="314"/>
      <c r="O153" s="60"/>
      <c r="P153" s="293" t="s">
        <v>109</v>
      </c>
      <c r="Q153" s="75">
        <v>11564</v>
      </c>
      <c r="R153" s="80">
        <v>37457</v>
      </c>
      <c r="S153" s="60">
        <v>15</v>
      </c>
      <c r="T153" s="75">
        <v>23203</v>
      </c>
      <c r="U153" s="80">
        <v>37457</v>
      </c>
      <c r="V153" s="60">
        <v>15</v>
      </c>
      <c r="W153" s="74">
        <v>25578</v>
      </c>
      <c r="X153" s="80">
        <v>37517</v>
      </c>
      <c r="Y153" s="60">
        <v>14</v>
      </c>
      <c r="Z153" s="74">
        <v>40543</v>
      </c>
      <c r="AA153" s="80">
        <v>37517</v>
      </c>
      <c r="AB153" s="102">
        <v>14</v>
      </c>
      <c r="AC153" s="71"/>
      <c r="AD153" s="71"/>
      <c r="AE153" s="71"/>
      <c r="AF153" s="71"/>
      <c r="AG153" s="71"/>
      <c r="AH153" s="71"/>
      <c r="AI153" s="292"/>
      <c r="AJ153" s="292"/>
      <c r="AK153" s="292"/>
      <c r="AL153" s="292"/>
      <c r="AM153" s="292"/>
      <c r="AN153" s="292"/>
    </row>
    <row r="154" spans="1:40" ht="15.75">
      <c r="A154" s="293" t="s">
        <v>111</v>
      </c>
      <c r="B154" s="74"/>
      <c r="C154" s="97">
        <v>20788</v>
      </c>
      <c r="D154" s="60">
        <v>1965</v>
      </c>
      <c r="E154" s="60">
        <v>10880</v>
      </c>
      <c r="F154" s="74">
        <v>227839</v>
      </c>
      <c r="G154" s="292"/>
      <c r="H154" s="60">
        <v>65237</v>
      </c>
      <c r="I154" s="77">
        <f t="shared" si="28"/>
        <v>3.2124115306907832</v>
      </c>
      <c r="J154" s="61">
        <v>75.3</v>
      </c>
      <c r="K154" s="63">
        <v>9.4999999999999998E-3</v>
      </c>
      <c r="L154" s="78">
        <v>49.65</v>
      </c>
      <c r="M154" s="313"/>
      <c r="N154" s="314"/>
      <c r="O154" s="60"/>
      <c r="P154" s="293" t="s">
        <v>111</v>
      </c>
      <c r="Q154" s="75">
        <v>11564</v>
      </c>
      <c r="R154" s="80">
        <v>37457</v>
      </c>
      <c r="S154" s="60">
        <v>15</v>
      </c>
      <c r="T154" s="75">
        <v>23203</v>
      </c>
      <c r="U154" s="80">
        <v>37457</v>
      </c>
      <c r="V154" s="60">
        <v>15</v>
      </c>
      <c r="W154" s="74">
        <v>9304</v>
      </c>
      <c r="X154" s="80">
        <v>37137</v>
      </c>
      <c r="Y154" s="60">
        <v>15</v>
      </c>
      <c r="Z154" s="74">
        <v>31401</v>
      </c>
      <c r="AA154" s="80">
        <v>37092</v>
      </c>
      <c r="AB154" s="79">
        <v>15</v>
      </c>
      <c r="AC154" s="71"/>
      <c r="AD154" s="71"/>
      <c r="AE154" s="71"/>
      <c r="AF154" s="71"/>
      <c r="AG154" s="71"/>
      <c r="AH154" s="71"/>
      <c r="AI154" s="292"/>
      <c r="AJ154" s="292"/>
      <c r="AK154" s="292"/>
      <c r="AL154" s="292"/>
      <c r="AM154" s="292"/>
      <c r="AN154" s="292"/>
    </row>
    <row r="155" spans="1:40" ht="15.75">
      <c r="A155" s="293" t="s">
        <v>112</v>
      </c>
      <c r="B155" s="74"/>
      <c r="C155" s="97">
        <v>21650</v>
      </c>
      <c r="D155" s="60">
        <v>2054</v>
      </c>
      <c r="E155" s="60">
        <v>10880</v>
      </c>
      <c r="F155" s="74">
        <v>237499</v>
      </c>
      <c r="G155" s="292"/>
      <c r="H155" s="60">
        <v>68048</v>
      </c>
      <c r="I155" s="77">
        <f>(F155)*0.2931/(C155)</f>
        <v>3.2152866928406469</v>
      </c>
      <c r="J155" s="61">
        <v>75.3</v>
      </c>
      <c r="K155" s="63">
        <v>9.4000000000000004E-3</v>
      </c>
      <c r="L155" s="78">
        <v>49.14</v>
      </c>
      <c r="M155" s="313"/>
      <c r="N155" s="314"/>
      <c r="O155" s="60"/>
      <c r="P155" s="293" t="s">
        <v>112</v>
      </c>
      <c r="Q155" s="75">
        <v>11564</v>
      </c>
      <c r="R155" s="80">
        <v>37457</v>
      </c>
      <c r="S155" s="60">
        <v>15</v>
      </c>
      <c r="T155" s="75">
        <v>23203</v>
      </c>
      <c r="U155" s="80">
        <v>37457</v>
      </c>
      <c r="V155" s="60">
        <v>15</v>
      </c>
      <c r="W155" s="74">
        <v>9304</v>
      </c>
      <c r="X155" s="80">
        <v>37137</v>
      </c>
      <c r="Y155" s="60">
        <v>15</v>
      </c>
      <c r="Z155" s="74">
        <v>31401</v>
      </c>
      <c r="AA155" s="80">
        <v>37092</v>
      </c>
      <c r="AB155" s="79">
        <v>15</v>
      </c>
      <c r="AC155" s="71"/>
      <c r="AD155" s="71"/>
      <c r="AE155" s="71"/>
      <c r="AF155" s="71"/>
      <c r="AG155" s="71"/>
      <c r="AH155" s="71"/>
      <c r="AI155" s="292"/>
      <c r="AJ155" s="292"/>
      <c r="AK155" s="292"/>
      <c r="AL155" s="292"/>
      <c r="AM155" s="292"/>
      <c r="AN155" s="292"/>
    </row>
    <row r="156" spans="1:40" ht="15.75">
      <c r="A156" s="293" t="s">
        <v>113</v>
      </c>
      <c r="B156" s="74"/>
      <c r="C156" s="97">
        <v>21052</v>
      </c>
      <c r="D156" s="60">
        <v>1993</v>
      </c>
      <c r="E156" s="60">
        <v>10880</v>
      </c>
      <c r="F156" s="74">
        <v>230777</v>
      </c>
      <c r="G156" s="292"/>
      <c r="H156" s="60">
        <v>67927</v>
      </c>
      <c r="I156" s="77">
        <f t="shared" si="28"/>
        <v>3.2130314791943757</v>
      </c>
      <c r="J156" s="61">
        <v>75.3</v>
      </c>
      <c r="K156" s="63">
        <v>9.4000000000000004E-3</v>
      </c>
      <c r="L156" s="78">
        <v>49.17</v>
      </c>
      <c r="M156" s="313"/>
      <c r="N156" s="314"/>
      <c r="O156" s="60"/>
      <c r="P156" s="293" t="s">
        <v>113</v>
      </c>
      <c r="Q156" s="75">
        <v>11564</v>
      </c>
      <c r="R156" s="80">
        <v>37457</v>
      </c>
      <c r="S156" s="60">
        <v>15</v>
      </c>
      <c r="T156" s="75">
        <v>23203</v>
      </c>
      <c r="U156" s="80">
        <v>37457</v>
      </c>
      <c r="V156" s="60">
        <v>15</v>
      </c>
      <c r="W156" s="74">
        <v>11105</v>
      </c>
      <c r="X156" s="80">
        <v>38284</v>
      </c>
      <c r="Y156" s="60">
        <v>14</v>
      </c>
      <c r="Z156" s="74">
        <v>31401</v>
      </c>
      <c r="AA156" s="80">
        <v>37092</v>
      </c>
      <c r="AB156" s="79">
        <v>15</v>
      </c>
      <c r="AC156" s="71"/>
      <c r="AD156" s="71"/>
      <c r="AE156" s="71"/>
      <c r="AF156" s="71"/>
      <c r="AG156" s="71"/>
      <c r="AH156" s="71"/>
      <c r="AI156" s="292"/>
      <c r="AJ156" s="292"/>
      <c r="AK156" s="292"/>
      <c r="AL156" s="292"/>
      <c r="AM156" s="292"/>
      <c r="AN156" s="292"/>
    </row>
    <row r="157" spans="1:40" ht="15.75">
      <c r="A157" s="293" t="s">
        <v>114</v>
      </c>
      <c r="B157" s="74"/>
      <c r="C157" s="97">
        <v>22152</v>
      </c>
      <c r="D157" s="60">
        <v>2110</v>
      </c>
      <c r="E157" s="60">
        <v>10880</v>
      </c>
      <c r="F157" s="74">
        <v>243535</v>
      </c>
      <c r="G157" s="292"/>
      <c r="H157" s="60">
        <v>70923</v>
      </c>
      <c r="I157" s="77">
        <f>(F157)*0.2931/(C157)</f>
        <v>3.2222873104008669</v>
      </c>
      <c r="J157" s="61">
        <v>75.3</v>
      </c>
      <c r="K157" s="63">
        <v>9.2999999999999992E-3</v>
      </c>
      <c r="L157" s="78">
        <v>48.46</v>
      </c>
      <c r="M157" s="313"/>
      <c r="N157" s="314"/>
      <c r="O157" s="60"/>
      <c r="P157" s="293" t="s">
        <v>114</v>
      </c>
      <c r="Q157" s="75">
        <v>11564</v>
      </c>
      <c r="R157" s="80">
        <v>37457</v>
      </c>
      <c r="S157" s="60">
        <v>15</v>
      </c>
      <c r="T157" s="75">
        <v>23203</v>
      </c>
      <c r="U157" s="80">
        <v>37457</v>
      </c>
      <c r="V157" s="60">
        <v>15</v>
      </c>
      <c r="W157" s="74">
        <v>9304</v>
      </c>
      <c r="X157" s="80">
        <v>37137</v>
      </c>
      <c r="Y157" s="60">
        <v>15</v>
      </c>
      <c r="Z157" s="74">
        <v>31401</v>
      </c>
      <c r="AA157" s="80">
        <v>37092</v>
      </c>
      <c r="AB157" s="79">
        <v>15</v>
      </c>
      <c r="AC157" s="71"/>
      <c r="AD157" s="71"/>
      <c r="AE157" s="71"/>
      <c r="AF157" s="71"/>
      <c r="AG157" s="71"/>
      <c r="AH157" s="71"/>
      <c r="AI157" s="292"/>
      <c r="AJ157" s="292"/>
      <c r="AK157" s="292"/>
      <c r="AL157" s="292"/>
      <c r="AM157" s="292"/>
      <c r="AN157" s="292"/>
    </row>
    <row r="158" spans="1:40" ht="15.75">
      <c r="A158" s="293" t="s">
        <v>115</v>
      </c>
      <c r="B158" s="74"/>
      <c r="C158" s="97">
        <v>20448</v>
      </c>
      <c r="D158" s="60">
        <v>1975</v>
      </c>
      <c r="E158" s="60">
        <v>2369</v>
      </c>
      <c r="F158" s="74">
        <v>225165</v>
      </c>
      <c r="G158" s="292"/>
      <c r="H158" s="60">
        <v>62593</v>
      </c>
      <c r="I158" s="77">
        <f t="shared" si="28"/>
        <v>3.2274971390845071</v>
      </c>
      <c r="J158" s="61">
        <v>69.2</v>
      </c>
      <c r="K158" s="473"/>
      <c r="L158" s="78"/>
      <c r="M158" s="313"/>
      <c r="N158" s="314"/>
      <c r="O158" s="314"/>
      <c r="P158" s="293" t="s">
        <v>116</v>
      </c>
      <c r="Q158" s="75">
        <v>10431</v>
      </c>
      <c r="R158" s="80">
        <v>37457</v>
      </c>
      <c r="S158" s="60">
        <v>15</v>
      </c>
      <c r="T158" s="75">
        <v>20009</v>
      </c>
      <c r="U158" s="80">
        <v>37776</v>
      </c>
      <c r="V158" s="60">
        <v>16</v>
      </c>
      <c r="W158" s="74">
        <v>7733</v>
      </c>
      <c r="X158" s="80">
        <v>37137</v>
      </c>
      <c r="Y158" s="60">
        <v>15</v>
      </c>
      <c r="Z158" s="74">
        <v>27707</v>
      </c>
      <c r="AA158" s="80">
        <v>37119</v>
      </c>
      <c r="AB158" s="102">
        <v>16</v>
      </c>
      <c r="AC158" s="71"/>
      <c r="AD158" s="71"/>
      <c r="AE158" s="71"/>
      <c r="AF158" s="71"/>
      <c r="AG158" s="71"/>
      <c r="AH158" s="71"/>
      <c r="AI158" s="292"/>
      <c r="AJ158" s="292"/>
      <c r="AK158" s="292"/>
      <c r="AL158" s="292"/>
      <c r="AM158" s="292"/>
      <c r="AN158" s="292"/>
    </row>
    <row r="159" spans="1:40" ht="15.75">
      <c r="A159" s="293" t="s">
        <v>120</v>
      </c>
      <c r="B159" s="74"/>
      <c r="C159" s="97">
        <v>16035</v>
      </c>
      <c r="D159" s="60">
        <v>1527</v>
      </c>
      <c r="E159" s="60">
        <v>1837</v>
      </c>
      <c r="F159" s="74">
        <v>172954</v>
      </c>
      <c r="G159" s="292"/>
      <c r="H159" s="60">
        <v>48097</v>
      </c>
      <c r="I159" s="77">
        <f t="shared" si="28"/>
        <v>3.1613855565949489</v>
      </c>
      <c r="J159" s="61">
        <v>77</v>
      </c>
      <c r="K159" s="60">
        <v>1.14E-2</v>
      </c>
      <c r="L159" s="78">
        <v>57.47</v>
      </c>
      <c r="M159" s="313"/>
      <c r="N159" s="314"/>
      <c r="O159" s="314"/>
      <c r="P159" s="293" t="s">
        <v>121</v>
      </c>
      <c r="Q159" s="75">
        <v>11590</v>
      </c>
      <c r="R159" s="80">
        <v>37457</v>
      </c>
      <c r="S159" s="60">
        <v>15</v>
      </c>
      <c r="T159" s="75">
        <v>22513</v>
      </c>
      <c r="U159" s="80">
        <v>37448</v>
      </c>
      <c r="V159" s="60">
        <v>15</v>
      </c>
      <c r="W159" s="74">
        <v>8723</v>
      </c>
      <c r="X159" s="80">
        <v>37531</v>
      </c>
      <c r="Y159" s="79">
        <v>9</v>
      </c>
      <c r="Z159" s="74">
        <v>31188</v>
      </c>
      <c r="AA159" s="80">
        <v>37092</v>
      </c>
      <c r="AB159" s="102">
        <v>15</v>
      </c>
      <c r="AC159" s="71"/>
      <c r="AD159" s="71"/>
      <c r="AE159" s="71"/>
      <c r="AF159" s="71"/>
      <c r="AG159" s="71"/>
      <c r="AH159" s="71"/>
      <c r="AI159" s="292"/>
      <c r="AJ159" s="292"/>
      <c r="AK159" s="292"/>
      <c r="AL159" s="292"/>
      <c r="AM159" s="292"/>
      <c r="AN159" s="292"/>
    </row>
    <row r="160" spans="1:40" ht="15.75">
      <c r="A160" s="293" t="s">
        <v>124</v>
      </c>
      <c r="B160" s="74"/>
      <c r="C160" s="97">
        <v>31872</v>
      </c>
      <c r="D160" s="60">
        <v>3061</v>
      </c>
      <c r="E160" s="60">
        <v>4099</v>
      </c>
      <c r="F160" s="74">
        <v>389007</v>
      </c>
      <c r="G160" s="292"/>
      <c r="H160" s="60">
        <v>108196</v>
      </c>
      <c r="I160" s="77">
        <f t="shared" si="28"/>
        <v>3.5773704725150606</v>
      </c>
      <c r="J160" s="61">
        <v>77.2</v>
      </c>
      <c r="K160" s="60">
        <v>1.14E-2</v>
      </c>
      <c r="L160" s="78">
        <v>57.36</v>
      </c>
      <c r="M160" s="313"/>
      <c r="N160" s="314"/>
      <c r="O160" s="314"/>
      <c r="P160" s="293" t="s">
        <v>125</v>
      </c>
      <c r="Q160" s="75">
        <v>10989</v>
      </c>
      <c r="R160" s="80">
        <v>37457</v>
      </c>
      <c r="S160" s="60">
        <v>15</v>
      </c>
      <c r="T160" s="75">
        <v>20159</v>
      </c>
      <c r="U160" s="80">
        <v>38133</v>
      </c>
      <c r="V160" s="60">
        <v>16</v>
      </c>
      <c r="W160" s="74">
        <v>7785</v>
      </c>
      <c r="X160" s="80">
        <v>37137</v>
      </c>
      <c r="Y160" s="60">
        <v>15</v>
      </c>
      <c r="Z160" s="74">
        <v>27878</v>
      </c>
      <c r="AA160" s="80">
        <v>38213</v>
      </c>
      <c r="AB160" s="79">
        <v>16</v>
      </c>
      <c r="AC160" s="71"/>
      <c r="AD160" s="71"/>
      <c r="AE160" s="71"/>
      <c r="AF160" s="71"/>
      <c r="AG160" s="71"/>
      <c r="AH160" s="71"/>
      <c r="AI160" s="292"/>
      <c r="AJ160" s="292"/>
      <c r="AK160" s="292"/>
      <c r="AL160" s="292"/>
      <c r="AM160" s="292"/>
      <c r="AN160" s="292"/>
    </row>
    <row r="161" spans="1:42" ht="15.75">
      <c r="A161" s="293" t="s">
        <v>125</v>
      </c>
      <c r="B161" s="74"/>
      <c r="C161" s="97">
        <v>22515</v>
      </c>
      <c r="D161" s="60">
        <v>2394</v>
      </c>
      <c r="E161" s="60">
        <v>2874</v>
      </c>
      <c r="F161" s="74">
        <v>227128</v>
      </c>
      <c r="G161" s="292"/>
      <c r="H161" s="60">
        <v>63015</v>
      </c>
      <c r="I161" s="77">
        <f>(F161)*0.2931/(C161)</f>
        <v>2.9567495802798138</v>
      </c>
      <c r="J161" s="61">
        <v>56.8</v>
      </c>
      <c r="K161" s="314"/>
      <c r="L161" s="474"/>
      <c r="M161" s="313"/>
      <c r="N161" s="314"/>
      <c r="O161" s="314"/>
      <c r="P161" s="293" t="s">
        <v>127</v>
      </c>
      <c r="Q161" s="75">
        <v>10972</v>
      </c>
      <c r="R161" s="80">
        <v>37457</v>
      </c>
      <c r="S161" s="60">
        <v>15</v>
      </c>
      <c r="T161" s="75">
        <v>20137</v>
      </c>
      <c r="U161" s="80">
        <v>37448</v>
      </c>
      <c r="V161" s="60">
        <v>16</v>
      </c>
      <c r="W161" s="74">
        <v>7760</v>
      </c>
      <c r="X161" s="80">
        <v>37137</v>
      </c>
      <c r="Y161" s="60">
        <v>15</v>
      </c>
      <c r="Z161" s="74">
        <v>27868</v>
      </c>
      <c r="AA161" s="80">
        <v>37484</v>
      </c>
      <c r="AB161" s="79">
        <v>16</v>
      </c>
      <c r="AC161" s="71"/>
      <c r="AD161" s="71"/>
      <c r="AE161" s="71"/>
      <c r="AF161" s="71"/>
      <c r="AG161" s="71"/>
      <c r="AH161" s="71"/>
      <c r="AI161" s="292"/>
      <c r="AJ161" s="292"/>
      <c r="AK161" s="292"/>
      <c r="AL161" s="292"/>
      <c r="AM161" s="292"/>
      <c r="AN161" s="292"/>
    </row>
    <row r="162" spans="1:42" ht="15.75">
      <c r="A162" s="293" t="s">
        <v>127</v>
      </c>
      <c r="B162" s="74"/>
      <c r="C162" s="97">
        <v>21589</v>
      </c>
      <c r="D162" s="60">
        <v>2182</v>
      </c>
      <c r="E162" s="60">
        <v>2704</v>
      </c>
      <c r="F162" s="74">
        <v>226452</v>
      </c>
      <c r="G162" s="292"/>
      <c r="H162" s="60">
        <v>62814</v>
      </c>
      <c r="I162" s="77">
        <f>(F162)*0.2931/(C162)</f>
        <v>3.0743934966881281</v>
      </c>
      <c r="J162" s="61">
        <v>63.1</v>
      </c>
      <c r="K162" s="314"/>
      <c r="L162" s="474"/>
      <c r="M162" s="313"/>
      <c r="N162" s="314"/>
      <c r="O162" s="314"/>
      <c r="P162" s="293" t="s">
        <v>130</v>
      </c>
      <c r="Q162" s="75">
        <v>9538</v>
      </c>
      <c r="R162" s="80">
        <v>37457</v>
      </c>
      <c r="S162" s="60">
        <v>15</v>
      </c>
      <c r="T162" s="75">
        <v>19850</v>
      </c>
      <c r="U162" s="80">
        <v>37370</v>
      </c>
      <c r="V162" s="60">
        <v>16</v>
      </c>
      <c r="W162" s="74">
        <v>7663</v>
      </c>
      <c r="X162" s="80">
        <v>37137</v>
      </c>
      <c r="Y162" s="60">
        <v>15</v>
      </c>
      <c r="Z162" s="74">
        <v>27466</v>
      </c>
      <c r="AA162" s="80">
        <v>37445</v>
      </c>
      <c r="AB162" s="79">
        <v>16</v>
      </c>
      <c r="AC162" s="71"/>
      <c r="AD162" s="71"/>
      <c r="AE162" s="71"/>
      <c r="AF162" s="71"/>
      <c r="AG162" s="71"/>
      <c r="AH162" s="71"/>
      <c r="AI162" s="292"/>
      <c r="AJ162" s="292"/>
      <c r="AK162" s="292"/>
      <c r="AL162" s="292"/>
      <c r="AM162" s="292"/>
      <c r="AN162" s="292"/>
    </row>
    <row r="163" spans="1:42" ht="15.75">
      <c r="A163" s="293" t="s">
        <v>130</v>
      </c>
      <c r="B163" s="74"/>
      <c r="C163" s="97">
        <v>18522</v>
      </c>
      <c r="D163" s="60">
        <v>1642</v>
      </c>
      <c r="E163" s="60">
        <v>1886</v>
      </c>
      <c r="F163" s="74">
        <v>223129</v>
      </c>
      <c r="G163" s="292"/>
      <c r="H163" s="60">
        <v>62032</v>
      </c>
      <c r="I163" s="77">
        <f t="shared" si="28"/>
        <v>3.5308881276320054</v>
      </c>
      <c r="J163" s="61">
        <v>81.3</v>
      </c>
      <c r="K163" s="314"/>
      <c r="L163" s="474"/>
      <c r="M163" s="313"/>
      <c r="N163" s="314"/>
      <c r="O163" s="314"/>
      <c r="P163" s="293" t="s">
        <v>132</v>
      </c>
      <c r="Q163" s="75">
        <v>8059</v>
      </c>
      <c r="R163" s="80">
        <v>37457</v>
      </c>
      <c r="S163" s="60">
        <v>15</v>
      </c>
      <c r="T163" s="75">
        <v>19576</v>
      </c>
      <c r="U163" s="80">
        <v>37370</v>
      </c>
      <c r="V163" s="60">
        <v>16</v>
      </c>
      <c r="W163" s="74">
        <v>0</v>
      </c>
      <c r="X163" s="60"/>
      <c r="Y163" s="60"/>
      <c r="Z163" s="74">
        <v>19576</v>
      </c>
      <c r="AA163" s="80">
        <v>37370</v>
      </c>
      <c r="AB163" s="60">
        <v>16</v>
      </c>
      <c r="AC163" s="71"/>
      <c r="AD163" s="71"/>
      <c r="AE163" s="71"/>
      <c r="AF163" s="71"/>
      <c r="AG163" s="71"/>
      <c r="AH163" s="71"/>
      <c r="AI163" s="292"/>
      <c r="AJ163" s="292"/>
      <c r="AK163" s="292"/>
      <c r="AL163" s="292"/>
      <c r="AM163" s="292"/>
      <c r="AN163" s="292"/>
    </row>
    <row r="164" spans="1:42" ht="15.75">
      <c r="A164" s="293" t="s">
        <v>132</v>
      </c>
      <c r="B164" s="74"/>
      <c r="C164" s="97">
        <v>15707</v>
      </c>
      <c r="D164" s="60">
        <v>1580</v>
      </c>
      <c r="E164" s="60">
        <v>1833</v>
      </c>
      <c r="F164" s="74">
        <v>159107</v>
      </c>
      <c r="G164" s="292"/>
      <c r="H164" s="60">
        <v>207</v>
      </c>
      <c r="I164" s="77">
        <f t="shared" si="28"/>
        <v>2.969011377093016</v>
      </c>
      <c r="J164" s="61">
        <v>69.099999999999994</v>
      </c>
      <c r="K164" s="314"/>
      <c r="L164" s="474"/>
      <c r="M164" s="313"/>
      <c r="N164" s="314"/>
      <c r="O164" s="314"/>
      <c r="P164" s="293" t="s">
        <v>135</v>
      </c>
      <c r="Q164" s="75">
        <v>8943</v>
      </c>
      <c r="R164" s="80">
        <v>37457</v>
      </c>
      <c r="S164" s="60">
        <v>15</v>
      </c>
      <c r="T164" s="75">
        <v>19766</v>
      </c>
      <c r="U164" s="80">
        <v>37370</v>
      </c>
      <c r="V164" s="60">
        <v>16</v>
      </c>
      <c r="W164" s="74">
        <v>0</v>
      </c>
      <c r="X164" s="60"/>
      <c r="Y164" s="60"/>
      <c r="Z164" s="74">
        <v>19766</v>
      </c>
      <c r="AA164" s="80">
        <v>37370</v>
      </c>
      <c r="AB164" s="60">
        <v>16</v>
      </c>
      <c r="AC164" s="71"/>
      <c r="AD164" s="71"/>
      <c r="AE164" s="71"/>
      <c r="AF164" s="71"/>
      <c r="AG164" s="71"/>
      <c r="AH164" s="71"/>
      <c r="AI164" s="292"/>
      <c r="AJ164" s="292"/>
      <c r="AK164" s="292"/>
      <c r="AL164" s="292"/>
      <c r="AM164" s="292"/>
      <c r="AN164" s="292"/>
    </row>
    <row r="165" spans="1:42" ht="15.75">
      <c r="A165" s="293" t="s">
        <v>135</v>
      </c>
      <c r="B165" s="74"/>
      <c r="C165" s="97">
        <v>17620</v>
      </c>
      <c r="D165" s="60">
        <v>1940</v>
      </c>
      <c r="E165" s="60">
        <v>2258</v>
      </c>
      <c r="F165" s="74">
        <v>160798</v>
      </c>
      <c r="G165" s="292"/>
      <c r="H165" s="60">
        <v>365</v>
      </c>
      <c r="I165" s="77">
        <f t="shared" si="28"/>
        <v>2.6747953348467655</v>
      </c>
      <c r="J165" s="61">
        <v>56.8</v>
      </c>
      <c r="K165" s="314"/>
      <c r="L165" s="474"/>
      <c r="M165" s="313"/>
      <c r="N165" s="314"/>
      <c r="O165" s="314"/>
      <c r="P165" s="294" t="s">
        <v>138</v>
      </c>
      <c r="Q165" s="83">
        <v>7350</v>
      </c>
      <c r="R165" s="80">
        <v>37457</v>
      </c>
      <c r="S165" s="60">
        <v>15</v>
      </c>
      <c r="T165" s="83">
        <v>19475</v>
      </c>
      <c r="U165" s="82">
        <v>37370</v>
      </c>
      <c r="V165" s="64">
        <v>16</v>
      </c>
      <c r="W165" s="81">
        <v>0</v>
      </c>
      <c r="X165" s="64"/>
      <c r="Y165" s="64"/>
      <c r="Z165" s="81">
        <v>19475</v>
      </c>
      <c r="AA165" s="82">
        <v>37370</v>
      </c>
      <c r="AB165" s="84">
        <v>16</v>
      </c>
      <c r="AC165" s="71"/>
      <c r="AD165" s="71"/>
      <c r="AE165" s="71"/>
      <c r="AF165" s="71"/>
      <c r="AG165" s="71"/>
      <c r="AH165" s="71"/>
      <c r="AI165" s="292"/>
      <c r="AJ165" s="292"/>
      <c r="AK165" s="292"/>
      <c r="AL165" s="292"/>
      <c r="AM165" s="292"/>
      <c r="AN165" s="292"/>
    </row>
    <row r="166" spans="1:42" ht="15.75">
      <c r="A166" s="294" t="s">
        <v>138</v>
      </c>
      <c r="B166" s="81"/>
      <c r="C166" s="64">
        <v>14301</v>
      </c>
      <c r="D166" s="64">
        <v>1334</v>
      </c>
      <c r="E166" s="64">
        <v>1501</v>
      </c>
      <c r="F166" s="81">
        <v>157761</v>
      </c>
      <c r="G166" s="292"/>
      <c r="H166" s="64">
        <v>87</v>
      </c>
      <c r="I166" s="77">
        <f t="shared" si="28"/>
        <v>3.2333227816236629</v>
      </c>
      <c r="J166" s="65">
        <v>81.2</v>
      </c>
      <c r="K166" s="476"/>
      <c r="L166" s="477"/>
      <c r="M166" s="313"/>
      <c r="N166" s="311"/>
      <c r="O166" s="311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292"/>
      <c r="AE166" s="292"/>
      <c r="AF166" s="292"/>
      <c r="AG166" s="292"/>
      <c r="AH166" s="292"/>
      <c r="AI166" s="292"/>
      <c r="AJ166" s="292"/>
      <c r="AK166" s="292"/>
      <c r="AL166" s="292"/>
      <c r="AM166" s="292"/>
      <c r="AN166" s="292"/>
    </row>
    <row r="167" spans="1:42" ht="15.75">
      <c r="A167" s="292"/>
      <c r="B167" s="292"/>
      <c r="C167" s="292"/>
      <c r="D167" s="292"/>
      <c r="E167" s="292"/>
      <c r="F167" s="292"/>
      <c r="G167" s="292"/>
      <c r="H167" s="292"/>
      <c r="I167" s="292"/>
      <c r="J167" s="292"/>
      <c r="K167" s="292"/>
      <c r="L167" s="292"/>
      <c r="M167" s="71"/>
      <c r="N167" s="71"/>
      <c r="O167" s="71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  <c r="AH167" s="292"/>
      <c r="AI167" s="292"/>
      <c r="AJ167" s="292"/>
      <c r="AK167" s="292"/>
      <c r="AL167" s="292"/>
      <c r="AM167" s="292"/>
      <c r="AN167" s="292"/>
    </row>
    <row r="168" spans="1:42" ht="15.75">
      <c r="A168" s="286"/>
      <c r="B168" s="286"/>
      <c r="C168" s="287"/>
      <c r="D168" s="287"/>
      <c r="E168" s="287" t="s">
        <v>141</v>
      </c>
      <c r="F168" s="287"/>
      <c r="G168" s="287"/>
      <c r="H168" s="287"/>
      <c r="I168" s="287"/>
      <c r="J168" s="287"/>
      <c r="K168" s="287"/>
      <c r="L168" s="288"/>
      <c r="M168" s="272" t="s">
        <v>390</v>
      </c>
      <c r="N168" s="71"/>
      <c r="O168" s="71"/>
      <c r="P168" s="286"/>
      <c r="Q168" s="286"/>
      <c r="R168" s="287"/>
      <c r="S168" s="287"/>
      <c r="T168" s="287" t="s">
        <v>142</v>
      </c>
      <c r="U168" s="287"/>
      <c r="V168" s="287"/>
      <c r="W168" s="287"/>
      <c r="X168" s="287"/>
      <c r="Y168" s="287"/>
      <c r="Z168" s="287"/>
      <c r="AA168" s="287"/>
      <c r="AB168" s="287"/>
      <c r="AC168" s="287"/>
      <c r="AD168" s="287"/>
      <c r="AE168" s="287"/>
      <c r="AF168" s="287"/>
      <c r="AG168" s="287"/>
      <c r="AH168" s="287"/>
      <c r="AI168" s="287"/>
      <c r="AJ168" s="287"/>
      <c r="AK168" s="287"/>
      <c r="AL168" s="287"/>
      <c r="AM168" s="287"/>
      <c r="AN168" s="288"/>
    </row>
    <row r="169" spans="1:42" ht="15.75">
      <c r="A169" s="293"/>
      <c r="B169" s="294"/>
      <c r="C169" s="295"/>
      <c r="D169" s="295"/>
      <c r="E169" s="295"/>
      <c r="F169" s="295"/>
      <c r="G169" s="295"/>
      <c r="H169" s="295"/>
      <c r="I169" s="295"/>
      <c r="J169" s="295"/>
      <c r="K169" s="295"/>
      <c r="L169" s="296"/>
      <c r="M169" s="272" t="s">
        <v>392</v>
      </c>
      <c r="N169" s="71"/>
      <c r="O169" s="71"/>
      <c r="P169" s="293"/>
      <c r="Q169" s="294"/>
      <c r="R169" s="295"/>
      <c r="S169" s="295"/>
      <c r="T169" s="295"/>
      <c r="U169" s="295"/>
      <c r="V169" s="295"/>
      <c r="W169" s="295"/>
      <c r="X169" s="295"/>
      <c r="Y169" s="295"/>
      <c r="Z169" s="295"/>
      <c r="AA169" s="295"/>
      <c r="AB169" s="295"/>
      <c r="AC169" s="295"/>
      <c r="AD169" s="295"/>
      <c r="AE169" s="295"/>
      <c r="AF169" s="295"/>
      <c r="AG169" s="295"/>
      <c r="AH169" s="295"/>
      <c r="AI169" s="295"/>
      <c r="AJ169" s="295"/>
      <c r="AK169" s="295"/>
      <c r="AL169" s="295"/>
      <c r="AM169" s="295"/>
      <c r="AN169" s="296"/>
    </row>
    <row r="170" spans="1:42" ht="15.75">
      <c r="A170" s="293"/>
      <c r="B170" s="293" t="s">
        <v>143</v>
      </c>
      <c r="C170" s="298"/>
      <c r="D170" s="286" t="s">
        <v>369</v>
      </c>
      <c r="E170" s="298"/>
      <c r="F170" s="292"/>
      <c r="G170" s="305" t="s">
        <v>361</v>
      </c>
      <c r="H170" s="315"/>
      <c r="I170" s="292"/>
      <c r="J170" s="292"/>
      <c r="K170" s="288"/>
      <c r="L170" s="316" t="s">
        <v>370</v>
      </c>
      <c r="M170" s="71"/>
      <c r="N170" s="71"/>
      <c r="O170" s="71"/>
      <c r="P170" s="293"/>
      <c r="Q170" s="293"/>
      <c r="R170" s="292"/>
      <c r="S170" s="292" t="s">
        <v>145</v>
      </c>
      <c r="T170" s="292"/>
      <c r="U170" s="292"/>
      <c r="V170" s="292"/>
      <c r="W170" s="293"/>
      <c r="X170" s="292" t="s">
        <v>146</v>
      </c>
      <c r="Y170" s="292"/>
      <c r="Z170" s="292"/>
      <c r="AA170" s="292"/>
      <c r="AB170" s="292"/>
      <c r="AC170" s="293"/>
      <c r="AD170" s="292" t="s">
        <v>147</v>
      </c>
      <c r="AE170" s="292"/>
      <c r="AF170" s="292"/>
      <c r="AG170" s="292"/>
      <c r="AH170" s="292"/>
      <c r="AI170" s="293"/>
      <c r="AJ170" s="292" t="s">
        <v>148</v>
      </c>
      <c r="AK170" s="292"/>
      <c r="AL170" s="292"/>
      <c r="AM170" s="292"/>
      <c r="AN170" s="302"/>
    </row>
    <row r="171" spans="1:42" ht="15.75">
      <c r="A171" s="293" t="s">
        <v>78</v>
      </c>
      <c r="B171" s="51" t="s">
        <v>219</v>
      </c>
      <c r="C171" s="303" t="s">
        <v>84</v>
      </c>
      <c r="D171" s="305" t="s">
        <v>4</v>
      </c>
      <c r="E171" s="299" t="s">
        <v>6</v>
      </c>
      <c r="F171" s="303" t="s">
        <v>7</v>
      </c>
      <c r="G171" s="305" t="s">
        <v>371</v>
      </c>
      <c r="H171" s="317" t="s">
        <v>150</v>
      </c>
      <c r="I171" s="318" t="s">
        <v>151</v>
      </c>
      <c r="J171" s="318" t="s">
        <v>152</v>
      </c>
      <c r="K171" s="319" t="s">
        <v>153</v>
      </c>
      <c r="L171" s="319" t="s">
        <v>371</v>
      </c>
      <c r="M171" s="90" t="s">
        <v>393</v>
      </c>
      <c r="N171" s="303" t="s">
        <v>394</v>
      </c>
      <c r="O171" s="71"/>
      <c r="P171" s="293" t="s">
        <v>3</v>
      </c>
      <c r="Q171" s="293"/>
      <c r="R171" s="292" t="s">
        <v>154</v>
      </c>
      <c r="S171" s="292"/>
      <c r="T171" s="293"/>
      <c r="U171" s="292" t="s">
        <v>155</v>
      </c>
      <c r="V171" s="292"/>
      <c r="W171" s="293"/>
      <c r="X171" s="292" t="s">
        <v>154</v>
      </c>
      <c r="Y171" s="292"/>
      <c r="Z171" s="293"/>
      <c r="AA171" s="292" t="s">
        <v>155</v>
      </c>
      <c r="AB171" s="292"/>
      <c r="AC171" s="293"/>
      <c r="AD171" s="292" t="s">
        <v>154</v>
      </c>
      <c r="AE171" s="292"/>
      <c r="AF171" s="293"/>
      <c r="AG171" s="292" t="s">
        <v>155</v>
      </c>
      <c r="AH171" s="292"/>
      <c r="AI171" s="293"/>
      <c r="AJ171" s="292" t="s">
        <v>154</v>
      </c>
      <c r="AK171" s="292"/>
      <c r="AL171" s="293"/>
      <c r="AM171" s="292" t="s">
        <v>155</v>
      </c>
      <c r="AN171" s="302"/>
    </row>
    <row r="172" spans="1:42" ht="15.75">
      <c r="A172" s="294"/>
      <c r="B172" s="306" t="s">
        <v>156</v>
      </c>
      <c r="C172" s="307" t="s">
        <v>156</v>
      </c>
      <c r="D172" s="52" t="s">
        <v>224</v>
      </c>
      <c r="E172" s="52" t="s">
        <v>224</v>
      </c>
      <c r="F172" s="53" t="s">
        <v>224</v>
      </c>
      <c r="G172" s="306" t="s">
        <v>157</v>
      </c>
      <c r="H172" s="320"/>
      <c r="I172" s="53" t="s">
        <v>222</v>
      </c>
      <c r="J172" s="53" t="s">
        <v>222</v>
      </c>
      <c r="K172" s="54" t="s">
        <v>222</v>
      </c>
      <c r="L172" s="321" t="s">
        <v>22</v>
      </c>
      <c r="M172" s="90" t="s">
        <v>22</v>
      </c>
      <c r="N172" s="303" t="s">
        <v>397</v>
      </c>
      <c r="O172" s="71"/>
      <c r="P172" s="294"/>
      <c r="Q172" s="306" t="s">
        <v>86</v>
      </c>
      <c r="R172" s="307" t="s">
        <v>77</v>
      </c>
      <c r="S172" s="307" t="s">
        <v>78</v>
      </c>
      <c r="T172" s="306" t="s">
        <v>86</v>
      </c>
      <c r="U172" s="307" t="s">
        <v>77</v>
      </c>
      <c r="V172" s="307" t="s">
        <v>78</v>
      </c>
      <c r="W172" s="472" t="s">
        <v>29</v>
      </c>
      <c r="X172" s="307" t="s">
        <v>77</v>
      </c>
      <c r="Y172" s="307" t="s">
        <v>78</v>
      </c>
      <c r="Z172" s="472" t="s">
        <v>29</v>
      </c>
      <c r="AA172" s="307" t="s">
        <v>77</v>
      </c>
      <c r="AB172" s="307" t="s">
        <v>78</v>
      </c>
      <c r="AC172" s="306" t="s">
        <v>30</v>
      </c>
      <c r="AD172" s="307" t="s">
        <v>77</v>
      </c>
      <c r="AE172" s="307" t="s">
        <v>78</v>
      </c>
      <c r="AF172" s="306" t="s">
        <v>30</v>
      </c>
      <c r="AG172" s="307" t="s">
        <v>77</v>
      </c>
      <c r="AH172" s="307" t="s">
        <v>78</v>
      </c>
      <c r="AI172" s="306" t="s">
        <v>158</v>
      </c>
      <c r="AJ172" s="307" t="s">
        <v>77</v>
      </c>
      <c r="AK172" s="307" t="s">
        <v>78</v>
      </c>
      <c r="AL172" s="306" t="s">
        <v>158</v>
      </c>
      <c r="AM172" s="307" t="s">
        <v>77</v>
      </c>
      <c r="AN172" s="308" t="s">
        <v>78</v>
      </c>
    </row>
    <row r="173" spans="1:42" ht="15.75">
      <c r="A173" s="293" t="s">
        <v>159</v>
      </c>
      <c r="B173" s="74">
        <v>2134</v>
      </c>
      <c r="C173" s="60">
        <v>237</v>
      </c>
      <c r="D173" s="74">
        <v>25767</v>
      </c>
      <c r="E173" s="58"/>
      <c r="F173" s="60">
        <v>5674</v>
      </c>
      <c r="G173" s="93">
        <v>9.4000000000000004E-3</v>
      </c>
      <c r="H173" s="94">
        <f>D173*0.2931/B173</f>
        <v>3.5390382849109656</v>
      </c>
      <c r="I173" s="104">
        <v>64</v>
      </c>
      <c r="J173" s="104">
        <v>74.900000000000006</v>
      </c>
      <c r="K173" s="694">
        <f>K89/100*180+32</f>
        <v>63.212000000000003</v>
      </c>
      <c r="L173" s="277">
        <v>1.14E-2</v>
      </c>
      <c r="M173" s="697">
        <v>9.7000000000000003E-3</v>
      </c>
      <c r="N173" s="322">
        <v>29.9</v>
      </c>
      <c r="O173" s="71"/>
      <c r="P173" s="293" t="s">
        <v>91</v>
      </c>
      <c r="Q173" s="77">
        <v>3.8690000000000002</v>
      </c>
      <c r="R173" s="80">
        <v>37376</v>
      </c>
      <c r="S173" s="76">
        <v>16</v>
      </c>
      <c r="T173" s="77">
        <v>2.798</v>
      </c>
      <c r="U173" s="80">
        <v>37591</v>
      </c>
      <c r="V173" s="76">
        <v>14</v>
      </c>
      <c r="W173" s="62">
        <v>25.11</v>
      </c>
      <c r="X173" s="80">
        <v>37368</v>
      </c>
      <c r="Y173" s="60">
        <v>15</v>
      </c>
      <c r="Z173" s="62">
        <v>8.89</v>
      </c>
      <c r="AA173" s="80">
        <v>36897</v>
      </c>
      <c r="AB173" s="60">
        <v>6</v>
      </c>
      <c r="AC173" s="74">
        <v>1.38E-2</v>
      </c>
      <c r="AD173" s="80">
        <v>37211</v>
      </c>
      <c r="AE173" s="60">
        <v>16</v>
      </c>
      <c r="AF173" s="74">
        <v>1.6999999999999999E-3</v>
      </c>
      <c r="AG173" s="80">
        <v>36895</v>
      </c>
      <c r="AH173" s="60">
        <v>24</v>
      </c>
      <c r="AI173" s="62">
        <v>69.349999999999994</v>
      </c>
      <c r="AJ173" s="80">
        <v>37576</v>
      </c>
      <c r="AK173" s="76">
        <v>16</v>
      </c>
      <c r="AL173" s="62">
        <v>11.97</v>
      </c>
      <c r="AM173" s="80">
        <v>37566</v>
      </c>
      <c r="AN173" s="278">
        <v>4</v>
      </c>
      <c r="AO173" s="58"/>
      <c r="AP173" s="58"/>
    </row>
    <row r="174" spans="1:42" ht="15.75">
      <c r="A174" s="293" t="s">
        <v>166</v>
      </c>
      <c r="B174" s="74">
        <v>2181</v>
      </c>
      <c r="C174" s="60">
        <v>240</v>
      </c>
      <c r="D174" s="74">
        <v>26033</v>
      </c>
      <c r="E174" s="58"/>
      <c r="F174" s="60">
        <v>5324</v>
      </c>
      <c r="G174" s="93">
        <v>9.2999999999999992E-3</v>
      </c>
      <c r="H174" s="94">
        <f t="shared" ref="H174:H196" si="29">D174*0.2931/B174</f>
        <v>3.4985200825309493</v>
      </c>
      <c r="I174" s="104">
        <v>65</v>
      </c>
      <c r="J174" s="104">
        <v>75.099999999999994</v>
      </c>
      <c r="K174" s="704" t="s">
        <v>398</v>
      </c>
      <c r="L174" s="279">
        <v>1.12E-2</v>
      </c>
      <c r="M174" s="324">
        <v>9.5999999999999992E-3</v>
      </c>
      <c r="N174" s="322">
        <v>29.9</v>
      </c>
      <c r="O174" s="71"/>
      <c r="P174" s="293" t="s">
        <v>96</v>
      </c>
      <c r="Q174" s="77">
        <v>4.141</v>
      </c>
      <c r="R174" s="80">
        <v>37376</v>
      </c>
      <c r="S174" s="76">
        <v>16</v>
      </c>
      <c r="T174" s="77">
        <v>2.85</v>
      </c>
      <c r="U174" s="80">
        <v>37591</v>
      </c>
      <c r="V174" s="76">
        <v>14</v>
      </c>
      <c r="W174" s="62">
        <v>26.89</v>
      </c>
      <c r="X174" s="80">
        <v>38188</v>
      </c>
      <c r="Y174" s="60">
        <v>16</v>
      </c>
      <c r="Z174" s="62">
        <v>8.89</v>
      </c>
      <c r="AA174" s="80">
        <v>36897</v>
      </c>
      <c r="AB174" s="60">
        <v>6</v>
      </c>
      <c r="AC174" s="74">
        <v>1.8800000000000001E-2</v>
      </c>
      <c r="AD174" s="80">
        <v>37544</v>
      </c>
      <c r="AE174" s="60">
        <v>9</v>
      </c>
      <c r="AF174" s="74">
        <v>1.6999999999999999E-3</v>
      </c>
      <c r="AG174" s="80">
        <v>36895</v>
      </c>
      <c r="AH174" s="60">
        <v>24</v>
      </c>
      <c r="AI174" s="62">
        <v>100.18</v>
      </c>
      <c r="AJ174" s="80">
        <v>37544</v>
      </c>
      <c r="AK174" s="76">
        <v>9</v>
      </c>
      <c r="AL174" s="62">
        <v>11.97</v>
      </c>
      <c r="AM174" s="80">
        <v>37566</v>
      </c>
      <c r="AN174" s="278">
        <v>4</v>
      </c>
      <c r="AO174" s="58"/>
      <c r="AP174" s="58"/>
    </row>
    <row r="175" spans="1:42" ht="15.75">
      <c r="A175" s="293" t="s">
        <v>169</v>
      </c>
      <c r="B175" s="74">
        <v>2134</v>
      </c>
      <c r="C175" s="60">
        <v>237</v>
      </c>
      <c r="D175" s="74">
        <v>25760</v>
      </c>
      <c r="E175" s="58"/>
      <c r="F175" s="60">
        <v>5694</v>
      </c>
      <c r="G175" s="93">
        <v>9.4000000000000004E-3</v>
      </c>
      <c r="H175" s="94">
        <f t="shared" si="29"/>
        <v>3.5380768509840674</v>
      </c>
      <c r="I175" s="104">
        <v>64</v>
      </c>
      <c r="J175" s="104">
        <v>74.900000000000006</v>
      </c>
      <c r="K175" s="704" t="s">
        <v>396</v>
      </c>
      <c r="L175" s="279">
        <v>1.14E-2</v>
      </c>
      <c r="M175" s="705">
        <v>9.7000000000000003E-3</v>
      </c>
      <c r="N175" s="322">
        <v>30</v>
      </c>
      <c r="O175" s="71"/>
      <c r="P175" s="293" t="s">
        <v>98</v>
      </c>
      <c r="Q175" s="77">
        <v>5.1429999999999998</v>
      </c>
      <c r="R175" s="80">
        <v>37531</v>
      </c>
      <c r="S175" s="76">
        <v>9</v>
      </c>
      <c r="T175" s="77">
        <v>2.8010000000000002</v>
      </c>
      <c r="U175" s="80">
        <v>37591</v>
      </c>
      <c r="V175" s="76">
        <v>14</v>
      </c>
      <c r="W175" s="62">
        <v>31.61</v>
      </c>
      <c r="X175" s="80">
        <v>37810</v>
      </c>
      <c r="Y175" s="60">
        <v>16</v>
      </c>
      <c r="Z175" s="62">
        <v>10.83</v>
      </c>
      <c r="AA175" s="80">
        <v>36897</v>
      </c>
      <c r="AB175" s="60">
        <v>7</v>
      </c>
      <c r="AC175" s="93">
        <v>1.77E-2</v>
      </c>
      <c r="AD175" s="80">
        <v>37447</v>
      </c>
      <c r="AE175" s="60">
        <v>12</v>
      </c>
      <c r="AF175" s="74">
        <v>1.6999999999999999E-3</v>
      </c>
      <c r="AG175" s="80">
        <v>36895</v>
      </c>
      <c r="AH175" s="60">
        <v>24</v>
      </c>
      <c r="AI175" s="62">
        <v>83.41</v>
      </c>
      <c r="AJ175" s="80">
        <v>38262</v>
      </c>
      <c r="AK175" s="278">
        <v>9</v>
      </c>
      <c r="AL175" s="62">
        <v>11.97</v>
      </c>
      <c r="AM175" s="80">
        <v>37566</v>
      </c>
      <c r="AN175" s="278">
        <v>4</v>
      </c>
      <c r="AO175" s="58"/>
      <c r="AP175" s="58"/>
    </row>
    <row r="176" spans="1:42" ht="15.75">
      <c r="A176" s="293" t="s">
        <v>171</v>
      </c>
      <c r="B176" s="74">
        <v>2128</v>
      </c>
      <c r="C176" s="60">
        <v>237</v>
      </c>
      <c r="D176" s="74">
        <v>25704</v>
      </c>
      <c r="E176" s="58"/>
      <c r="F176" s="60">
        <v>5649</v>
      </c>
      <c r="G176" s="93">
        <v>9.4000000000000004E-3</v>
      </c>
      <c r="H176" s="94">
        <f t="shared" si="29"/>
        <v>3.5403394736842109</v>
      </c>
      <c r="I176" s="104">
        <v>64</v>
      </c>
      <c r="J176" s="104">
        <v>74.900000000000006</v>
      </c>
      <c r="K176" s="478"/>
      <c r="L176" s="279">
        <v>1.14E-2</v>
      </c>
      <c r="M176" s="324">
        <v>9.7000000000000003E-3</v>
      </c>
      <c r="N176" s="322">
        <v>30</v>
      </c>
      <c r="O176" s="71"/>
      <c r="P176" s="293" t="s">
        <v>102</v>
      </c>
      <c r="Q176" s="77">
        <v>4.109</v>
      </c>
      <c r="R176" s="80">
        <v>37789</v>
      </c>
      <c r="S176" s="76">
        <v>16</v>
      </c>
      <c r="T176" s="77">
        <v>2.798</v>
      </c>
      <c r="U176" s="80">
        <v>37591</v>
      </c>
      <c r="V176" s="76">
        <v>14</v>
      </c>
      <c r="W176" s="62">
        <v>31.72</v>
      </c>
      <c r="X176" s="80">
        <v>38176</v>
      </c>
      <c r="Y176" s="60">
        <v>16</v>
      </c>
      <c r="Z176" s="62">
        <v>8.89</v>
      </c>
      <c r="AA176" s="80">
        <v>36897</v>
      </c>
      <c r="AB176" s="60">
        <v>6</v>
      </c>
      <c r="AC176" s="93">
        <v>1.78E-2</v>
      </c>
      <c r="AD176" s="80">
        <v>37896</v>
      </c>
      <c r="AE176" s="60">
        <v>9</v>
      </c>
      <c r="AF176" s="74">
        <v>1.6999999999999999E-3</v>
      </c>
      <c r="AG176" s="80">
        <v>36895</v>
      </c>
      <c r="AH176" s="60">
        <v>24</v>
      </c>
      <c r="AI176" s="62">
        <v>78.459999999999994</v>
      </c>
      <c r="AJ176" s="80">
        <v>38262</v>
      </c>
      <c r="AK176" s="76">
        <v>9</v>
      </c>
      <c r="AL176" s="62">
        <v>11.97</v>
      </c>
      <c r="AM176" s="80">
        <v>37566</v>
      </c>
      <c r="AN176" s="278">
        <v>4</v>
      </c>
      <c r="AO176" s="58"/>
      <c r="AP176" s="58"/>
    </row>
    <row r="177" spans="1:42" ht="15.75">
      <c r="A177" s="293" t="s">
        <v>173</v>
      </c>
      <c r="B177" s="74">
        <v>1912</v>
      </c>
      <c r="C177" s="60">
        <v>215</v>
      </c>
      <c r="D177" s="74">
        <v>23193</v>
      </c>
      <c r="E177" s="58"/>
      <c r="F177" s="60">
        <v>3830</v>
      </c>
      <c r="G177" s="93">
        <v>8.8999999999999999E-3</v>
      </c>
      <c r="H177" s="94">
        <f t="shared" si="29"/>
        <v>3.5553704497907956</v>
      </c>
      <c r="I177" s="104">
        <v>63</v>
      </c>
      <c r="J177" s="104">
        <v>74.8</v>
      </c>
      <c r="K177" s="478"/>
      <c r="L177" s="279">
        <v>1.03E-2</v>
      </c>
      <c r="M177" s="324">
        <v>9.1000000000000004E-3</v>
      </c>
      <c r="N177" s="322">
        <v>30</v>
      </c>
      <c r="O177" s="71"/>
      <c r="P177" s="293" t="s">
        <v>356</v>
      </c>
      <c r="Q177" s="77">
        <v>4.6210000000000004</v>
      </c>
      <c r="R177" s="80">
        <v>37531</v>
      </c>
      <c r="S177" s="76">
        <v>9</v>
      </c>
      <c r="T177" s="77">
        <v>2.798</v>
      </c>
      <c r="U177" s="80">
        <v>37591</v>
      </c>
      <c r="V177" s="76">
        <v>14</v>
      </c>
      <c r="W177" s="698">
        <v>31.61</v>
      </c>
      <c r="X177" s="80">
        <v>37810</v>
      </c>
      <c r="Y177" s="60">
        <v>16</v>
      </c>
      <c r="Z177" s="698">
        <v>8.89</v>
      </c>
      <c r="AA177" s="80">
        <v>36897</v>
      </c>
      <c r="AB177" s="60">
        <v>6</v>
      </c>
      <c r="AC177" s="93">
        <v>1.77E-2</v>
      </c>
      <c r="AD177" s="80">
        <v>37447</v>
      </c>
      <c r="AE177" s="60">
        <v>12</v>
      </c>
      <c r="AF177" s="74">
        <v>1.6999999999999999E-3</v>
      </c>
      <c r="AG177" s="80">
        <v>36895</v>
      </c>
      <c r="AH177" s="60">
        <v>24</v>
      </c>
      <c r="AI177" s="62">
        <v>81.37</v>
      </c>
      <c r="AJ177" s="80">
        <v>38248</v>
      </c>
      <c r="AK177" s="278">
        <v>9</v>
      </c>
      <c r="AL177" s="62">
        <v>11.97</v>
      </c>
      <c r="AM177" s="80">
        <v>37566</v>
      </c>
      <c r="AN177" s="278">
        <v>4</v>
      </c>
      <c r="AO177" s="58"/>
      <c r="AP177" s="58"/>
    </row>
    <row r="178" spans="1:42" ht="15.75">
      <c r="A178" s="293" t="s">
        <v>174</v>
      </c>
      <c r="B178" s="74">
        <v>2385</v>
      </c>
      <c r="C178" s="60">
        <v>259</v>
      </c>
      <c r="D178" s="74">
        <v>27759</v>
      </c>
      <c r="E178" s="58"/>
      <c r="F178" s="60">
        <v>5792</v>
      </c>
      <c r="G178" s="93">
        <v>9.1999999999999998E-3</v>
      </c>
      <c r="H178" s="94">
        <f t="shared" si="29"/>
        <v>3.4113890566037739</v>
      </c>
      <c r="I178" s="104">
        <v>67</v>
      </c>
      <c r="J178" s="104">
        <v>75.400000000000006</v>
      </c>
      <c r="K178" s="478"/>
      <c r="L178" s="279">
        <v>1.1299999999999999E-2</v>
      </c>
      <c r="M178" s="324">
        <v>9.4999999999999998E-3</v>
      </c>
      <c r="N178" s="322">
        <v>30</v>
      </c>
      <c r="O178" s="71"/>
      <c r="P178" s="293" t="s">
        <v>105</v>
      </c>
      <c r="Q178" s="77">
        <v>3.8889999999999998</v>
      </c>
      <c r="R178" s="80">
        <v>37738</v>
      </c>
      <c r="S178" s="76">
        <v>5</v>
      </c>
      <c r="T178" s="77">
        <v>2.798</v>
      </c>
      <c r="U178" s="80">
        <v>38322</v>
      </c>
      <c r="V178" s="76">
        <v>14</v>
      </c>
      <c r="W178" s="62">
        <v>34.94</v>
      </c>
      <c r="X178" s="80">
        <v>37795</v>
      </c>
      <c r="Y178" s="60">
        <v>24</v>
      </c>
      <c r="Z178" s="62">
        <v>8.89</v>
      </c>
      <c r="AA178" s="80">
        <v>36897</v>
      </c>
      <c r="AB178" s="60">
        <v>6</v>
      </c>
      <c r="AC178" s="93">
        <v>1.9900000000000001E-2</v>
      </c>
      <c r="AD178" s="80">
        <v>37470</v>
      </c>
      <c r="AE178" s="60">
        <v>22</v>
      </c>
      <c r="AF178" s="74">
        <v>1.6999999999999999E-3</v>
      </c>
      <c r="AG178" s="80">
        <v>36895</v>
      </c>
      <c r="AH178" s="60">
        <v>24</v>
      </c>
      <c r="AI178" s="62">
        <v>81.12</v>
      </c>
      <c r="AJ178" s="80">
        <v>37840</v>
      </c>
      <c r="AK178" s="76">
        <v>21</v>
      </c>
      <c r="AL178" s="62">
        <v>11.97</v>
      </c>
      <c r="AM178" s="80">
        <v>37566</v>
      </c>
      <c r="AN178" s="278">
        <v>4</v>
      </c>
      <c r="AO178" s="58"/>
      <c r="AP178" s="58"/>
    </row>
    <row r="179" spans="1:42" ht="15.75">
      <c r="A179" s="293" t="s">
        <v>176</v>
      </c>
      <c r="B179" s="74">
        <v>3550</v>
      </c>
      <c r="C179" s="60">
        <v>352</v>
      </c>
      <c r="D179" s="74">
        <v>37789</v>
      </c>
      <c r="E179" s="58"/>
      <c r="F179" s="60">
        <v>9327</v>
      </c>
      <c r="G179" s="93">
        <v>0.01</v>
      </c>
      <c r="H179" s="94">
        <f t="shared" si="29"/>
        <v>3.1199875774647889</v>
      </c>
      <c r="I179" s="104">
        <v>77</v>
      </c>
      <c r="J179" s="104">
        <v>76.900000000000006</v>
      </c>
      <c r="K179" s="478"/>
      <c r="L179" s="279">
        <v>1.3299999999999999E-2</v>
      </c>
      <c r="M179" s="324">
        <v>1.0500000000000001E-2</v>
      </c>
      <c r="N179" s="322">
        <v>30</v>
      </c>
      <c r="O179" s="71"/>
      <c r="P179" s="293" t="s">
        <v>108</v>
      </c>
      <c r="Q179" s="77">
        <v>4.4279999999999999</v>
      </c>
      <c r="R179" s="80">
        <v>37533</v>
      </c>
      <c r="S179" s="76">
        <v>24</v>
      </c>
      <c r="T179" s="77">
        <v>2.7989999999999999</v>
      </c>
      <c r="U179" s="80">
        <v>37591</v>
      </c>
      <c r="V179" s="76">
        <v>14</v>
      </c>
      <c r="W179" s="62">
        <v>32.78</v>
      </c>
      <c r="X179" s="80">
        <v>37457</v>
      </c>
      <c r="Y179" s="60">
        <v>15</v>
      </c>
      <c r="Z179" s="62">
        <v>8.89</v>
      </c>
      <c r="AA179" s="80">
        <v>36897</v>
      </c>
      <c r="AB179" s="60">
        <v>6</v>
      </c>
      <c r="AC179" s="93">
        <v>1.38E-2</v>
      </c>
      <c r="AD179" s="80">
        <v>37211</v>
      </c>
      <c r="AE179" s="60">
        <v>16</v>
      </c>
      <c r="AF179" s="74">
        <v>1.6999999999999999E-3</v>
      </c>
      <c r="AG179" s="80">
        <v>36895</v>
      </c>
      <c r="AH179" s="60">
        <v>24</v>
      </c>
      <c r="AI179" s="62">
        <v>69.349999999999994</v>
      </c>
      <c r="AJ179" s="80">
        <v>37576</v>
      </c>
      <c r="AK179" s="76">
        <v>16</v>
      </c>
      <c r="AL179" s="62">
        <v>11.97</v>
      </c>
      <c r="AM179" s="80">
        <v>37566</v>
      </c>
      <c r="AN179" s="278">
        <v>4</v>
      </c>
      <c r="AO179" s="58"/>
      <c r="AP179" s="58"/>
    </row>
    <row r="180" spans="1:42" ht="15.75">
      <c r="A180" s="293" t="s">
        <v>178</v>
      </c>
      <c r="B180" s="74">
        <v>3467</v>
      </c>
      <c r="C180" s="60">
        <v>332</v>
      </c>
      <c r="D180" s="74">
        <v>35110</v>
      </c>
      <c r="E180" s="58"/>
      <c r="F180" s="60">
        <v>4165</v>
      </c>
      <c r="G180" s="93">
        <v>9.4000000000000004E-3</v>
      </c>
      <c r="H180" s="94">
        <f t="shared" si="29"/>
        <v>2.9681975771560434</v>
      </c>
      <c r="I180" s="104">
        <v>81</v>
      </c>
      <c r="J180" s="104">
        <v>77.5</v>
      </c>
      <c r="K180" s="478"/>
      <c r="L180" s="279">
        <v>1.09E-2</v>
      </c>
      <c r="M180" s="324">
        <v>9.5999999999999992E-3</v>
      </c>
      <c r="N180" s="322">
        <v>30</v>
      </c>
      <c r="O180" s="71"/>
      <c r="P180" s="293" t="s">
        <v>109</v>
      </c>
      <c r="Q180" s="77">
        <v>4.0880000000000001</v>
      </c>
      <c r="R180" s="80">
        <v>37789</v>
      </c>
      <c r="S180" s="76">
        <v>16</v>
      </c>
      <c r="T180" s="77">
        <v>2.734</v>
      </c>
      <c r="U180" s="80">
        <v>37593</v>
      </c>
      <c r="V180" s="76">
        <v>15</v>
      </c>
      <c r="W180" s="62">
        <v>27.56</v>
      </c>
      <c r="X180" s="80">
        <v>37880</v>
      </c>
      <c r="Y180" s="60">
        <v>16</v>
      </c>
      <c r="Z180" s="62">
        <v>8.89</v>
      </c>
      <c r="AA180" s="80">
        <v>36897</v>
      </c>
      <c r="AB180" s="60">
        <v>6</v>
      </c>
      <c r="AC180" s="93">
        <v>1.7000000000000001E-2</v>
      </c>
      <c r="AD180" s="80">
        <v>37351</v>
      </c>
      <c r="AE180" s="60">
        <v>21</v>
      </c>
      <c r="AF180" s="74">
        <v>1.6999999999999999E-3</v>
      </c>
      <c r="AG180" s="80">
        <v>36895</v>
      </c>
      <c r="AH180" s="60">
        <v>24</v>
      </c>
      <c r="AI180" s="62">
        <v>85.57</v>
      </c>
      <c r="AJ180" s="80">
        <v>37351</v>
      </c>
      <c r="AK180" s="76">
        <v>21</v>
      </c>
      <c r="AL180" s="62">
        <v>11.97</v>
      </c>
      <c r="AM180" s="80">
        <v>37566</v>
      </c>
      <c r="AN180" s="278">
        <v>4</v>
      </c>
      <c r="AO180" s="58"/>
      <c r="AP180" s="58"/>
    </row>
    <row r="181" spans="1:42" ht="15.75">
      <c r="A181" s="293" t="s">
        <v>180</v>
      </c>
      <c r="B181" s="74">
        <v>4997</v>
      </c>
      <c r="C181" s="60">
        <v>469</v>
      </c>
      <c r="D181" s="74">
        <v>50446</v>
      </c>
      <c r="E181" s="58"/>
      <c r="F181" s="60">
        <v>9939</v>
      </c>
      <c r="G181" s="93">
        <v>9.9000000000000008E-3</v>
      </c>
      <c r="H181" s="94">
        <f t="shared" si="29"/>
        <v>2.958919871923154</v>
      </c>
      <c r="I181" s="104">
        <v>84</v>
      </c>
      <c r="J181" s="104">
        <v>78</v>
      </c>
      <c r="K181" s="478"/>
      <c r="L181" s="279">
        <v>1.17E-2</v>
      </c>
      <c r="M181" s="324">
        <v>1.0200000000000001E-2</v>
      </c>
      <c r="N181" s="322">
        <v>30</v>
      </c>
      <c r="O181" s="71"/>
      <c r="P181" s="293" t="s">
        <v>111</v>
      </c>
      <c r="Q181" s="77">
        <v>3.903</v>
      </c>
      <c r="R181" s="80">
        <v>37376</v>
      </c>
      <c r="S181" s="76">
        <v>15</v>
      </c>
      <c r="T181" s="77">
        <v>2.798</v>
      </c>
      <c r="U181" s="80">
        <v>38322</v>
      </c>
      <c r="V181" s="76">
        <v>14</v>
      </c>
      <c r="W181" s="62">
        <v>25.11</v>
      </c>
      <c r="X181" s="80">
        <v>37368</v>
      </c>
      <c r="Y181" s="60">
        <v>15</v>
      </c>
      <c r="Z181" s="62">
        <v>8.89</v>
      </c>
      <c r="AA181" s="80">
        <v>36897</v>
      </c>
      <c r="AB181" s="60">
        <v>6</v>
      </c>
      <c r="AC181" s="93">
        <v>1.6899999999999998E-2</v>
      </c>
      <c r="AD181" s="80">
        <v>37348</v>
      </c>
      <c r="AE181" s="60">
        <v>5</v>
      </c>
      <c r="AF181" s="74">
        <v>1.6999999999999999E-3</v>
      </c>
      <c r="AG181" s="80">
        <v>36895</v>
      </c>
      <c r="AH181" s="60">
        <v>24</v>
      </c>
      <c r="AI181" s="62">
        <v>84.79</v>
      </c>
      <c r="AJ181" s="80">
        <v>37348</v>
      </c>
      <c r="AK181" s="76">
        <v>5</v>
      </c>
      <c r="AL181" s="62">
        <v>11.97</v>
      </c>
      <c r="AM181" s="80">
        <v>37566</v>
      </c>
      <c r="AN181" s="278">
        <v>4</v>
      </c>
      <c r="AO181" s="58"/>
      <c r="AP181" s="58"/>
    </row>
    <row r="182" spans="1:42" ht="15.75">
      <c r="A182" s="293" t="s">
        <v>183</v>
      </c>
      <c r="B182" s="74">
        <v>5130</v>
      </c>
      <c r="C182" s="60">
        <v>479</v>
      </c>
      <c r="D182" s="74">
        <v>52337</v>
      </c>
      <c r="E182" s="58"/>
      <c r="F182" s="60">
        <v>11262</v>
      </c>
      <c r="G182" s="93">
        <v>1.03E-2</v>
      </c>
      <c r="H182" s="94">
        <f t="shared" si="29"/>
        <v>2.990248479532164</v>
      </c>
      <c r="I182" s="104">
        <v>84</v>
      </c>
      <c r="J182" s="104">
        <v>78</v>
      </c>
      <c r="K182" s="478"/>
      <c r="L182" s="279">
        <v>1.2500000000000001E-2</v>
      </c>
      <c r="M182" s="324">
        <v>1.06E-2</v>
      </c>
      <c r="N182" s="322">
        <v>30</v>
      </c>
      <c r="O182" s="71"/>
      <c r="P182" s="293" t="s">
        <v>112</v>
      </c>
      <c r="Q182" s="77">
        <v>3.8069999999999999</v>
      </c>
      <c r="R182" s="80">
        <v>37762</v>
      </c>
      <c r="S182" s="76">
        <v>15</v>
      </c>
      <c r="T182" s="77">
        <v>2.798</v>
      </c>
      <c r="U182" s="80">
        <v>38322</v>
      </c>
      <c r="V182" s="76">
        <v>14</v>
      </c>
      <c r="W182" s="62">
        <v>25.11</v>
      </c>
      <c r="X182" s="80">
        <v>37368</v>
      </c>
      <c r="Y182" s="60">
        <v>15</v>
      </c>
      <c r="Z182" s="62">
        <v>8.89</v>
      </c>
      <c r="AA182" s="80">
        <v>36897</v>
      </c>
      <c r="AB182" s="60">
        <v>6</v>
      </c>
      <c r="AC182" s="93">
        <v>1.47E-2</v>
      </c>
      <c r="AD182" s="80">
        <v>37712</v>
      </c>
      <c r="AE182" s="60">
        <v>21</v>
      </c>
      <c r="AF182" s="74">
        <v>1.6999999999999999E-3</v>
      </c>
      <c r="AG182" s="80">
        <v>36895</v>
      </c>
      <c r="AH182" s="60">
        <v>24</v>
      </c>
      <c r="AI182" s="62">
        <v>74.510000000000005</v>
      </c>
      <c r="AJ182" s="80">
        <v>37728</v>
      </c>
      <c r="AK182" s="76">
        <v>7</v>
      </c>
      <c r="AL182" s="62">
        <v>11.97</v>
      </c>
      <c r="AM182" s="80">
        <v>37566</v>
      </c>
      <c r="AN182" s="278">
        <v>4</v>
      </c>
      <c r="AO182" s="58"/>
      <c r="AP182" s="58"/>
    </row>
    <row r="183" spans="1:42" ht="15.75">
      <c r="A183" s="293" t="s">
        <v>186</v>
      </c>
      <c r="B183" s="74">
        <v>5971</v>
      </c>
      <c r="C183" s="60">
        <v>537</v>
      </c>
      <c r="D183" s="74">
        <v>59554</v>
      </c>
      <c r="E183" s="58"/>
      <c r="F183" s="60">
        <v>15842</v>
      </c>
      <c r="G183" s="93">
        <v>1.09E-2</v>
      </c>
      <c r="H183" s="94">
        <f t="shared" si="29"/>
        <v>2.9233423882096807</v>
      </c>
      <c r="I183" s="104">
        <v>88</v>
      </c>
      <c r="J183" s="104">
        <v>78.599999999999994</v>
      </c>
      <c r="K183" s="478"/>
      <c r="L183" s="279">
        <v>1.4800000000000001E-2</v>
      </c>
      <c r="M183" s="324">
        <v>1.15E-2</v>
      </c>
      <c r="N183" s="322">
        <v>30</v>
      </c>
      <c r="O183" s="71"/>
      <c r="P183" s="293" t="s">
        <v>113</v>
      </c>
      <c r="Q183" s="77">
        <v>3.8050000000000002</v>
      </c>
      <c r="R183" s="80">
        <v>37918</v>
      </c>
      <c r="S183" s="76">
        <v>15</v>
      </c>
      <c r="T183" s="77">
        <v>2.734</v>
      </c>
      <c r="U183" s="80">
        <v>37593</v>
      </c>
      <c r="V183" s="76">
        <v>13</v>
      </c>
      <c r="W183" s="62">
        <v>25.11</v>
      </c>
      <c r="X183" s="80">
        <v>37368</v>
      </c>
      <c r="Y183" s="60">
        <v>15</v>
      </c>
      <c r="Z183" s="62">
        <v>8.89</v>
      </c>
      <c r="AA183" s="80">
        <v>36897</v>
      </c>
      <c r="AB183" s="60">
        <v>6</v>
      </c>
      <c r="AC183" s="93">
        <v>1.5599999999999999E-2</v>
      </c>
      <c r="AD183" s="80">
        <v>37348</v>
      </c>
      <c r="AE183" s="60">
        <v>4</v>
      </c>
      <c r="AF183" s="74">
        <v>1.6999999999999999E-3</v>
      </c>
      <c r="AG183" s="80">
        <v>36895</v>
      </c>
      <c r="AH183" s="60">
        <v>24</v>
      </c>
      <c r="AI183" s="62">
        <v>78.430000000000007</v>
      </c>
      <c r="AJ183" s="80">
        <v>37348</v>
      </c>
      <c r="AK183" s="76">
        <v>4</v>
      </c>
      <c r="AL183" s="62">
        <v>11.97</v>
      </c>
      <c r="AM183" s="80">
        <v>37566</v>
      </c>
      <c r="AN183" s="278">
        <v>4</v>
      </c>
      <c r="AO183" s="58"/>
      <c r="AP183" s="58"/>
    </row>
    <row r="184" spans="1:42" ht="15.75">
      <c r="A184" s="293" t="s">
        <v>187</v>
      </c>
      <c r="B184" s="74">
        <v>5517</v>
      </c>
      <c r="C184" s="60">
        <v>498</v>
      </c>
      <c r="D184" s="74">
        <v>55323</v>
      </c>
      <c r="E184" s="58"/>
      <c r="F184" s="60">
        <v>12293</v>
      </c>
      <c r="G184" s="93">
        <v>1.0800000000000001E-2</v>
      </c>
      <c r="H184" s="94">
        <f t="shared" si="29"/>
        <v>2.9391283849918439</v>
      </c>
      <c r="I184" s="104">
        <v>87</v>
      </c>
      <c r="J184" s="104">
        <v>78.5</v>
      </c>
      <c r="K184" s="478"/>
      <c r="L184" s="279">
        <v>1.34E-2</v>
      </c>
      <c r="M184" s="324">
        <v>1.12E-2</v>
      </c>
      <c r="N184" s="322">
        <v>30</v>
      </c>
      <c r="O184" s="71"/>
      <c r="P184" s="293" t="s">
        <v>114</v>
      </c>
      <c r="Q184" s="86">
        <v>3.774</v>
      </c>
      <c r="R184" s="82">
        <v>37526</v>
      </c>
      <c r="S184" s="85">
        <v>15</v>
      </c>
      <c r="T184" s="86">
        <v>2.734</v>
      </c>
      <c r="U184" s="82">
        <v>37593</v>
      </c>
      <c r="V184" s="85">
        <v>13</v>
      </c>
      <c r="W184" s="62">
        <v>25.11</v>
      </c>
      <c r="X184" s="80">
        <v>37368</v>
      </c>
      <c r="Y184" s="60">
        <v>15</v>
      </c>
      <c r="Z184" s="62">
        <v>8.89</v>
      </c>
      <c r="AA184" s="80">
        <v>36897</v>
      </c>
      <c r="AB184" s="60">
        <v>6</v>
      </c>
      <c r="AC184" s="93">
        <v>1.38E-2</v>
      </c>
      <c r="AD184" s="80">
        <v>37211</v>
      </c>
      <c r="AE184" s="60">
        <v>16</v>
      </c>
      <c r="AF184" s="74">
        <v>1.6999999999999999E-3</v>
      </c>
      <c r="AG184" s="80">
        <v>36895</v>
      </c>
      <c r="AH184" s="60">
        <v>24</v>
      </c>
      <c r="AI184" s="66">
        <v>69.349999999999994</v>
      </c>
      <c r="AJ184" s="82">
        <v>37576</v>
      </c>
      <c r="AK184" s="85">
        <v>16</v>
      </c>
      <c r="AL184" s="66">
        <v>11.97</v>
      </c>
      <c r="AM184" s="82">
        <v>37566</v>
      </c>
      <c r="AN184" s="117">
        <v>4</v>
      </c>
      <c r="AO184" s="58"/>
      <c r="AP184" s="58"/>
    </row>
    <row r="185" spans="1:42" ht="15.75">
      <c r="A185" s="293" t="s">
        <v>191</v>
      </c>
      <c r="B185" s="74">
        <v>6637</v>
      </c>
      <c r="C185" s="60">
        <v>597</v>
      </c>
      <c r="D185" s="74">
        <v>67291</v>
      </c>
      <c r="E185" s="58"/>
      <c r="F185" s="60">
        <v>8816</v>
      </c>
      <c r="G185" s="93">
        <v>1.01E-2</v>
      </c>
      <c r="H185" s="94">
        <f t="shared" si="29"/>
        <v>2.9716727587765561</v>
      </c>
      <c r="I185" s="104">
        <v>88</v>
      </c>
      <c r="J185" s="104">
        <v>78.7</v>
      </c>
      <c r="K185" s="478"/>
      <c r="L185" s="279">
        <v>1.15E-2</v>
      </c>
      <c r="M185" s="324">
        <v>1.03E-2</v>
      </c>
      <c r="N185" s="322">
        <v>30</v>
      </c>
      <c r="O185" s="71"/>
      <c r="P185" s="293" t="s">
        <v>116</v>
      </c>
      <c r="Q185" s="77">
        <v>7.367</v>
      </c>
      <c r="R185" s="80">
        <v>38057</v>
      </c>
      <c r="S185" s="76">
        <v>10</v>
      </c>
      <c r="T185" s="77">
        <v>2.6930000000000001</v>
      </c>
      <c r="U185" s="80">
        <v>37466</v>
      </c>
      <c r="V185" s="76">
        <v>12</v>
      </c>
      <c r="W185" s="62">
        <v>25.11</v>
      </c>
      <c r="X185" s="80">
        <v>37002</v>
      </c>
      <c r="Y185" s="60">
        <v>16</v>
      </c>
      <c r="Z185" s="62">
        <v>8.17</v>
      </c>
      <c r="AA185" s="80">
        <v>38341</v>
      </c>
      <c r="AB185" s="60">
        <v>12</v>
      </c>
      <c r="AC185" s="93">
        <v>1.1900000000000001E-2</v>
      </c>
      <c r="AD185" s="80">
        <v>38188</v>
      </c>
      <c r="AE185" s="60">
        <v>15</v>
      </c>
      <c r="AF185" s="74" t="s">
        <v>226</v>
      </c>
      <c r="AG185" s="60"/>
      <c r="AH185" s="60"/>
      <c r="AI185" s="74" t="s">
        <v>226</v>
      </c>
      <c r="AJ185" s="80">
        <f t="shared" ref="AJ185:AK192" si="30">AJ269</f>
        <v>0</v>
      </c>
      <c r="AK185" s="278">
        <f t="shared" si="30"/>
        <v>0</v>
      </c>
      <c r="AL185" s="74" t="s">
        <v>226</v>
      </c>
      <c r="AM185" s="80">
        <f t="shared" ref="AM185:AN192" si="31">AM269</f>
        <v>0</v>
      </c>
      <c r="AN185" s="278">
        <f t="shared" si="31"/>
        <v>0</v>
      </c>
      <c r="AO185" s="58"/>
      <c r="AP185" s="58"/>
    </row>
    <row r="186" spans="1:42" ht="15.75">
      <c r="A186" s="293" t="s">
        <v>194</v>
      </c>
      <c r="B186" s="74">
        <v>7053</v>
      </c>
      <c r="C186" s="60">
        <v>633</v>
      </c>
      <c r="D186" s="74">
        <v>70994</v>
      </c>
      <c r="E186" s="58"/>
      <c r="F186" s="60">
        <v>10816</v>
      </c>
      <c r="G186" s="93">
        <v>0.01</v>
      </c>
      <c r="H186" s="94">
        <f t="shared" si="29"/>
        <v>2.9502823479370481</v>
      </c>
      <c r="I186" s="104">
        <v>89</v>
      </c>
      <c r="J186" s="104">
        <v>78.900000000000006</v>
      </c>
      <c r="K186" s="478"/>
      <c r="L186" s="279">
        <v>1.21E-2</v>
      </c>
      <c r="M186" s="324">
        <v>1.03E-2</v>
      </c>
      <c r="N186" s="322">
        <v>30</v>
      </c>
      <c r="O186" s="71"/>
      <c r="P186" s="293" t="s">
        <v>121</v>
      </c>
      <c r="Q186" s="77">
        <v>7.367</v>
      </c>
      <c r="R186" s="80">
        <v>38057</v>
      </c>
      <c r="S186" s="76">
        <v>10</v>
      </c>
      <c r="T186" s="77">
        <v>2.8170000000000002</v>
      </c>
      <c r="U186" s="80">
        <v>38082</v>
      </c>
      <c r="V186" s="76">
        <v>17</v>
      </c>
      <c r="W186" s="62">
        <v>25.11</v>
      </c>
      <c r="X186" s="80">
        <v>37002</v>
      </c>
      <c r="Y186" s="60">
        <v>3</v>
      </c>
      <c r="Z186" s="62">
        <v>8.17</v>
      </c>
      <c r="AA186" s="80">
        <v>38341</v>
      </c>
      <c r="AB186" s="60">
        <v>12</v>
      </c>
      <c r="AC186" s="93">
        <v>1.1900000000000001E-2</v>
      </c>
      <c r="AD186" s="80">
        <v>37092</v>
      </c>
      <c r="AE186" s="60">
        <v>15</v>
      </c>
      <c r="AF186" s="74" t="s">
        <v>226</v>
      </c>
      <c r="AG186" s="60"/>
      <c r="AH186" s="60"/>
      <c r="AI186" s="74" t="s">
        <v>226</v>
      </c>
      <c r="AJ186" s="80">
        <f t="shared" si="30"/>
        <v>0</v>
      </c>
      <c r="AK186" s="278">
        <f t="shared" si="30"/>
        <v>0</v>
      </c>
      <c r="AL186" s="74" t="s">
        <v>226</v>
      </c>
      <c r="AM186" s="80">
        <f t="shared" si="31"/>
        <v>0</v>
      </c>
      <c r="AN186" s="278">
        <f t="shared" si="31"/>
        <v>0</v>
      </c>
      <c r="AO186" s="58"/>
      <c r="AP186" s="58"/>
    </row>
    <row r="187" spans="1:42" ht="15.75">
      <c r="A187" s="293" t="s">
        <v>79</v>
      </c>
      <c r="B187" s="74">
        <v>8422</v>
      </c>
      <c r="C187" s="60">
        <v>751</v>
      </c>
      <c r="D187" s="74">
        <v>86616</v>
      </c>
      <c r="E187" s="58"/>
      <c r="F187" s="60">
        <v>10886</v>
      </c>
      <c r="G187" s="93">
        <v>9.7999999999999997E-3</v>
      </c>
      <c r="H187" s="94">
        <f t="shared" si="29"/>
        <v>3.0143848966991214</v>
      </c>
      <c r="I187" s="104">
        <v>90</v>
      </c>
      <c r="J187" s="104">
        <v>79</v>
      </c>
      <c r="K187" s="478"/>
      <c r="L187" s="279">
        <v>1.1900000000000001E-2</v>
      </c>
      <c r="M187" s="324">
        <v>1.01E-2</v>
      </c>
      <c r="N187" s="322">
        <v>30</v>
      </c>
      <c r="O187" s="71"/>
      <c r="P187" s="293" t="s">
        <v>125</v>
      </c>
      <c r="Q187" s="77">
        <v>4.8959999999999999</v>
      </c>
      <c r="R187" s="80">
        <v>38062</v>
      </c>
      <c r="S187" s="76">
        <v>10</v>
      </c>
      <c r="T187" s="77">
        <v>2.4630000000000001</v>
      </c>
      <c r="U187" s="80">
        <v>38082</v>
      </c>
      <c r="V187" s="76">
        <v>17</v>
      </c>
      <c r="W187" s="62">
        <v>16.11</v>
      </c>
      <c r="X187" s="80">
        <v>37484</v>
      </c>
      <c r="Y187" s="60">
        <v>16</v>
      </c>
      <c r="Z187" s="62">
        <v>8.11</v>
      </c>
      <c r="AA187" s="80">
        <v>38341</v>
      </c>
      <c r="AB187" s="60">
        <v>12</v>
      </c>
      <c r="AC187" s="93">
        <v>7.7000000000000002E-3</v>
      </c>
      <c r="AD187" s="105">
        <v>38178</v>
      </c>
      <c r="AE187" s="60">
        <v>16</v>
      </c>
      <c r="AF187" s="74" t="s">
        <v>226</v>
      </c>
      <c r="AG187" s="60"/>
      <c r="AH187" s="60"/>
      <c r="AI187" s="74" t="s">
        <v>226</v>
      </c>
      <c r="AJ187" s="80">
        <f t="shared" si="30"/>
        <v>0</v>
      </c>
      <c r="AK187" s="278">
        <f t="shared" si="30"/>
        <v>0</v>
      </c>
      <c r="AL187" s="74" t="s">
        <v>226</v>
      </c>
      <c r="AM187" s="80">
        <f t="shared" si="31"/>
        <v>0</v>
      </c>
      <c r="AN187" s="278">
        <f t="shared" si="31"/>
        <v>0</v>
      </c>
      <c r="AO187" s="58"/>
      <c r="AP187" s="58"/>
    </row>
    <row r="188" spans="1:42" ht="15.75">
      <c r="A188" s="293" t="s">
        <v>198</v>
      </c>
      <c r="B188" s="74">
        <v>8990</v>
      </c>
      <c r="C188" s="60">
        <v>800</v>
      </c>
      <c r="D188" s="74">
        <v>94101</v>
      </c>
      <c r="E188" s="58"/>
      <c r="F188" s="60">
        <v>17240</v>
      </c>
      <c r="G188" s="93">
        <v>0.01</v>
      </c>
      <c r="H188" s="94">
        <f t="shared" si="29"/>
        <v>3.0679647497219134</v>
      </c>
      <c r="I188" s="104">
        <v>90</v>
      </c>
      <c r="J188" s="104">
        <v>79.099999999999994</v>
      </c>
      <c r="K188" s="478"/>
      <c r="L188" s="279">
        <v>1.44E-2</v>
      </c>
      <c r="M188" s="324">
        <v>1.06E-2</v>
      </c>
      <c r="N188" s="322">
        <v>29.9</v>
      </c>
      <c r="O188" s="71"/>
      <c r="P188" s="293" t="s">
        <v>127</v>
      </c>
      <c r="Q188" s="77">
        <v>6.2329999999999997</v>
      </c>
      <c r="R188" s="80">
        <v>38057</v>
      </c>
      <c r="S188" s="76">
        <v>10</v>
      </c>
      <c r="T188" s="77">
        <v>2.5720000000000001</v>
      </c>
      <c r="U188" s="80">
        <v>37466</v>
      </c>
      <c r="V188" s="76">
        <v>12</v>
      </c>
      <c r="W188" s="62">
        <v>20.11</v>
      </c>
      <c r="X188" s="80">
        <v>37002</v>
      </c>
      <c r="Y188" s="60">
        <v>15</v>
      </c>
      <c r="Z188" s="62">
        <v>8.17</v>
      </c>
      <c r="AA188" s="80">
        <v>38341</v>
      </c>
      <c r="AB188" s="60">
        <v>12</v>
      </c>
      <c r="AC188" s="93">
        <v>9.4999999999999998E-3</v>
      </c>
      <c r="AD188" s="80">
        <v>37776</v>
      </c>
      <c r="AE188" s="60">
        <v>15</v>
      </c>
      <c r="AF188" s="74" t="s">
        <v>226</v>
      </c>
      <c r="AG188" s="97"/>
      <c r="AH188" s="97"/>
      <c r="AI188" s="74" t="s">
        <v>226</v>
      </c>
      <c r="AJ188" s="80">
        <f t="shared" si="30"/>
        <v>0</v>
      </c>
      <c r="AK188" s="278">
        <f t="shared" si="30"/>
        <v>0</v>
      </c>
      <c r="AL188" s="74" t="s">
        <v>226</v>
      </c>
      <c r="AM188" s="80">
        <f t="shared" si="31"/>
        <v>0</v>
      </c>
      <c r="AN188" s="278">
        <f t="shared" si="31"/>
        <v>0</v>
      </c>
      <c r="AO188" s="58"/>
      <c r="AP188" s="58"/>
    </row>
    <row r="189" spans="1:42" ht="15.75">
      <c r="A189" s="293" t="s">
        <v>201</v>
      </c>
      <c r="B189" s="74">
        <v>6276</v>
      </c>
      <c r="C189" s="60">
        <v>561</v>
      </c>
      <c r="D189" s="74">
        <v>62111</v>
      </c>
      <c r="E189" s="58"/>
      <c r="F189" s="60">
        <v>15713</v>
      </c>
      <c r="G189" s="93">
        <v>1.0699999999999999E-2</v>
      </c>
      <c r="H189" s="94">
        <f t="shared" si="29"/>
        <v>2.9006905831739962</v>
      </c>
      <c r="I189" s="104">
        <v>89</v>
      </c>
      <c r="J189" s="104">
        <v>78.900000000000006</v>
      </c>
      <c r="K189" s="478"/>
      <c r="L189" s="279">
        <v>1.46E-2</v>
      </c>
      <c r="M189" s="324">
        <v>1.1299999999999999E-2</v>
      </c>
      <c r="N189" s="322">
        <v>29.9</v>
      </c>
      <c r="O189" s="71"/>
      <c r="P189" s="293" t="s">
        <v>130</v>
      </c>
      <c r="Q189" s="77">
        <v>6.3250000000000002</v>
      </c>
      <c r="R189" s="80">
        <v>38089</v>
      </c>
      <c r="S189" s="76">
        <v>9</v>
      </c>
      <c r="T189" s="77">
        <v>2.9390000000000001</v>
      </c>
      <c r="U189" s="80">
        <v>37832</v>
      </c>
      <c r="V189" s="76">
        <v>12</v>
      </c>
      <c r="W189" s="62">
        <v>35.06</v>
      </c>
      <c r="X189" s="105">
        <v>37732</v>
      </c>
      <c r="Y189" s="97">
        <v>16</v>
      </c>
      <c r="Z189" s="62">
        <v>8.17</v>
      </c>
      <c r="AA189" s="80">
        <v>38341</v>
      </c>
      <c r="AB189" s="60">
        <v>13</v>
      </c>
      <c r="AC189" s="93">
        <v>1.7999999999999999E-2</v>
      </c>
      <c r="AD189" s="80">
        <v>38188</v>
      </c>
      <c r="AE189" s="60">
        <v>15</v>
      </c>
      <c r="AF189" s="74" t="s">
        <v>226</v>
      </c>
      <c r="AG189" s="97"/>
      <c r="AH189" s="97"/>
      <c r="AI189" s="74" t="s">
        <v>226</v>
      </c>
      <c r="AJ189" s="80">
        <f t="shared" si="30"/>
        <v>0</v>
      </c>
      <c r="AK189" s="278">
        <f t="shared" si="30"/>
        <v>0</v>
      </c>
      <c r="AL189" s="74" t="s">
        <v>226</v>
      </c>
      <c r="AM189" s="80">
        <f t="shared" si="31"/>
        <v>0</v>
      </c>
      <c r="AN189" s="278">
        <f t="shared" si="31"/>
        <v>0</v>
      </c>
      <c r="AO189" s="58"/>
      <c r="AP189" s="58"/>
    </row>
    <row r="190" spans="1:42" ht="15.75">
      <c r="A190" s="293" t="s">
        <v>204</v>
      </c>
      <c r="B190" s="74">
        <v>6080</v>
      </c>
      <c r="C190" s="60">
        <v>544</v>
      </c>
      <c r="D190" s="74">
        <v>61185</v>
      </c>
      <c r="E190" s="58"/>
      <c r="F190" s="60">
        <v>17412</v>
      </c>
      <c r="G190" s="93">
        <v>1.12E-2</v>
      </c>
      <c r="H190" s="94">
        <f t="shared" si="29"/>
        <v>2.9495597861842109</v>
      </c>
      <c r="I190" s="104">
        <v>88</v>
      </c>
      <c r="J190" s="104">
        <v>78.7</v>
      </c>
      <c r="K190" s="478"/>
      <c r="L190" s="279">
        <v>1.5699999999999999E-2</v>
      </c>
      <c r="M190" s="324">
        <v>1.1900000000000001E-2</v>
      </c>
      <c r="N190" s="322">
        <v>29.9</v>
      </c>
      <c r="O190" s="71"/>
      <c r="P190" s="293" t="s">
        <v>132</v>
      </c>
      <c r="Q190" s="77">
        <v>3.9809999999999999</v>
      </c>
      <c r="R190" s="80">
        <v>38057</v>
      </c>
      <c r="S190" s="76">
        <v>10</v>
      </c>
      <c r="T190" s="77">
        <v>2.4950000000000001</v>
      </c>
      <c r="U190" s="80">
        <v>37466</v>
      </c>
      <c r="V190" s="76">
        <v>12</v>
      </c>
      <c r="W190" s="699">
        <v>25.06</v>
      </c>
      <c r="X190" s="80">
        <v>37002</v>
      </c>
      <c r="Y190" s="60">
        <v>16</v>
      </c>
      <c r="Z190" s="62">
        <v>8.17</v>
      </c>
      <c r="AA190" s="80">
        <v>38341</v>
      </c>
      <c r="AB190" s="60">
        <v>12</v>
      </c>
      <c r="AC190" s="702">
        <v>8.0999999999999996E-3</v>
      </c>
      <c r="AD190" s="80">
        <v>37092</v>
      </c>
      <c r="AE190" s="60">
        <v>15</v>
      </c>
      <c r="AF190" s="74" t="s">
        <v>226</v>
      </c>
      <c r="AG190" s="292"/>
      <c r="AH190" s="292"/>
      <c r="AI190" s="74" t="s">
        <v>226</v>
      </c>
      <c r="AJ190" s="80">
        <f t="shared" si="30"/>
        <v>0</v>
      </c>
      <c r="AK190" s="278">
        <f t="shared" si="30"/>
        <v>0</v>
      </c>
      <c r="AL190" s="74" t="s">
        <v>226</v>
      </c>
      <c r="AM190" s="80">
        <f t="shared" si="31"/>
        <v>0</v>
      </c>
      <c r="AN190" s="278">
        <f t="shared" si="31"/>
        <v>0</v>
      </c>
      <c r="AO190" s="58"/>
      <c r="AP190" s="58"/>
    </row>
    <row r="191" spans="1:42" ht="15.75">
      <c r="A191" s="293" t="s">
        <v>206</v>
      </c>
      <c r="B191" s="74">
        <v>5192</v>
      </c>
      <c r="C191" s="60">
        <v>481</v>
      </c>
      <c r="D191" s="74">
        <v>54630</v>
      </c>
      <c r="E191" s="58"/>
      <c r="F191" s="60">
        <v>14113</v>
      </c>
      <c r="G191" s="93">
        <v>1.0999999999999999E-2</v>
      </c>
      <c r="H191" s="94">
        <f t="shared" si="29"/>
        <v>3.0839855546995381</v>
      </c>
      <c r="I191" s="104">
        <v>83</v>
      </c>
      <c r="J191" s="104">
        <v>77.900000000000006</v>
      </c>
      <c r="K191" s="478"/>
      <c r="L191" s="279">
        <v>1.43E-2</v>
      </c>
      <c r="M191" s="324">
        <v>1.15E-2</v>
      </c>
      <c r="N191" s="322">
        <v>29.9</v>
      </c>
      <c r="O191" s="71"/>
      <c r="P191" s="293" t="s">
        <v>135</v>
      </c>
      <c r="Q191" s="77">
        <v>3.456</v>
      </c>
      <c r="R191" s="80">
        <v>38107</v>
      </c>
      <c r="S191" s="76">
        <v>16</v>
      </c>
      <c r="T191" s="77">
        <v>2.2610000000000001</v>
      </c>
      <c r="U191" s="82">
        <v>37831</v>
      </c>
      <c r="V191" s="85">
        <v>12</v>
      </c>
      <c r="W191" s="699">
        <v>15.11</v>
      </c>
      <c r="X191" s="80">
        <v>38138</v>
      </c>
      <c r="Y191" s="60">
        <v>16</v>
      </c>
      <c r="Z191" s="62">
        <v>8.11</v>
      </c>
      <c r="AA191" s="80">
        <v>38341</v>
      </c>
      <c r="AB191" s="60">
        <v>12</v>
      </c>
      <c r="AC191" s="702">
        <v>5.0000000000000001E-3</v>
      </c>
      <c r="AD191" s="80">
        <v>37776</v>
      </c>
      <c r="AE191" s="60">
        <v>13</v>
      </c>
      <c r="AF191" s="74" t="s">
        <v>226</v>
      </c>
      <c r="AG191" s="292"/>
      <c r="AH191" s="292"/>
      <c r="AI191" s="74" t="s">
        <v>226</v>
      </c>
      <c r="AJ191" s="80">
        <f t="shared" si="30"/>
        <v>0</v>
      </c>
      <c r="AK191" s="278">
        <f t="shared" si="30"/>
        <v>0</v>
      </c>
      <c r="AL191" s="74" t="s">
        <v>226</v>
      </c>
      <c r="AM191" s="80">
        <f t="shared" si="31"/>
        <v>0</v>
      </c>
      <c r="AN191" s="278">
        <f t="shared" si="31"/>
        <v>0</v>
      </c>
      <c r="AO191" s="58"/>
      <c r="AP191" s="58"/>
    </row>
    <row r="192" spans="1:42" ht="15.75">
      <c r="A192" s="293" t="s">
        <v>207</v>
      </c>
      <c r="B192" s="74">
        <v>5363</v>
      </c>
      <c r="C192" s="60">
        <v>504</v>
      </c>
      <c r="D192" s="74">
        <v>58281</v>
      </c>
      <c r="E192" s="58"/>
      <c r="F192" s="60">
        <v>18935</v>
      </c>
      <c r="G192" s="93">
        <v>1.14E-2</v>
      </c>
      <c r="H192" s="94">
        <f t="shared" si="29"/>
        <v>3.1851876002237556</v>
      </c>
      <c r="I192" s="104">
        <v>81</v>
      </c>
      <c r="J192" s="104">
        <v>77.599999999999994</v>
      </c>
      <c r="K192" s="478"/>
      <c r="L192" s="279">
        <v>1.6400000000000001E-2</v>
      </c>
      <c r="M192" s="324">
        <v>1.21E-2</v>
      </c>
      <c r="N192" s="322">
        <v>30</v>
      </c>
      <c r="O192" s="71"/>
      <c r="P192" s="294" t="s">
        <v>138</v>
      </c>
      <c r="Q192" s="86">
        <v>4.2750000000000004</v>
      </c>
      <c r="R192" s="82">
        <v>38062</v>
      </c>
      <c r="S192" s="85">
        <v>10</v>
      </c>
      <c r="T192" s="86">
        <v>2.72</v>
      </c>
      <c r="U192" s="82">
        <v>37831</v>
      </c>
      <c r="V192" s="85">
        <v>12</v>
      </c>
      <c r="W192" s="700">
        <v>35</v>
      </c>
      <c r="X192" s="701">
        <v>37732</v>
      </c>
      <c r="Y192" s="325">
        <v>15</v>
      </c>
      <c r="Z192" s="66">
        <v>8.17</v>
      </c>
      <c r="AA192" s="82">
        <v>38341</v>
      </c>
      <c r="AB192" s="706">
        <v>13</v>
      </c>
      <c r="AC192" s="703">
        <v>1.2200000000000001E-2</v>
      </c>
      <c r="AD192" s="701">
        <v>38188</v>
      </c>
      <c r="AE192" s="325">
        <v>15</v>
      </c>
      <c r="AF192" s="81" t="s">
        <v>226</v>
      </c>
      <c r="AG192" s="325"/>
      <c r="AH192" s="325"/>
      <c r="AI192" s="81" t="s">
        <v>226</v>
      </c>
      <c r="AJ192" s="82">
        <f t="shared" si="30"/>
        <v>0</v>
      </c>
      <c r="AK192" s="117">
        <f t="shared" si="30"/>
        <v>0</v>
      </c>
      <c r="AL192" s="81" t="s">
        <v>226</v>
      </c>
      <c r="AM192" s="82">
        <f t="shared" si="31"/>
        <v>0</v>
      </c>
      <c r="AN192" s="117">
        <f t="shared" si="31"/>
        <v>0</v>
      </c>
      <c r="AO192" s="58"/>
      <c r="AP192" s="58"/>
    </row>
    <row r="193" spans="1:40" ht="15.75">
      <c r="A193" s="293" t="s">
        <v>208</v>
      </c>
      <c r="B193" s="74">
        <v>4318</v>
      </c>
      <c r="C193" s="60">
        <v>405</v>
      </c>
      <c r="D193" s="74">
        <v>45839</v>
      </c>
      <c r="E193" s="58"/>
      <c r="F193" s="60">
        <v>14101</v>
      </c>
      <c r="G193" s="93">
        <v>1.1299999999999999E-2</v>
      </c>
      <c r="H193" s="94">
        <f t="shared" si="29"/>
        <v>3.1114893237610008</v>
      </c>
      <c r="I193" s="104">
        <v>81</v>
      </c>
      <c r="J193" s="104">
        <v>77.599999999999994</v>
      </c>
      <c r="K193" s="478"/>
      <c r="L193" s="279">
        <v>1.6400000000000001E-2</v>
      </c>
      <c r="M193" s="324">
        <v>1.21E-2</v>
      </c>
      <c r="N193" s="322">
        <v>30</v>
      </c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</row>
    <row r="194" spans="1:40" ht="15.75">
      <c r="A194" s="293" t="s">
        <v>209</v>
      </c>
      <c r="B194" s="74">
        <v>4224</v>
      </c>
      <c r="C194" s="60">
        <v>399</v>
      </c>
      <c r="D194" s="74">
        <v>45310</v>
      </c>
      <c r="E194" s="58"/>
      <c r="F194" s="60">
        <v>14694</v>
      </c>
      <c r="G194" s="93">
        <v>1.14E-2</v>
      </c>
      <c r="H194" s="94">
        <f t="shared" si="29"/>
        <v>3.1440248579545456</v>
      </c>
      <c r="I194" s="104">
        <v>80</v>
      </c>
      <c r="J194" s="104">
        <v>77.400000000000006</v>
      </c>
      <c r="K194" s="478"/>
      <c r="L194" s="279">
        <v>1.67E-2</v>
      </c>
      <c r="M194" s="324">
        <v>1.2200000000000001E-2</v>
      </c>
      <c r="N194" s="322">
        <v>30</v>
      </c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</row>
    <row r="195" spans="1:40" ht="15.75">
      <c r="A195" s="293" t="s">
        <v>210</v>
      </c>
      <c r="B195" s="74">
        <v>4145</v>
      </c>
      <c r="C195" s="60">
        <v>395</v>
      </c>
      <c r="D195" s="74">
        <v>45008</v>
      </c>
      <c r="E195" s="58"/>
      <c r="F195" s="60">
        <v>15027</v>
      </c>
      <c r="G195" s="93">
        <v>1.15E-2</v>
      </c>
      <c r="H195" s="94">
        <f t="shared" si="29"/>
        <v>3.1825922316043429</v>
      </c>
      <c r="I195" s="104">
        <v>79</v>
      </c>
      <c r="J195" s="104">
        <v>77.2</v>
      </c>
      <c r="K195" s="478"/>
      <c r="L195" s="279">
        <v>1.6899999999999998E-2</v>
      </c>
      <c r="M195" s="324">
        <v>1.23E-2</v>
      </c>
      <c r="N195" s="322">
        <v>30</v>
      </c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</row>
    <row r="196" spans="1:40" ht="15.75">
      <c r="A196" s="707" t="s">
        <v>211</v>
      </c>
      <c r="B196" s="81">
        <v>4287</v>
      </c>
      <c r="C196" s="64">
        <v>407</v>
      </c>
      <c r="D196" s="81">
        <v>46825</v>
      </c>
      <c r="E196" s="695"/>
      <c r="F196" s="64">
        <v>16804</v>
      </c>
      <c r="G196" s="98">
        <v>1.17E-2</v>
      </c>
      <c r="H196" s="94">
        <f t="shared" si="29"/>
        <v>3.2014013296011199</v>
      </c>
      <c r="I196" s="475">
        <v>79</v>
      </c>
      <c r="J196" s="696">
        <v>77.2</v>
      </c>
      <c r="K196" s="479"/>
      <c r="L196" s="279">
        <v>1.78E-2</v>
      </c>
      <c r="M196" s="324">
        <v>1.2699999999999999E-2</v>
      </c>
      <c r="N196" s="322">
        <v>30</v>
      </c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</row>
    <row r="197" spans="1:40" ht="15.75">
      <c r="A197" s="292"/>
      <c r="B197" s="292"/>
      <c r="C197" s="292"/>
      <c r="D197" s="292"/>
      <c r="E197" s="292"/>
      <c r="F197" s="292"/>
      <c r="G197" s="292"/>
      <c r="H197" s="292"/>
      <c r="I197" s="292"/>
      <c r="J197" s="292"/>
      <c r="K197" s="292"/>
      <c r="L197" s="292"/>
      <c r="M197" s="71"/>
      <c r="N197" s="292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</row>
    <row r="198" spans="1:40" ht="15.75">
      <c r="A198" s="292"/>
      <c r="B198" s="292"/>
      <c r="C198" s="292"/>
      <c r="D198" s="292"/>
      <c r="E198" s="292"/>
      <c r="F198" s="292"/>
      <c r="G198" s="292"/>
      <c r="H198" s="292"/>
      <c r="I198" s="292"/>
      <c r="J198" s="292"/>
      <c r="K198" s="292"/>
      <c r="L198" s="292"/>
      <c r="M198" s="71"/>
      <c r="N198" s="292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</row>
    <row r="199" spans="1:40" ht="15.75">
      <c r="A199" s="286"/>
      <c r="B199" s="286" t="s">
        <v>212</v>
      </c>
      <c r="C199" s="287"/>
      <c r="D199" s="287"/>
      <c r="E199" s="287"/>
      <c r="F199" s="287"/>
      <c r="G199" s="287"/>
      <c r="H199" s="287"/>
      <c r="I199" s="287"/>
      <c r="J199" s="287"/>
      <c r="K199" s="287"/>
      <c r="L199" s="288"/>
      <c r="M199" s="71"/>
      <c r="N199" s="292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</row>
    <row r="200" spans="1:40" ht="15.75">
      <c r="A200" s="293"/>
      <c r="B200" s="294"/>
      <c r="C200" s="295"/>
      <c r="D200" s="295"/>
      <c r="E200" s="295"/>
      <c r="F200" s="295"/>
      <c r="G200" s="295"/>
      <c r="H200" s="295"/>
      <c r="I200" s="295"/>
      <c r="J200" s="295"/>
      <c r="K200" s="295"/>
      <c r="L200" s="296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</row>
    <row r="201" spans="1:40" ht="15.75">
      <c r="A201" s="293"/>
      <c r="B201" s="744" t="s">
        <v>143</v>
      </c>
      <c r="C201" s="745"/>
      <c r="D201" s="745"/>
      <c r="E201" s="746"/>
      <c r="F201" s="293" t="s">
        <v>144</v>
      </c>
      <c r="G201" s="298"/>
      <c r="H201" s="292"/>
      <c r="I201" s="305" t="s">
        <v>361</v>
      </c>
      <c r="J201" s="315"/>
      <c r="K201" s="286"/>
      <c r="L201" s="288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</row>
    <row r="202" spans="1:40" ht="15.75">
      <c r="A202" s="293" t="s">
        <v>213</v>
      </c>
      <c r="B202" s="305" t="s">
        <v>4</v>
      </c>
      <c r="C202" s="51" t="s">
        <v>219</v>
      </c>
      <c r="D202" s="49" t="s">
        <v>84</v>
      </c>
      <c r="E202" s="49" t="s">
        <v>85</v>
      </c>
      <c r="F202" s="51" t="s">
        <v>220</v>
      </c>
      <c r="G202" s="299" t="s">
        <v>6</v>
      </c>
      <c r="H202" s="303" t="s">
        <v>7</v>
      </c>
      <c r="I202" s="305" t="s">
        <v>372</v>
      </c>
      <c r="J202" s="317" t="s">
        <v>150</v>
      </c>
      <c r="K202" s="326" t="s">
        <v>151</v>
      </c>
      <c r="L202" s="319" t="s">
        <v>152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</row>
    <row r="203" spans="1:40" ht="15.75">
      <c r="A203" s="294"/>
      <c r="B203" s="306" t="s">
        <v>156</v>
      </c>
      <c r="C203" s="52" t="s">
        <v>156</v>
      </c>
      <c r="D203" s="53" t="s">
        <v>156</v>
      </c>
      <c r="E203" s="53" t="s">
        <v>156</v>
      </c>
      <c r="F203" s="52" t="s">
        <v>221</v>
      </c>
      <c r="G203" s="52" t="s">
        <v>221</v>
      </c>
      <c r="H203" s="52" t="s">
        <v>221</v>
      </c>
      <c r="I203" s="306" t="s">
        <v>157</v>
      </c>
      <c r="J203" s="320"/>
      <c r="K203" s="306" t="s">
        <v>222</v>
      </c>
      <c r="L203" s="308" t="s">
        <v>222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</row>
    <row r="204" spans="1:40" ht="15.75">
      <c r="A204" s="327" t="s">
        <v>214</v>
      </c>
      <c r="B204" s="74"/>
      <c r="C204" s="74">
        <v>84215</v>
      </c>
      <c r="D204" s="60">
        <v>9339</v>
      </c>
      <c r="E204" s="292">
        <v>11196</v>
      </c>
      <c r="F204" s="74">
        <v>1124479</v>
      </c>
      <c r="G204" s="97"/>
      <c r="H204" s="60">
        <v>311802</v>
      </c>
      <c r="I204" s="93">
        <v>1.0999999999999999E-2</v>
      </c>
      <c r="J204" s="94">
        <f>F204*0.2931/C204</f>
        <v>3.9136115288250317</v>
      </c>
      <c r="K204" s="292">
        <v>62.3</v>
      </c>
      <c r="L204" s="292">
        <v>76.900000000000006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</row>
    <row r="205" spans="1:40" ht="15.75">
      <c r="A205" s="328" t="s">
        <v>215</v>
      </c>
      <c r="B205" s="81"/>
      <c r="C205" s="81">
        <v>112557</v>
      </c>
      <c r="D205" s="64">
        <v>10232</v>
      </c>
      <c r="E205" s="295">
        <v>12347</v>
      </c>
      <c r="F205" s="81">
        <v>1133063</v>
      </c>
      <c r="G205" s="64"/>
      <c r="H205" s="64">
        <v>315766</v>
      </c>
      <c r="I205" s="81">
        <v>1.15E-2</v>
      </c>
      <c r="J205" s="94">
        <f>F205*0.2931/C205</f>
        <v>2.9505118766491645</v>
      </c>
      <c r="K205" s="103">
        <v>85.1</v>
      </c>
      <c r="L205" s="104">
        <v>77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</row>
    <row r="206" spans="1:40" ht="15.75">
      <c r="A206" s="292"/>
      <c r="B206" s="292"/>
      <c r="C206" s="292"/>
      <c r="D206" s="292"/>
      <c r="E206" s="292"/>
      <c r="F206" s="292"/>
      <c r="G206" s="292"/>
      <c r="H206" s="292"/>
      <c r="I206" s="292"/>
      <c r="J206" s="292"/>
      <c r="K206" s="292"/>
      <c r="L206" s="292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</row>
    <row r="207" spans="1:40" ht="15.75">
      <c r="A207" s="292"/>
      <c r="B207" s="292"/>
      <c r="C207" s="292"/>
      <c r="D207" s="292"/>
      <c r="E207" s="292"/>
      <c r="F207" s="292"/>
      <c r="G207" s="292"/>
      <c r="H207" s="292"/>
      <c r="I207" s="292"/>
      <c r="J207" s="292"/>
      <c r="K207" s="292"/>
      <c r="L207" s="292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</row>
    <row r="208" spans="1:40" ht="15.75">
      <c r="A208" s="286"/>
      <c r="B208" s="286" t="s">
        <v>216</v>
      </c>
      <c r="C208" s="287"/>
      <c r="D208" s="287"/>
      <c r="E208" s="287"/>
      <c r="F208" s="287"/>
      <c r="G208" s="287"/>
      <c r="H208" s="287"/>
      <c r="I208" s="287"/>
      <c r="J208" s="287"/>
      <c r="K208" s="287"/>
      <c r="L208" s="288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</row>
    <row r="209" spans="1:40" ht="15.75">
      <c r="A209" s="293"/>
      <c r="B209" s="294"/>
      <c r="C209" s="295"/>
      <c r="D209" s="295"/>
      <c r="E209" s="295"/>
      <c r="F209" s="295"/>
      <c r="G209" s="295"/>
      <c r="H209" s="295"/>
      <c r="I209" s="295"/>
      <c r="J209" s="295"/>
      <c r="K209" s="295"/>
      <c r="L209" s="296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</row>
    <row r="210" spans="1:40" ht="15.75">
      <c r="A210" s="293"/>
      <c r="B210" s="744" t="s">
        <v>143</v>
      </c>
      <c r="C210" s="745"/>
      <c r="D210" s="745"/>
      <c r="E210" s="746"/>
      <c r="F210" s="293" t="s">
        <v>144</v>
      </c>
      <c r="G210" s="298"/>
      <c r="H210" s="292"/>
      <c r="I210" s="305" t="s">
        <v>361</v>
      </c>
      <c r="J210" s="315"/>
      <c r="K210" s="286"/>
      <c r="L210" s="288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</row>
    <row r="211" spans="1:40" ht="15.75">
      <c r="A211" s="293" t="s">
        <v>213</v>
      </c>
      <c r="B211" s="305" t="s">
        <v>4</v>
      </c>
      <c r="C211" s="51" t="s">
        <v>219</v>
      </c>
      <c r="D211" s="49" t="s">
        <v>84</v>
      </c>
      <c r="E211" s="49" t="s">
        <v>85</v>
      </c>
      <c r="F211" s="51" t="s">
        <v>220</v>
      </c>
      <c r="G211" s="299" t="s">
        <v>6</v>
      </c>
      <c r="H211" s="303" t="s">
        <v>7</v>
      </c>
      <c r="I211" s="305" t="s">
        <v>372</v>
      </c>
      <c r="J211" s="317" t="s">
        <v>150</v>
      </c>
      <c r="K211" s="326" t="s">
        <v>151</v>
      </c>
      <c r="L211" s="319" t="s">
        <v>152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</row>
    <row r="212" spans="1:40" ht="15.75">
      <c r="A212" s="294"/>
      <c r="B212" s="306" t="s">
        <v>156</v>
      </c>
      <c r="C212" s="52" t="s">
        <v>156</v>
      </c>
      <c r="D212" s="53" t="s">
        <v>156</v>
      </c>
      <c r="E212" s="53" t="s">
        <v>156</v>
      </c>
      <c r="F212" s="52" t="s">
        <v>221</v>
      </c>
      <c r="G212" s="52" t="s">
        <v>221</v>
      </c>
      <c r="H212" s="52" t="s">
        <v>221</v>
      </c>
      <c r="I212" s="306" t="s">
        <v>157</v>
      </c>
      <c r="J212" s="320"/>
      <c r="K212" s="306" t="s">
        <v>222</v>
      </c>
      <c r="L212" s="308" t="s">
        <v>222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</row>
    <row r="213" spans="1:40" ht="15.75">
      <c r="A213" s="327" t="s">
        <v>214</v>
      </c>
      <c r="B213" s="74"/>
      <c r="C213" s="74">
        <v>64829</v>
      </c>
      <c r="D213" s="60">
        <v>7468</v>
      </c>
      <c r="E213" s="292">
        <v>8659</v>
      </c>
      <c r="F213" s="74">
        <v>796000</v>
      </c>
      <c r="G213" s="97"/>
      <c r="H213" s="60">
        <v>0</v>
      </c>
      <c r="I213" s="74">
        <v>7.1000000000000004E-3</v>
      </c>
      <c r="J213" s="94">
        <f>F213*0.2931/C213</f>
        <v>3.5988153449844984</v>
      </c>
      <c r="K213" s="292">
        <v>62.3</v>
      </c>
      <c r="L213" s="292">
        <v>76.900000000000006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</row>
    <row r="214" spans="1:40" ht="15.75">
      <c r="A214" s="328" t="s">
        <v>215</v>
      </c>
      <c r="B214" s="81"/>
      <c r="C214" s="81">
        <v>85983</v>
      </c>
      <c r="D214" s="64">
        <v>8151</v>
      </c>
      <c r="E214" s="295">
        <v>9494</v>
      </c>
      <c r="F214" s="81">
        <v>799246</v>
      </c>
      <c r="G214" s="64"/>
      <c r="H214" s="64">
        <v>2</v>
      </c>
      <c r="I214" s="81">
        <v>7.7999999999999996E-3</v>
      </c>
      <c r="J214" s="94">
        <f>F214*0.2931/C214</f>
        <v>2.7244804507867837</v>
      </c>
      <c r="K214" s="103">
        <v>85.1</v>
      </c>
      <c r="L214" s="104">
        <v>76.900000000000006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4"/>
  <sheetViews>
    <sheetView zoomScale="63" workbookViewId="0">
      <selection activeCell="Q152" sqref="Q152"/>
    </sheetView>
  </sheetViews>
  <sheetFormatPr defaultRowHeight="15"/>
  <sheetData>
    <row r="1" spans="1:4">
      <c r="A1" t="s">
        <v>399</v>
      </c>
    </row>
    <row r="2" spans="1:4">
      <c r="A2" t="s">
        <v>32</v>
      </c>
    </row>
    <row r="3" spans="1:4" ht="15.75">
      <c r="A3" s="71" t="s">
        <v>538</v>
      </c>
    </row>
    <row r="4" spans="1:4">
      <c r="A4" t="s">
        <v>399</v>
      </c>
    </row>
    <row r="6" spans="1:4">
      <c r="A6" t="s">
        <v>21</v>
      </c>
    </row>
    <row r="8" spans="1:4">
      <c r="A8" t="s">
        <v>33</v>
      </c>
    </row>
    <row r="10" spans="1:4">
      <c r="B10" s="49" t="s">
        <v>377</v>
      </c>
      <c r="C10" s="49"/>
      <c r="D10" t="s">
        <v>34</v>
      </c>
    </row>
    <row r="11" spans="1:4">
      <c r="B11" s="49" t="s">
        <v>378</v>
      </c>
      <c r="C11" s="49"/>
      <c r="D11" t="s">
        <v>379</v>
      </c>
    </row>
    <row r="12" spans="1:4">
      <c r="B12" s="49" t="s">
        <v>380</v>
      </c>
      <c r="C12" s="49"/>
      <c r="D12" t="s">
        <v>35</v>
      </c>
    </row>
    <row r="13" spans="1:4">
      <c r="B13" s="49" t="s">
        <v>381</v>
      </c>
      <c r="C13" s="49"/>
      <c r="D13" t="s">
        <v>36</v>
      </c>
    </row>
    <row r="14" spans="1:4">
      <c r="B14" s="49" t="s">
        <v>382</v>
      </c>
      <c r="C14" s="49"/>
      <c r="D14" t="s">
        <v>37</v>
      </c>
    </row>
    <row r="15" spans="1:4">
      <c r="B15" s="49" t="s">
        <v>383</v>
      </c>
      <c r="C15" s="49"/>
      <c r="D15" t="s">
        <v>38</v>
      </c>
    </row>
    <row r="16" spans="1:4">
      <c r="B16" s="49" t="s">
        <v>384</v>
      </c>
      <c r="C16" s="49"/>
      <c r="D16" t="s">
        <v>385</v>
      </c>
    </row>
    <row r="17" spans="1:4">
      <c r="B17" s="49" t="s">
        <v>386</v>
      </c>
      <c r="C17" s="49"/>
      <c r="D17" t="s">
        <v>39</v>
      </c>
    </row>
    <row r="18" spans="1:4">
      <c r="B18" s="49"/>
      <c r="C18" s="49"/>
    </row>
    <row r="19" spans="1:4">
      <c r="A19" t="s">
        <v>40</v>
      </c>
    </row>
    <row r="20" spans="1:4">
      <c r="A20" t="s">
        <v>41</v>
      </c>
    </row>
    <row r="21" spans="1:4">
      <c r="A21" t="s">
        <v>42</v>
      </c>
    </row>
    <row r="22" spans="1:4">
      <c r="A22" t="s">
        <v>43</v>
      </c>
    </row>
    <row r="24" spans="1:4">
      <c r="A24" t="s">
        <v>44</v>
      </c>
    </row>
    <row r="25" spans="1:4">
      <c r="A25" t="s">
        <v>45</v>
      </c>
    </row>
    <row r="27" spans="1:4">
      <c r="A27" t="s">
        <v>46</v>
      </c>
    </row>
    <row r="28" spans="1:4">
      <c r="A28" t="s">
        <v>47</v>
      </c>
    </row>
    <row r="30" spans="1:4">
      <c r="A30" t="s">
        <v>48</v>
      </c>
    </row>
    <row r="32" spans="1:4">
      <c r="B32" t="s">
        <v>49</v>
      </c>
      <c r="D32" s="72" t="s">
        <v>50</v>
      </c>
    </row>
    <row r="34" spans="1:4">
      <c r="B34" t="s">
        <v>51</v>
      </c>
      <c r="D34" s="72" t="s">
        <v>52</v>
      </c>
    </row>
    <row r="35" spans="1:4">
      <c r="B35" t="s">
        <v>53</v>
      </c>
      <c r="D35" s="72" t="s">
        <v>54</v>
      </c>
    </row>
    <row r="36" spans="1:4">
      <c r="B36" t="s">
        <v>55</v>
      </c>
      <c r="D36" s="72" t="s">
        <v>56</v>
      </c>
    </row>
    <row r="37" spans="1:4">
      <c r="B37" t="s">
        <v>57</v>
      </c>
      <c r="D37" s="72" t="s">
        <v>58</v>
      </c>
    </row>
    <row r="38" spans="1:4">
      <c r="B38" t="s">
        <v>59</v>
      </c>
      <c r="D38" s="72" t="s">
        <v>60</v>
      </c>
    </row>
    <row r="39" spans="1:4">
      <c r="B39" t="s">
        <v>61</v>
      </c>
      <c r="D39" s="72" t="s">
        <v>62</v>
      </c>
    </row>
    <row r="40" spans="1:4">
      <c r="B40" t="s">
        <v>63</v>
      </c>
      <c r="D40" s="72" t="s">
        <v>64</v>
      </c>
    </row>
    <row r="41" spans="1:4">
      <c r="B41" t="s">
        <v>65</v>
      </c>
      <c r="D41" s="72" t="s">
        <v>66</v>
      </c>
    </row>
    <row r="42" spans="1:4">
      <c r="B42" t="s">
        <v>67</v>
      </c>
      <c r="D42" s="72" t="s">
        <v>68</v>
      </c>
    </row>
    <row r="43" spans="1:4">
      <c r="B43" t="s">
        <v>69</v>
      </c>
      <c r="D43" s="72" t="s">
        <v>70</v>
      </c>
    </row>
    <row r="44" spans="1:4">
      <c r="B44" t="s">
        <v>71</v>
      </c>
      <c r="D44" s="72" t="s">
        <v>72</v>
      </c>
    </row>
    <row r="45" spans="1:4">
      <c r="B45" t="s">
        <v>73</v>
      </c>
      <c r="D45" s="72" t="s">
        <v>74</v>
      </c>
    </row>
    <row r="47" spans="1:4">
      <c r="A47" t="s">
        <v>75</v>
      </c>
    </row>
    <row r="48" spans="1:4">
      <c r="A48" t="s">
        <v>76</v>
      </c>
    </row>
    <row r="49" spans="1:34">
      <c r="B49" s="49" t="s">
        <v>77</v>
      </c>
      <c r="C49" s="49"/>
      <c r="D49" s="72" t="s">
        <v>78</v>
      </c>
    </row>
    <row r="51" spans="1:34">
      <c r="B51" s="73">
        <v>36388</v>
      </c>
      <c r="C51" s="73"/>
      <c r="D51" s="72" t="s">
        <v>79</v>
      </c>
    </row>
    <row r="56" spans="1:34">
      <c r="A56" s="41"/>
      <c r="B56" s="41"/>
      <c r="C56" s="42"/>
      <c r="D56" s="42" t="s">
        <v>80</v>
      </c>
      <c r="E56" s="42"/>
      <c r="F56" s="42"/>
      <c r="G56" s="42"/>
      <c r="H56" s="42"/>
      <c r="I56" s="41" t="s">
        <v>81</v>
      </c>
      <c r="J56" s="42"/>
      <c r="K56" s="42"/>
      <c r="L56" s="42"/>
      <c r="M56" s="41" t="s">
        <v>357</v>
      </c>
      <c r="N56" s="43"/>
      <c r="O56" s="42"/>
      <c r="P56" s="41"/>
      <c r="Q56" s="250" t="s">
        <v>358</v>
      </c>
      <c r="R56" s="251"/>
      <c r="S56" s="251"/>
      <c r="T56" s="251"/>
      <c r="U56" s="251"/>
      <c r="V56" s="251"/>
      <c r="W56" s="42"/>
      <c r="X56" s="42"/>
      <c r="Y56" s="42"/>
      <c r="Z56" s="42"/>
      <c r="AA56" s="42"/>
      <c r="AB56" s="43"/>
      <c r="AC56" s="41"/>
      <c r="AD56" s="42" t="s">
        <v>359</v>
      </c>
      <c r="AE56" s="42"/>
      <c r="AF56" s="42"/>
      <c r="AG56" s="42"/>
      <c r="AH56" s="43"/>
    </row>
    <row r="57" spans="1:34">
      <c r="A57" s="44"/>
      <c r="B57" s="45"/>
      <c r="C57" s="46"/>
      <c r="D57" s="46"/>
      <c r="E57" s="46"/>
      <c r="F57" s="46"/>
      <c r="G57" s="46"/>
      <c r="H57" s="46"/>
      <c r="I57" s="45"/>
      <c r="J57" s="46"/>
      <c r="K57" s="46"/>
      <c r="L57" s="46"/>
      <c r="M57" s="45" t="s">
        <v>360</v>
      </c>
      <c r="N57" s="47"/>
      <c r="O57" s="120"/>
      <c r="P57" s="44"/>
      <c r="Q57" s="45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7"/>
      <c r="AC57" s="45"/>
      <c r="AD57" s="46"/>
      <c r="AE57" s="46"/>
      <c r="AF57" s="46"/>
      <c r="AG57" s="46"/>
      <c r="AH57" s="47"/>
    </row>
    <row r="58" spans="1:34">
      <c r="A58" s="44"/>
      <c r="B58" s="44"/>
      <c r="C58" s="120"/>
      <c r="D58" s="120"/>
      <c r="E58" s="120"/>
      <c r="F58" s="120"/>
      <c r="G58" s="120"/>
      <c r="H58" s="120"/>
      <c r="I58" s="44"/>
      <c r="J58" s="120"/>
      <c r="K58" s="252" t="s">
        <v>361</v>
      </c>
      <c r="L58" s="252" t="s">
        <v>361</v>
      </c>
      <c r="M58" s="44"/>
      <c r="N58" s="50" t="s">
        <v>362</v>
      </c>
      <c r="O58" s="49"/>
      <c r="P58" s="44"/>
      <c r="Q58" s="41"/>
      <c r="R58" s="42"/>
      <c r="S58" s="43"/>
      <c r="T58" s="120"/>
      <c r="U58" s="120"/>
      <c r="V58" s="120"/>
      <c r="W58" s="120"/>
      <c r="X58" s="120"/>
      <c r="Y58" s="120"/>
      <c r="Z58" s="120"/>
      <c r="AA58" s="120"/>
      <c r="AB58" s="48"/>
      <c r="AD58" t="s">
        <v>363</v>
      </c>
      <c r="AH58" s="43"/>
    </row>
    <row r="59" spans="1:34">
      <c r="A59" s="44"/>
      <c r="B59" s="44" t="s">
        <v>364</v>
      </c>
      <c r="C59" s="120"/>
      <c r="F59" s="44" t="s">
        <v>365</v>
      </c>
      <c r="G59" s="120"/>
      <c r="I59" s="44"/>
      <c r="K59" s="49" t="s">
        <v>2</v>
      </c>
      <c r="L59" s="49" t="s">
        <v>82</v>
      </c>
      <c r="M59" s="44"/>
      <c r="N59" s="50" t="s">
        <v>2</v>
      </c>
      <c r="O59" s="49"/>
      <c r="P59" s="44"/>
      <c r="Q59" s="253" t="s">
        <v>366</v>
      </c>
      <c r="R59" s="120"/>
      <c r="S59" s="48"/>
      <c r="T59" s="120"/>
      <c r="V59" t="s">
        <v>83</v>
      </c>
      <c r="AB59" s="48"/>
      <c r="AE59" s="48"/>
      <c r="AH59" s="48"/>
    </row>
    <row r="60" spans="1:34">
      <c r="A60" s="44" t="s">
        <v>3</v>
      </c>
      <c r="B60" s="51" t="s">
        <v>4</v>
      </c>
      <c r="C60" s="252" t="s">
        <v>5</v>
      </c>
      <c r="D60" s="49" t="s">
        <v>84</v>
      </c>
      <c r="E60" s="49" t="s">
        <v>85</v>
      </c>
      <c r="F60" s="51" t="s">
        <v>4</v>
      </c>
      <c r="G60" s="252" t="s">
        <v>6</v>
      </c>
      <c r="H60" s="49" t="s">
        <v>7</v>
      </c>
      <c r="I60" s="51" t="s">
        <v>86</v>
      </c>
      <c r="J60" s="49" t="s">
        <v>8</v>
      </c>
      <c r="K60" s="49" t="s">
        <v>9</v>
      </c>
      <c r="L60" s="49" t="s">
        <v>2</v>
      </c>
      <c r="M60" s="51" t="s">
        <v>151</v>
      </c>
      <c r="N60" s="50" t="s">
        <v>9</v>
      </c>
      <c r="O60" s="49"/>
      <c r="P60" s="44" t="s">
        <v>3</v>
      </c>
      <c r="Q60" s="44" t="s">
        <v>87</v>
      </c>
      <c r="T60" s="44"/>
      <c r="U60" s="49" t="s">
        <v>6</v>
      </c>
      <c r="W60" s="44"/>
      <c r="X60" s="49" t="s">
        <v>7</v>
      </c>
      <c r="Z60" s="44" t="s">
        <v>88</v>
      </c>
      <c r="AB60" s="48"/>
      <c r="AD60" t="s">
        <v>367</v>
      </c>
      <c r="AE60" s="48"/>
      <c r="AF60" t="s">
        <v>368</v>
      </c>
      <c r="AH60" s="48"/>
    </row>
    <row r="61" spans="1:34">
      <c r="A61" s="45"/>
      <c r="B61" s="52" t="s">
        <v>10</v>
      </c>
      <c r="C61" s="53" t="s">
        <v>10</v>
      </c>
      <c r="D61" s="53" t="s">
        <v>10</v>
      </c>
      <c r="E61" s="53" t="s">
        <v>10</v>
      </c>
      <c r="F61" s="52" t="s">
        <v>10</v>
      </c>
      <c r="G61" s="53" t="s">
        <v>10</v>
      </c>
      <c r="H61" s="53" t="s">
        <v>10</v>
      </c>
      <c r="I61" s="45"/>
      <c r="J61" s="53" t="s">
        <v>11</v>
      </c>
      <c r="K61" s="53" t="s">
        <v>22</v>
      </c>
      <c r="L61" s="53" t="s">
        <v>89</v>
      </c>
      <c r="M61" s="52" t="s">
        <v>11</v>
      </c>
      <c r="N61" s="54" t="s">
        <v>22</v>
      </c>
      <c r="O61" s="53"/>
      <c r="P61" s="45"/>
      <c r="Q61" s="52" t="s">
        <v>90</v>
      </c>
      <c r="R61" s="53" t="s">
        <v>77</v>
      </c>
      <c r="S61" s="53" t="s">
        <v>78</v>
      </c>
      <c r="T61" s="52" t="s">
        <v>90</v>
      </c>
      <c r="U61" s="53" t="s">
        <v>77</v>
      </c>
      <c r="V61" s="53" t="s">
        <v>78</v>
      </c>
      <c r="W61" s="52" t="s">
        <v>90</v>
      </c>
      <c r="X61" s="53" t="s">
        <v>77</v>
      </c>
      <c r="Y61" s="53" t="s">
        <v>78</v>
      </c>
      <c r="Z61" s="52" t="s">
        <v>90</v>
      </c>
      <c r="AA61" s="53" t="s">
        <v>77</v>
      </c>
      <c r="AB61" s="54" t="s">
        <v>78</v>
      </c>
      <c r="AC61" s="52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34" ht="15.75">
      <c r="A62" s="44" t="s">
        <v>91</v>
      </c>
      <c r="B62" s="74">
        <f>C62+D62+E62</f>
        <v>34755</v>
      </c>
      <c r="C62" s="97">
        <f>C146-D146</f>
        <v>21573</v>
      </c>
      <c r="D62" s="60">
        <f t="shared" ref="D62:E77" si="0">D146</f>
        <v>2302</v>
      </c>
      <c r="E62" s="60">
        <f t="shared" si="0"/>
        <v>10880</v>
      </c>
      <c r="F62" s="75">
        <f>F146*0.2931</f>
        <v>77291.935500000007</v>
      </c>
      <c r="G62" s="266">
        <f>F62-H62</f>
        <v>55804.7745</v>
      </c>
      <c r="H62" s="76">
        <f>H146*0.2931</f>
        <v>21487.161000000004</v>
      </c>
      <c r="I62" s="77">
        <f>F62/(C62+D62)</f>
        <v>3.2373585549738224</v>
      </c>
      <c r="J62" s="78">
        <f>(J146-32)/180*100</f>
        <v>24.055555555555554</v>
      </c>
      <c r="K62" s="63">
        <f t="shared" ref="K62:L73" si="1">K146</f>
        <v>9.1999999999999998E-3</v>
      </c>
      <c r="L62" s="78">
        <f t="shared" si="1"/>
        <v>48.28</v>
      </c>
      <c r="M62" s="267">
        <f>(M146-32)/180*100</f>
        <v>19.888888888888886</v>
      </c>
      <c r="N62" s="268">
        <f>N146</f>
        <v>1.1599999999999999E-2</v>
      </c>
      <c r="O62" s="97"/>
      <c r="P62" s="44" t="s">
        <v>91</v>
      </c>
      <c r="Q62" s="75">
        <f t="shared" ref="Q62:AB77" si="2">Q146</f>
        <v>11602</v>
      </c>
      <c r="R62" s="80">
        <f t="shared" si="2"/>
        <v>37457</v>
      </c>
      <c r="S62" s="60">
        <f t="shared" si="2"/>
        <v>15</v>
      </c>
      <c r="T62" s="75">
        <f t="shared" si="2"/>
        <v>23205</v>
      </c>
      <c r="U62" s="80">
        <f t="shared" si="2"/>
        <v>37457</v>
      </c>
      <c r="V62" s="60">
        <f t="shared" si="2"/>
        <v>15</v>
      </c>
      <c r="W62" s="75">
        <f t="shared" si="2"/>
        <v>9394</v>
      </c>
      <c r="X62" s="80">
        <f t="shared" si="2"/>
        <v>37137</v>
      </c>
      <c r="Y62" s="60">
        <f t="shared" si="2"/>
        <v>15</v>
      </c>
      <c r="Z62" s="75">
        <f t="shared" si="2"/>
        <v>31455</v>
      </c>
      <c r="AA62" s="80">
        <f t="shared" si="2"/>
        <v>37092</v>
      </c>
      <c r="AB62" s="60">
        <f t="shared" si="2"/>
        <v>15</v>
      </c>
      <c r="AC62" s="267">
        <f>(AC146-32)/180*100</f>
        <v>35</v>
      </c>
      <c r="AD62" s="269">
        <f>AD146</f>
        <v>37457</v>
      </c>
      <c r="AE62" s="270">
        <f>AE146</f>
        <v>15</v>
      </c>
      <c r="AF62" s="271">
        <f>AF146</f>
        <v>2.2499999999999999E-2</v>
      </c>
      <c r="AG62" s="269">
        <f>AG146</f>
        <v>37531</v>
      </c>
      <c r="AH62" s="255">
        <f>AH146</f>
        <v>9</v>
      </c>
    </row>
    <row r="63" spans="1:34" ht="15.75">
      <c r="A63" s="44" t="s">
        <v>96</v>
      </c>
      <c r="B63" s="74">
        <f t="shared" ref="B63:B82" si="3">C63+D63+E63</f>
        <v>39384</v>
      </c>
      <c r="C63" s="97">
        <f t="shared" ref="C63:C82" si="4">C147-D147</f>
        <v>25817</v>
      </c>
      <c r="D63" s="60">
        <f t="shared" si="0"/>
        <v>2687</v>
      </c>
      <c r="E63" s="60">
        <f t="shared" si="0"/>
        <v>10880</v>
      </c>
      <c r="F63" s="75">
        <f t="shared" ref="F63:F82" si="5">F147*0.2931</f>
        <v>97412.078100000013</v>
      </c>
      <c r="G63" s="266">
        <f t="shared" ref="G63:G82" si="6">F63-H63</f>
        <v>56312.716800000009</v>
      </c>
      <c r="H63" s="76">
        <f t="shared" ref="H63:H82" si="7">H147*0.2931</f>
        <v>41099.361300000004</v>
      </c>
      <c r="I63" s="77">
        <f t="shared" ref="I63:I82" si="8">F63/(C63+D63)</f>
        <v>3.4174880051922543</v>
      </c>
      <c r="J63" s="78">
        <f t="shared" ref="J63:J82" si="9">(J147-32)/180*100</f>
        <v>24.055555555555554</v>
      </c>
      <c r="K63" s="63">
        <f t="shared" si="1"/>
        <v>1.1299999999999999E-2</v>
      </c>
      <c r="L63" s="78">
        <f t="shared" si="1"/>
        <v>58.53</v>
      </c>
      <c r="M63" s="272" t="s">
        <v>387</v>
      </c>
      <c r="N63" s="273"/>
      <c r="O63" s="60"/>
      <c r="P63" s="44" t="s">
        <v>96</v>
      </c>
      <c r="Q63" s="75">
        <f t="shared" si="2"/>
        <v>12595</v>
      </c>
      <c r="R63" s="80">
        <f t="shared" si="2"/>
        <v>37457</v>
      </c>
      <c r="S63" s="60">
        <f t="shared" si="2"/>
        <v>15</v>
      </c>
      <c r="T63" s="75">
        <f t="shared" si="2"/>
        <v>23119</v>
      </c>
      <c r="U63" s="80">
        <f t="shared" si="2"/>
        <v>38142</v>
      </c>
      <c r="V63" s="60">
        <f t="shared" si="2"/>
        <v>16</v>
      </c>
      <c r="W63" s="75">
        <f t="shared" si="2"/>
        <v>15270</v>
      </c>
      <c r="X63" s="80">
        <f t="shared" si="2"/>
        <v>37137</v>
      </c>
      <c r="Y63" s="60">
        <f t="shared" si="2"/>
        <v>15</v>
      </c>
      <c r="Z63" s="75">
        <f t="shared" si="2"/>
        <v>37033</v>
      </c>
      <c r="AA63" s="80">
        <f t="shared" si="2"/>
        <v>38233</v>
      </c>
      <c r="AB63" s="79">
        <f t="shared" si="2"/>
        <v>16</v>
      </c>
      <c r="AC63" t="s">
        <v>388</v>
      </c>
      <c r="AF63" t="s">
        <v>389</v>
      </c>
    </row>
    <row r="64" spans="1:34" ht="15.75">
      <c r="A64" s="44" t="s">
        <v>98</v>
      </c>
      <c r="B64" s="74">
        <f t="shared" si="3"/>
        <v>38792</v>
      </c>
      <c r="C64" s="97">
        <f t="shared" si="4"/>
        <v>25294</v>
      </c>
      <c r="D64" s="60">
        <f t="shared" si="0"/>
        <v>2618</v>
      </c>
      <c r="E64" s="60">
        <f t="shared" si="0"/>
        <v>10880</v>
      </c>
      <c r="F64" s="75">
        <f t="shared" si="5"/>
        <v>96493.209600000002</v>
      </c>
      <c r="G64" s="266">
        <f t="shared" si="6"/>
        <v>62746.847999999998</v>
      </c>
      <c r="H64" s="76">
        <f t="shared" si="7"/>
        <v>33746.361600000004</v>
      </c>
      <c r="I64" s="77">
        <f t="shared" si="8"/>
        <v>3.4570510748065351</v>
      </c>
      <c r="J64" s="78">
        <f t="shared" si="9"/>
        <v>24.388888888888893</v>
      </c>
      <c r="K64" s="63">
        <f t="shared" si="1"/>
        <v>1.01E-2</v>
      </c>
      <c r="L64" s="78">
        <f t="shared" si="1"/>
        <v>51.25</v>
      </c>
      <c r="M64" s="272" t="s">
        <v>388</v>
      </c>
      <c r="N64" s="273"/>
      <c r="O64" s="60"/>
      <c r="P64" s="44" t="s">
        <v>98</v>
      </c>
      <c r="Q64" s="75">
        <f t="shared" si="2"/>
        <v>12981</v>
      </c>
      <c r="R64" s="80">
        <f t="shared" si="2"/>
        <v>37457</v>
      </c>
      <c r="S64" s="60">
        <f t="shared" si="2"/>
        <v>15</v>
      </c>
      <c r="T64" s="75">
        <f t="shared" si="2"/>
        <v>31072</v>
      </c>
      <c r="U64" s="80">
        <f t="shared" si="2"/>
        <v>37370</v>
      </c>
      <c r="V64" s="60">
        <f t="shared" si="2"/>
        <v>16</v>
      </c>
      <c r="W64" s="75">
        <f t="shared" si="2"/>
        <v>31503</v>
      </c>
      <c r="X64" s="80">
        <f t="shared" si="2"/>
        <v>37531</v>
      </c>
      <c r="Y64" s="60">
        <f t="shared" si="2"/>
        <v>9</v>
      </c>
      <c r="Z64" s="75">
        <f t="shared" si="2"/>
        <v>53823</v>
      </c>
      <c r="AA64" s="80">
        <f t="shared" si="2"/>
        <v>37531</v>
      </c>
      <c r="AB64" s="79">
        <f t="shared" si="2"/>
        <v>9</v>
      </c>
    </row>
    <row r="65" spans="1:28" ht="15.75">
      <c r="A65" s="44" t="s">
        <v>102</v>
      </c>
      <c r="B65" s="74">
        <f t="shared" si="3"/>
        <v>39438</v>
      </c>
      <c r="C65" s="97">
        <f t="shared" si="4"/>
        <v>25925</v>
      </c>
      <c r="D65" s="60">
        <f t="shared" si="0"/>
        <v>2633</v>
      </c>
      <c r="E65" s="60">
        <f t="shared" si="0"/>
        <v>10880</v>
      </c>
      <c r="F65" s="75">
        <f t="shared" si="5"/>
        <v>100993.467</v>
      </c>
      <c r="G65" s="266">
        <f t="shared" si="6"/>
        <v>63327.772199999999</v>
      </c>
      <c r="H65" s="76">
        <f t="shared" si="7"/>
        <v>37665.694800000005</v>
      </c>
      <c r="I65" s="77">
        <f t="shared" si="8"/>
        <v>3.5364334687303032</v>
      </c>
      <c r="J65" s="78">
        <f t="shared" si="9"/>
        <v>24.277777777777779</v>
      </c>
      <c r="K65" s="63">
        <f t="shared" si="1"/>
        <v>9.9000000000000008E-3</v>
      </c>
      <c r="L65" s="78">
        <f t="shared" si="1"/>
        <v>50.65</v>
      </c>
      <c r="M65" s="74"/>
      <c r="N65" s="60"/>
      <c r="O65" s="60"/>
      <c r="P65" s="44" t="s">
        <v>102</v>
      </c>
      <c r="Q65" s="75">
        <f t="shared" si="2"/>
        <v>13407</v>
      </c>
      <c r="R65" s="80">
        <f t="shared" si="2"/>
        <v>37457</v>
      </c>
      <c r="S65" s="60">
        <f t="shared" si="2"/>
        <v>15</v>
      </c>
      <c r="T65" s="75">
        <f t="shared" si="2"/>
        <v>34490</v>
      </c>
      <c r="U65" s="80">
        <f t="shared" si="2"/>
        <v>37421</v>
      </c>
      <c r="V65" s="60">
        <f t="shared" si="2"/>
        <v>15</v>
      </c>
      <c r="W65" s="75">
        <f t="shared" si="2"/>
        <v>40809</v>
      </c>
      <c r="X65" s="80">
        <f t="shared" si="2"/>
        <v>37531</v>
      </c>
      <c r="Y65" s="60">
        <f t="shared" si="2"/>
        <v>9</v>
      </c>
      <c r="Z65" s="75">
        <f t="shared" si="2"/>
        <v>64572</v>
      </c>
      <c r="AA65" s="80">
        <f t="shared" si="2"/>
        <v>37531</v>
      </c>
      <c r="AB65" s="79">
        <f t="shared" si="2"/>
        <v>9</v>
      </c>
    </row>
    <row r="66" spans="1:28" ht="15.75">
      <c r="A66" s="44" t="s">
        <v>356</v>
      </c>
      <c r="B66" s="74">
        <f t="shared" si="3"/>
        <v>39265</v>
      </c>
      <c r="C66" s="97">
        <f t="shared" si="4"/>
        <v>25745</v>
      </c>
      <c r="D66" s="60">
        <f t="shared" si="0"/>
        <v>2640</v>
      </c>
      <c r="E66" s="60">
        <f t="shared" si="0"/>
        <v>10880</v>
      </c>
      <c r="F66" s="75">
        <f t="shared" si="5"/>
        <v>99223.143000000011</v>
      </c>
      <c r="G66" s="266">
        <f t="shared" si="6"/>
        <v>63110.585100000011</v>
      </c>
      <c r="H66" s="76">
        <f t="shared" si="7"/>
        <v>36112.5579</v>
      </c>
      <c r="I66" s="77">
        <f t="shared" si="8"/>
        <v>3.4956189184428399</v>
      </c>
      <c r="J66" s="78">
        <f t="shared" si="9"/>
        <v>24.277777777777779</v>
      </c>
      <c r="K66" s="63">
        <f t="shared" si="1"/>
        <v>9.9000000000000008E-3</v>
      </c>
      <c r="L66" s="78">
        <f t="shared" si="1"/>
        <v>50.73</v>
      </c>
      <c r="M66" s="74"/>
      <c r="N66" s="60"/>
      <c r="O66" s="60"/>
      <c r="P66" s="44" t="s">
        <v>356</v>
      </c>
      <c r="Q66" s="75">
        <f t="shared" si="2"/>
        <v>13190</v>
      </c>
      <c r="R66" s="80">
        <f t="shared" si="2"/>
        <v>37457</v>
      </c>
      <c r="S66" s="60">
        <f t="shared" si="2"/>
        <v>15</v>
      </c>
      <c r="T66" s="75">
        <f t="shared" si="2"/>
        <v>32086</v>
      </c>
      <c r="U66" s="80">
        <f t="shared" si="2"/>
        <v>37392</v>
      </c>
      <c r="V66" s="60">
        <f t="shared" si="2"/>
        <v>16</v>
      </c>
      <c r="W66" s="75">
        <f t="shared" si="2"/>
        <v>36011</v>
      </c>
      <c r="X66" s="80">
        <f t="shared" si="2"/>
        <v>37531</v>
      </c>
      <c r="Y66" s="60">
        <f t="shared" si="2"/>
        <v>9</v>
      </c>
      <c r="Z66" s="75">
        <f t="shared" si="2"/>
        <v>59549</v>
      </c>
      <c r="AA66" s="80">
        <f t="shared" si="2"/>
        <v>37531</v>
      </c>
      <c r="AB66" s="79">
        <f t="shared" si="2"/>
        <v>9</v>
      </c>
    </row>
    <row r="67" spans="1:28" ht="15.75">
      <c r="A67" s="44" t="s">
        <v>105</v>
      </c>
      <c r="B67" s="74">
        <f t="shared" si="3"/>
        <v>30548</v>
      </c>
      <c r="C67" s="97">
        <f t="shared" si="4"/>
        <v>17801</v>
      </c>
      <c r="D67" s="60">
        <f t="shared" si="0"/>
        <v>1867</v>
      </c>
      <c r="E67" s="60">
        <f t="shared" si="0"/>
        <v>10880</v>
      </c>
      <c r="F67" s="75">
        <f t="shared" si="5"/>
        <v>63634.647900000004</v>
      </c>
      <c r="G67" s="266">
        <f t="shared" si="6"/>
        <v>47676.525300000001</v>
      </c>
      <c r="H67" s="76">
        <f t="shared" si="7"/>
        <v>15958.122600000001</v>
      </c>
      <c r="I67" s="77">
        <f t="shared" si="8"/>
        <v>3.235440710799268</v>
      </c>
      <c r="J67" s="78">
        <f t="shared" si="9"/>
        <v>26.166666666666664</v>
      </c>
      <c r="K67" s="63">
        <f t="shared" si="1"/>
        <v>0.01</v>
      </c>
      <c r="L67" s="78">
        <f t="shared" si="1"/>
        <v>45.55</v>
      </c>
      <c r="M67" s="74"/>
      <c r="N67" s="60"/>
      <c r="O67" s="60"/>
      <c r="P67" s="44" t="s">
        <v>105</v>
      </c>
      <c r="Q67" s="75">
        <f t="shared" si="2"/>
        <v>11602</v>
      </c>
      <c r="R67" s="80">
        <f t="shared" si="2"/>
        <v>37457</v>
      </c>
      <c r="S67" s="60">
        <f t="shared" si="2"/>
        <v>15</v>
      </c>
      <c r="T67" s="75">
        <f t="shared" si="2"/>
        <v>23205</v>
      </c>
      <c r="U67" s="80">
        <f t="shared" si="2"/>
        <v>37457</v>
      </c>
      <c r="V67" s="60">
        <f t="shared" si="2"/>
        <v>15</v>
      </c>
      <c r="W67" s="75">
        <f t="shared" si="2"/>
        <v>9393</v>
      </c>
      <c r="X67" s="80">
        <f t="shared" si="2"/>
        <v>37137</v>
      </c>
      <c r="Y67" s="60">
        <f t="shared" si="2"/>
        <v>15</v>
      </c>
      <c r="Z67" s="75">
        <f t="shared" si="2"/>
        <v>31454</v>
      </c>
      <c r="AA67" s="80">
        <f t="shared" si="2"/>
        <v>37092</v>
      </c>
      <c r="AB67" s="79">
        <f t="shared" si="2"/>
        <v>15</v>
      </c>
    </row>
    <row r="68" spans="1:28" ht="15.75">
      <c r="A68" s="44" t="s">
        <v>108</v>
      </c>
      <c r="B68" s="74">
        <f t="shared" si="3"/>
        <v>54016</v>
      </c>
      <c r="C68" s="97">
        <f t="shared" si="4"/>
        <v>38955</v>
      </c>
      <c r="D68" s="60">
        <f t="shared" si="0"/>
        <v>4181</v>
      </c>
      <c r="E68" s="60">
        <f t="shared" si="0"/>
        <v>10880</v>
      </c>
      <c r="F68" s="75">
        <f t="shared" si="5"/>
        <v>159853.80900000001</v>
      </c>
      <c r="G68" s="266">
        <f t="shared" si="6"/>
        <v>134939.72280000002</v>
      </c>
      <c r="H68" s="76">
        <f t="shared" si="7"/>
        <v>24914.086200000002</v>
      </c>
      <c r="I68" s="77">
        <f t="shared" si="8"/>
        <v>3.705809741283383</v>
      </c>
      <c r="J68" s="78">
        <f t="shared" si="9"/>
        <v>25.555555555555554</v>
      </c>
      <c r="K68" s="63">
        <f t="shared" si="1"/>
        <v>8.6999999999999994E-3</v>
      </c>
      <c r="L68" s="78">
        <f t="shared" si="1"/>
        <v>41.49</v>
      </c>
      <c r="M68" s="74"/>
      <c r="N68" s="60"/>
      <c r="O68" s="60"/>
      <c r="P68" s="44" t="s">
        <v>108</v>
      </c>
      <c r="Q68" s="75">
        <f t="shared" si="2"/>
        <v>12726</v>
      </c>
      <c r="R68" s="80">
        <f t="shared" si="2"/>
        <v>37457</v>
      </c>
      <c r="S68" s="60">
        <f t="shared" si="2"/>
        <v>15</v>
      </c>
      <c r="T68" s="75">
        <f t="shared" si="2"/>
        <v>32065</v>
      </c>
      <c r="U68" s="80">
        <f t="shared" si="2"/>
        <v>38101</v>
      </c>
      <c r="V68" s="60">
        <f t="shared" si="2"/>
        <v>16</v>
      </c>
      <c r="W68" s="75">
        <f t="shared" si="2"/>
        <v>10336</v>
      </c>
      <c r="X68" s="80">
        <f t="shared" si="2"/>
        <v>37531</v>
      </c>
      <c r="Y68" s="60">
        <f t="shared" si="2"/>
        <v>9</v>
      </c>
      <c r="Z68" s="75">
        <f t="shared" si="2"/>
        <v>41019</v>
      </c>
      <c r="AA68" s="80">
        <f t="shared" si="2"/>
        <v>37531</v>
      </c>
      <c r="AB68" s="79">
        <f t="shared" si="2"/>
        <v>9</v>
      </c>
    </row>
    <row r="69" spans="1:28" ht="15.75">
      <c r="A69" s="44" t="s">
        <v>109</v>
      </c>
      <c r="B69" s="74">
        <f t="shared" si="3"/>
        <v>30876</v>
      </c>
      <c r="C69" s="97">
        <f t="shared" si="4"/>
        <v>18131</v>
      </c>
      <c r="D69" s="60">
        <f t="shared" si="0"/>
        <v>1865</v>
      </c>
      <c r="E69" s="60">
        <f t="shared" si="0"/>
        <v>10880</v>
      </c>
      <c r="F69" s="75">
        <f t="shared" si="5"/>
        <v>65025.114300000008</v>
      </c>
      <c r="G69" s="266">
        <f t="shared" si="6"/>
        <v>41437.012500000004</v>
      </c>
      <c r="H69" s="76">
        <f t="shared" si="7"/>
        <v>23588.101800000004</v>
      </c>
      <c r="I69" s="77">
        <f t="shared" si="8"/>
        <v>3.2519060962192441</v>
      </c>
      <c r="J69" s="78">
        <f t="shared" si="9"/>
        <v>24.055555555555554</v>
      </c>
      <c r="K69" s="63">
        <f t="shared" si="1"/>
        <v>0.01</v>
      </c>
      <c r="L69" s="78">
        <f t="shared" si="1"/>
        <v>52.25</v>
      </c>
      <c r="M69" s="74"/>
      <c r="N69" s="60"/>
      <c r="O69" s="60"/>
      <c r="P69" s="44" t="s">
        <v>109</v>
      </c>
      <c r="Q69" s="75">
        <f t="shared" si="2"/>
        <v>11677</v>
      </c>
      <c r="R69" s="80">
        <f t="shared" si="2"/>
        <v>38248</v>
      </c>
      <c r="S69" s="60">
        <f t="shared" si="2"/>
        <v>15</v>
      </c>
      <c r="T69" s="75">
        <f t="shared" si="2"/>
        <v>23205</v>
      </c>
      <c r="U69" s="80">
        <f t="shared" si="2"/>
        <v>37457</v>
      </c>
      <c r="V69" s="60">
        <f t="shared" si="2"/>
        <v>15</v>
      </c>
      <c r="W69" s="75">
        <f t="shared" si="2"/>
        <v>32396</v>
      </c>
      <c r="X69" s="80">
        <f t="shared" si="2"/>
        <v>37882</v>
      </c>
      <c r="Y69" s="60">
        <f t="shared" si="2"/>
        <v>15</v>
      </c>
      <c r="Z69" s="75">
        <f t="shared" si="2"/>
        <v>49838</v>
      </c>
      <c r="AA69" s="80">
        <f t="shared" si="2"/>
        <v>37882</v>
      </c>
      <c r="AB69" s="79">
        <f t="shared" si="2"/>
        <v>15</v>
      </c>
    </row>
    <row r="70" spans="1:28" ht="15.75">
      <c r="A70" s="44" t="s">
        <v>111</v>
      </c>
      <c r="B70" s="74">
        <f t="shared" si="3"/>
        <v>31699</v>
      </c>
      <c r="C70" s="97">
        <f t="shared" si="4"/>
        <v>18850</v>
      </c>
      <c r="D70" s="60">
        <f t="shared" si="0"/>
        <v>1969</v>
      </c>
      <c r="E70" s="60">
        <f t="shared" si="0"/>
        <v>10880</v>
      </c>
      <c r="F70" s="75">
        <f t="shared" si="5"/>
        <v>66843.506700000013</v>
      </c>
      <c r="G70" s="266">
        <f t="shared" si="6"/>
        <v>47659.818600000013</v>
      </c>
      <c r="H70" s="76">
        <f t="shared" si="7"/>
        <v>19183.688100000003</v>
      </c>
      <c r="I70" s="77">
        <f t="shared" si="8"/>
        <v>3.2106972813295553</v>
      </c>
      <c r="J70" s="78">
        <f t="shared" si="9"/>
        <v>24.055555555555554</v>
      </c>
      <c r="K70" s="63">
        <f t="shared" si="1"/>
        <v>9.4999999999999998E-3</v>
      </c>
      <c r="L70" s="78">
        <f t="shared" si="1"/>
        <v>49.63</v>
      </c>
      <c r="M70" s="74"/>
      <c r="N70" s="60"/>
      <c r="O70" s="60"/>
      <c r="P70" s="44" t="s">
        <v>111</v>
      </c>
      <c r="Q70" s="75">
        <f t="shared" si="2"/>
        <v>11602</v>
      </c>
      <c r="R70" s="80">
        <f t="shared" si="2"/>
        <v>37457</v>
      </c>
      <c r="S70" s="60">
        <f t="shared" si="2"/>
        <v>15</v>
      </c>
      <c r="T70" s="75">
        <f t="shared" si="2"/>
        <v>23205</v>
      </c>
      <c r="U70" s="80">
        <f t="shared" si="2"/>
        <v>37457</v>
      </c>
      <c r="V70" s="60">
        <f t="shared" si="2"/>
        <v>15</v>
      </c>
      <c r="W70" s="75">
        <f t="shared" si="2"/>
        <v>9391</v>
      </c>
      <c r="X70" s="80">
        <f t="shared" si="2"/>
        <v>37867</v>
      </c>
      <c r="Y70" s="60">
        <f t="shared" si="2"/>
        <v>15</v>
      </c>
      <c r="Z70" s="75">
        <f t="shared" si="2"/>
        <v>31455</v>
      </c>
      <c r="AA70" s="80">
        <f t="shared" si="2"/>
        <v>37092</v>
      </c>
      <c r="AB70" s="79">
        <f t="shared" si="2"/>
        <v>15</v>
      </c>
    </row>
    <row r="71" spans="1:28" ht="15.75">
      <c r="A71" s="44" t="s">
        <v>112</v>
      </c>
      <c r="B71" s="74">
        <f t="shared" si="3"/>
        <v>32910</v>
      </c>
      <c r="C71" s="97">
        <f t="shared" si="4"/>
        <v>19934</v>
      </c>
      <c r="D71" s="60">
        <f t="shared" si="0"/>
        <v>2096</v>
      </c>
      <c r="E71" s="60">
        <f t="shared" si="0"/>
        <v>10880</v>
      </c>
      <c r="F71" s="75">
        <f t="shared" si="5"/>
        <v>70882.131600000008</v>
      </c>
      <c r="G71" s="266">
        <f t="shared" si="6"/>
        <v>50612.214900000006</v>
      </c>
      <c r="H71" s="76">
        <f t="shared" si="7"/>
        <v>20269.916700000002</v>
      </c>
      <c r="I71" s="77">
        <f t="shared" si="8"/>
        <v>3.2175275351793013</v>
      </c>
      <c r="J71" s="78">
        <f t="shared" si="9"/>
        <v>24.055555555555554</v>
      </c>
      <c r="K71" s="63">
        <f t="shared" si="1"/>
        <v>9.4000000000000004E-3</v>
      </c>
      <c r="L71" s="78">
        <f t="shared" si="1"/>
        <v>48.97</v>
      </c>
      <c r="M71" s="74"/>
      <c r="N71" s="60"/>
      <c r="O71" s="60"/>
      <c r="P71" s="44" t="s">
        <v>112</v>
      </c>
      <c r="Q71" s="75">
        <f t="shared" si="2"/>
        <v>11602</v>
      </c>
      <c r="R71" s="80">
        <f t="shared" si="2"/>
        <v>37457</v>
      </c>
      <c r="S71" s="60">
        <f t="shared" si="2"/>
        <v>15</v>
      </c>
      <c r="T71" s="75">
        <f t="shared" si="2"/>
        <v>23205</v>
      </c>
      <c r="U71" s="80">
        <f t="shared" si="2"/>
        <v>37457</v>
      </c>
      <c r="V71" s="60">
        <f t="shared" si="2"/>
        <v>15</v>
      </c>
      <c r="W71" s="75">
        <f t="shared" si="2"/>
        <v>9394</v>
      </c>
      <c r="X71" s="80">
        <f t="shared" si="2"/>
        <v>37867</v>
      </c>
      <c r="Y71" s="60">
        <f t="shared" si="2"/>
        <v>15</v>
      </c>
      <c r="Z71" s="75">
        <f t="shared" si="2"/>
        <v>31455</v>
      </c>
      <c r="AA71" s="80">
        <f t="shared" si="2"/>
        <v>37092</v>
      </c>
      <c r="AB71" s="79">
        <f t="shared" si="2"/>
        <v>15</v>
      </c>
    </row>
    <row r="72" spans="1:28" ht="15.75">
      <c r="A72" s="44" t="s">
        <v>113</v>
      </c>
      <c r="B72" s="74">
        <f t="shared" si="3"/>
        <v>31811</v>
      </c>
      <c r="C72" s="97">
        <f t="shared" si="4"/>
        <v>18951</v>
      </c>
      <c r="D72" s="60">
        <f t="shared" si="0"/>
        <v>1980</v>
      </c>
      <c r="E72" s="60">
        <f t="shared" si="0"/>
        <v>10880</v>
      </c>
      <c r="F72" s="75">
        <f t="shared" si="5"/>
        <v>67219.260900000008</v>
      </c>
      <c r="G72" s="266">
        <f t="shared" si="6"/>
        <v>47454.06240000001</v>
      </c>
      <c r="H72" s="76">
        <f t="shared" si="7"/>
        <v>19765.198500000002</v>
      </c>
      <c r="I72" s="77">
        <f t="shared" si="8"/>
        <v>3.2114691557976212</v>
      </c>
      <c r="J72" s="78">
        <f t="shared" si="9"/>
        <v>24.055555555555554</v>
      </c>
      <c r="K72" s="63">
        <f t="shared" si="1"/>
        <v>9.4000000000000004E-3</v>
      </c>
      <c r="L72" s="78">
        <f t="shared" si="1"/>
        <v>49.3</v>
      </c>
      <c r="M72" s="74"/>
      <c r="N72" s="60"/>
      <c r="O72" s="60"/>
      <c r="P72" s="44" t="s">
        <v>113</v>
      </c>
      <c r="Q72" s="75">
        <f t="shared" si="2"/>
        <v>11602</v>
      </c>
      <c r="R72" s="80">
        <f t="shared" si="2"/>
        <v>37457</v>
      </c>
      <c r="S72" s="60">
        <f t="shared" si="2"/>
        <v>15</v>
      </c>
      <c r="T72" s="75">
        <f t="shared" si="2"/>
        <v>23205</v>
      </c>
      <c r="U72" s="80">
        <f t="shared" si="2"/>
        <v>37457</v>
      </c>
      <c r="V72" s="60">
        <f t="shared" si="2"/>
        <v>15</v>
      </c>
      <c r="W72" s="75">
        <f t="shared" si="2"/>
        <v>11101</v>
      </c>
      <c r="X72" s="80">
        <f t="shared" si="2"/>
        <v>37762</v>
      </c>
      <c r="Y72" s="60">
        <f t="shared" si="2"/>
        <v>15</v>
      </c>
      <c r="Z72" s="75">
        <f t="shared" si="2"/>
        <v>31455</v>
      </c>
      <c r="AA72" s="80">
        <f t="shared" si="2"/>
        <v>37092</v>
      </c>
      <c r="AB72" s="79">
        <f t="shared" si="2"/>
        <v>15</v>
      </c>
    </row>
    <row r="73" spans="1:28" ht="15.75">
      <c r="A73" s="44" t="s">
        <v>114</v>
      </c>
      <c r="B73" s="74">
        <f t="shared" si="3"/>
        <v>32973</v>
      </c>
      <c r="C73" s="97">
        <f t="shared" si="4"/>
        <v>19989</v>
      </c>
      <c r="D73" s="60">
        <f t="shared" si="0"/>
        <v>2104</v>
      </c>
      <c r="E73" s="60">
        <f t="shared" si="0"/>
        <v>10880</v>
      </c>
      <c r="F73" s="75">
        <f t="shared" si="5"/>
        <v>71181.093600000007</v>
      </c>
      <c r="G73" s="266">
        <f t="shared" si="6"/>
        <v>50492.043900000004</v>
      </c>
      <c r="H73" s="76">
        <f t="shared" si="7"/>
        <v>20689.049700000003</v>
      </c>
      <c r="I73" s="77">
        <f t="shared" si="8"/>
        <v>3.2218844701941793</v>
      </c>
      <c r="J73" s="78">
        <f t="shared" si="9"/>
        <v>24.055555555555554</v>
      </c>
      <c r="K73" s="63">
        <f t="shared" si="1"/>
        <v>9.2999999999999992E-3</v>
      </c>
      <c r="L73" s="78">
        <f t="shared" si="1"/>
        <v>48.57</v>
      </c>
      <c r="M73" s="74"/>
      <c r="N73" s="60"/>
      <c r="O73" s="60"/>
      <c r="P73" s="44" t="s">
        <v>114</v>
      </c>
      <c r="Q73" s="75">
        <f t="shared" si="2"/>
        <v>11602</v>
      </c>
      <c r="R73" s="80">
        <f t="shared" si="2"/>
        <v>37457</v>
      </c>
      <c r="S73" s="60">
        <f t="shared" si="2"/>
        <v>15</v>
      </c>
      <c r="T73" s="75">
        <f t="shared" si="2"/>
        <v>23205</v>
      </c>
      <c r="U73" s="80">
        <f t="shared" si="2"/>
        <v>37457</v>
      </c>
      <c r="V73" s="60">
        <f t="shared" si="2"/>
        <v>15</v>
      </c>
      <c r="W73" s="75">
        <f t="shared" si="2"/>
        <v>9391</v>
      </c>
      <c r="X73" s="80">
        <f t="shared" si="2"/>
        <v>37867</v>
      </c>
      <c r="Y73" s="60">
        <f t="shared" si="2"/>
        <v>15</v>
      </c>
      <c r="Z73" s="75">
        <f t="shared" si="2"/>
        <v>31455</v>
      </c>
      <c r="AA73" s="80">
        <f t="shared" si="2"/>
        <v>37822</v>
      </c>
      <c r="AB73" s="79">
        <f t="shared" si="2"/>
        <v>15</v>
      </c>
    </row>
    <row r="74" spans="1:28" ht="15.75">
      <c r="A74" s="44" t="s">
        <v>115</v>
      </c>
      <c r="B74" s="74">
        <f t="shared" si="3"/>
        <v>22822</v>
      </c>
      <c r="C74" s="97">
        <f t="shared" si="4"/>
        <v>18478</v>
      </c>
      <c r="D74" s="60">
        <f t="shared" si="0"/>
        <v>1975</v>
      </c>
      <c r="E74" s="60">
        <f t="shared" si="0"/>
        <v>2369</v>
      </c>
      <c r="F74" s="75">
        <f t="shared" si="5"/>
        <v>65992.344300000012</v>
      </c>
      <c r="G74" s="266">
        <f t="shared" si="6"/>
        <v>47646.042900000015</v>
      </c>
      <c r="H74" s="76">
        <f t="shared" si="7"/>
        <v>18346.3014</v>
      </c>
      <c r="I74" s="77">
        <f t="shared" si="8"/>
        <v>3.2265361707329006</v>
      </c>
      <c r="J74" s="78">
        <f t="shared" si="9"/>
        <v>20.555555555555554</v>
      </c>
      <c r="K74" s="63"/>
      <c r="L74" s="78"/>
      <c r="M74" s="74"/>
      <c r="N74" s="60"/>
      <c r="O74" s="60"/>
      <c r="P74" s="44" t="s">
        <v>116</v>
      </c>
      <c r="Q74" s="75">
        <f t="shared" si="2"/>
        <v>10425</v>
      </c>
      <c r="R74" s="80">
        <f t="shared" si="2"/>
        <v>37457</v>
      </c>
      <c r="S74" s="60">
        <f t="shared" si="2"/>
        <v>15</v>
      </c>
      <c r="T74" s="75">
        <f t="shared" si="2"/>
        <v>20008</v>
      </c>
      <c r="U74" s="80">
        <f t="shared" si="2"/>
        <v>37509</v>
      </c>
      <c r="V74" s="60">
        <f t="shared" si="2"/>
        <v>16</v>
      </c>
      <c r="W74" s="75">
        <f t="shared" si="2"/>
        <v>7733</v>
      </c>
      <c r="X74" s="80">
        <f t="shared" si="2"/>
        <v>37137</v>
      </c>
      <c r="Y74" s="60">
        <f t="shared" si="2"/>
        <v>15</v>
      </c>
      <c r="Z74" s="75">
        <f t="shared" si="2"/>
        <v>27706</v>
      </c>
      <c r="AA74" s="80">
        <f t="shared" si="2"/>
        <v>37119</v>
      </c>
      <c r="AB74" s="79">
        <f t="shared" si="2"/>
        <v>16</v>
      </c>
    </row>
    <row r="75" spans="1:28" ht="15.75">
      <c r="A75" s="44" t="s">
        <v>120</v>
      </c>
      <c r="B75" s="74">
        <f t="shared" si="3"/>
        <v>17870</v>
      </c>
      <c r="C75" s="97">
        <f t="shared" si="4"/>
        <v>14506</v>
      </c>
      <c r="D75" s="60">
        <f t="shared" si="0"/>
        <v>1527</v>
      </c>
      <c r="E75" s="60">
        <f t="shared" si="0"/>
        <v>1837</v>
      </c>
      <c r="F75" s="75">
        <f t="shared" si="5"/>
        <v>50690.472600000008</v>
      </c>
      <c r="G75" s="266">
        <f t="shared" si="6"/>
        <v>36593.241900000008</v>
      </c>
      <c r="H75" s="76">
        <f t="shared" si="7"/>
        <v>14097.230700000002</v>
      </c>
      <c r="I75" s="77">
        <f t="shared" si="8"/>
        <v>3.1616336680596278</v>
      </c>
      <c r="J75" s="78">
        <f t="shared" si="9"/>
        <v>25</v>
      </c>
      <c r="K75" s="63">
        <f>K159</f>
        <v>1.14E-2</v>
      </c>
      <c r="L75" s="78">
        <f>L159</f>
        <v>57.47</v>
      </c>
      <c r="M75" s="74"/>
      <c r="N75" s="60"/>
      <c r="O75" s="60"/>
      <c r="P75" s="44" t="s">
        <v>121</v>
      </c>
      <c r="Q75" s="75">
        <f t="shared" si="2"/>
        <v>11587</v>
      </c>
      <c r="R75" s="80">
        <f t="shared" si="2"/>
        <v>37457</v>
      </c>
      <c r="S75" s="60">
        <f t="shared" si="2"/>
        <v>15</v>
      </c>
      <c r="T75" s="75">
        <f t="shared" si="2"/>
        <v>22513</v>
      </c>
      <c r="U75" s="80">
        <f t="shared" si="2"/>
        <v>37813</v>
      </c>
      <c r="V75" s="60">
        <f t="shared" si="2"/>
        <v>15</v>
      </c>
      <c r="W75" s="75">
        <f t="shared" si="2"/>
        <v>8723</v>
      </c>
      <c r="X75" s="80">
        <f t="shared" si="2"/>
        <v>37896</v>
      </c>
      <c r="Y75" s="60">
        <f t="shared" si="2"/>
        <v>9</v>
      </c>
      <c r="Z75" s="75">
        <f t="shared" si="2"/>
        <v>31188</v>
      </c>
      <c r="AA75" s="80">
        <f t="shared" si="2"/>
        <v>37092</v>
      </c>
      <c r="AB75" s="79">
        <f t="shared" si="2"/>
        <v>15</v>
      </c>
    </row>
    <row r="76" spans="1:28" ht="15.75">
      <c r="A76" s="44" t="s">
        <v>124</v>
      </c>
      <c r="B76" s="74">
        <f t="shared" si="3"/>
        <v>35970</v>
      </c>
      <c r="C76" s="97">
        <f t="shared" si="4"/>
        <v>28810</v>
      </c>
      <c r="D76" s="60">
        <f t="shared" si="0"/>
        <v>3061</v>
      </c>
      <c r="E76" s="60">
        <f t="shared" si="0"/>
        <v>4099</v>
      </c>
      <c r="F76" s="75">
        <f t="shared" si="5"/>
        <v>114015.3138</v>
      </c>
      <c r="G76" s="266">
        <f t="shared" si="6"/>
        <v>82303.066200000001</v>
      </c>
      <c r="H76" s="76">
        <f t="shared" si="7"/>
        <v>31712.247600000002</v>
      </c>
      <c r="I76" s="77">
        <f t="shared" si="8"/>
        <v>3.5773999497976217</v>
      </c>
      <c r="J76" s="78">
        <f t="shared" si="9"/>
        <v>25.111111111111111</v>
      </c>
      <c r="K76" s="63">
        <f>K160</f>
        <v>1.14E-2</v>
      </c>
      <c r="L76" s="78">
        <f>L160</f>
        <v>57.36</v>
      </c>
      <c r="M76" s="74"/>
      <c r="N76" s="60"/>
      <c r="O76" s="60"/>
      <c r="P76" s="44" t="s">
        <v>125</v>
      </c>
      <c r="Q76" s="75">
        <f t="shared" si="2"/>
        <v>11014</v>
      </c>
      <c r="R76" s="80">
        <f t="shared" si="2"/>
        <v>37457</v>
      </c>
      <c r="S76" s="60">
        <f t="shared" si="2"/>
        <v>15</v>
      </c>
      <c r="T76" s="75">
        <f t="shared" si="2"/>
        <v>20154</v>
      </c>
      <c r="U76" s="80">
        <f t="shared" si="2"/>
        <v>38133</v>
      </c>
      <c r="V76" s="60">
        <f t="shared" si="2"/>
        <v>16</v>
      </c>
      <c r="W76" s="75">
        <f t="shared" si="2"/>
        <v>7785</v>
      </c>
      <c r="X76" s="80">
        <f t="shared" si="2"/>
        <v>37137</v>
      </c>
      <c r="Y76" s="60">
        <f t="shared" si="2"/>
        <v>15</v>
      </c>
      <c r="Z76" s="75">
        <f t="shared" si="2"/>
        <v>27878</v>
      </c>
      <c r="AA76" s="80">
        <f t="shared" si="2"/>
        <v>38191</v>
      </c>
      <c r="AB76" s="79">
        <f t="shared" si="2"/>
        <v>16</v>
      </c>
    </row>
    <row r="77" spans="1:28" ht="15.75">
      <c r="A77" s="44" t="s">
        <v>125</v>
      </c>
      <c r="B77" s="74">
        <f t="shared" si="3"/>
        <v>25390</v>
      </c>
      <c r="C77" s="97">
        <f t="shared" si="4"/>
        <v>20126</v>
      </c>
      <c r="D77" s="60">
        <f t="shared" si="0"/>
        <v>2393</v>
      </c>
      <c r="E77" s="60">
        <f t="shared" si="0"/>
        <v>2871</v>
      </c>
      <c r="F77" s="75">
        <f t="shared" si="5"/>
        <v>66565.354800000001</v>
      </c>
      <c r="G77" s="266">
        <f t="shared" si="6"/>
        <v>48095.658299999996</v>
      </c>
      <c r="H77" s="76">
        <f t="shared" si="7"/>
        <v>18469.696500000002</v>
      </c>
      <c r="I77" s="77">
        <f t="shared" si="8"/>
        <v>2.9559640658999067</v>
      </c>
      <c r="J77" s="78">
        <f t="shared" si="9"/>
        <v>13.722222222222225</v>
      </c>
      <c r="K77" s="63"/>
      <c r="L77" s="78"/>
      <c r="M77" s="74"/>
      <c r="N77" s="60"/>
      <c r="O77" s="60"/>
      <c r="P77" s="44" t="s">
        <v>127</v>
      </c>
      <c r="Q77" s="75">
        <f t="shared" si="2"/>
        <v>10966</v>
      </c>
      <c r="R77" s="80">
        <f t="shared" si="2"/>
        <v>37457</v>
      </c>
      <c r="S77" s="60">
        <f t="shared" si="2"/>
        <v>15</v>
      </c>
      <c r="T77" s="75">
        <f t="shared" si="2"/>
        <v>20135</v>
      </c>
      <c r="U77" s="80">
        <f t="shared" si="2"/>
        <v>37448</v>
      </c>
      <c r="V77" s="60">
        <f t="shared" si="2"/>
        <v>16</v>
      </c>
      <c r="W77" s="75">
        <f t="shared" si="2"/>
        <v>7760</v>
      </c>
      <c r="X77" s="80">
        <f t="shared" si="2"/>
        <v>37137</v>
      </c>
      <c r="Y77" s="60">
        <f t="shared" si="2"/>
        <v>15</v>
      </c>
      <c r="Z77" s="75">
        <f t="shared" si="2"/>
        <v>27866</v>
      </c>
      <c r="AA77" s="80">
        <f t="shared" si="2"/>
        <v>37484</v>
      </c>
      <c r="AB77" s="79">
        <f t="shared" si="2"/>
        <v>16</v>
      </c>
    </row>
    <row r="78" spans="1:28" ht="15.75">
      <c r="A78" s="44" t="s">
        <v>127</v>
      </c>
      <c r="B78" s="74">
        <f t="shared" si="3"/>
        <v>24307</v>
      </c>
      <c r="C78" s="97">
        <f t="shared" si="4"/>
        <v>19418</v>
      </c>
      <c r="D78" s="60">
        <f t="shared" ref="D78:E82" si="10">D162</f>
        <v>2182</v>
      </c>
      <c r="E78" s="60">
        <f t="shared" si="10"/>
        <v>2707</v>
      </c>
      <c r="F78" s="75">
        <f t="shared" si="5"/>
        <v>66371.908800000005</v>
      </c>
      <c r="G78" s="266">
        <f t="shared" si="6"/>
        <v>47961.4185</v>
      </c>
      <c r="H78" s="76">
        <f t="shared" si="7"/>
        <v>18410.490300000001</v>
      </c>
      <c r="I78" s="77">
        <f t="shared" si="8"/>
        <v>3.072773555555556</v>
      </c>
      <c r="J78" s="78">
        <f t="shared" si="9"/>
        <v>17.222222222222221</v>
      </c>
      <c r="K78" s="63"/>
      <c r="L78" s="78"/>
      <c r="M78" s="74"/>
      <c r="N78" s="60"/>
      <c r="O78" s="60"/>
      <c r="P78" s="44" t="s">
        <v>130</v>
      </c>
      <c r="Q78" s="75">
        <f t="shared" ref="Q78:AB81" si="11">Q162</f>
        <v>9531</v>
      </c>
      <c r="R78" s="80">
        <f t="shared" si="11"/>
        <v>37457</v>
      </c>
      <c r="S78" s="60">
        <f t="shared" si="11"/>
        <v>15</v>
      </c>
      <c r="T78" s="75">
        <f t="shared" si="11"/>
        <v>19850</v>
      </c>
      <c r="U78" s="80">
        <f t="shared" si="11"/>
        <v>37370</v>
      </c>
      <c r="V78" s="60">
        <f t="shared" si="11"/>
        <v>16</v>
      </c>
      <c r="W78" s="75">
        <f t="shared" si="11"/>
        <v>7663</v>
      </c>
      <c r="X78" s="80">
        <f t="shared" si="11"/>
        <v>37137</v>
      </c>
      <c r="Y78" s="60">
        <f t="shared" si="11"/>
        <v>15</v>
      </c>
      <c r="Z78" s="75">
        <f t="shared" si="11"/>
        <v>27466</v>
      </c>
      <c r="AA78" s="80">
        <f t="shared" si="11"/>
        <v>37445</v>
      </c>
      <c r="AB78" s="79">
        <f t="shared" si="11"/>
        <v>16</v>
      </c>
    </row>
    <row r="79" spans="1:28" ht="15.75">
      <c r="A79" s="44" t="s">
        <v>130</v>
      </c>
      <c r="B79" s="74">
        <f t="shared" si="3"/>
        <v>20421</v>
      </c>
      <c r="C79" s="97">
        <f t="shared" si="4"/>
        <v>16893</v>
      </c>
      <c r="D79" s="60">
        <f t="shared" si="10"/>
        <v>1643</v>
      </c>
      <c r="E79" s="60">
        <f t="shared" si="10"/>
        <v>1885</v>
      </c>
      <c r="F79" s="75">
        <f t="shared" si="5"/>
        <v>65395.006500000003</v>
      </c>
      <c r="G79" s="266">
        <f t="shared" si="6"/>
        <v>47213.427300000003</v>
      </c>
      <c r="H79" s="76">
        <f t="shared" si="7"/>
        <v>18181.5792</v>
      </c>
      <c r="I79" s="77">
        <f t="shared" si="8"/>
        <v>3.5279999190763922</v>
      </c>
      <c r="J79" s="78">
        <f t="shared" si="9"/>
        <v>27.277777777777771</v>
      </c>
      <c r="K79" s="63"/>
      <c r="L79" s="78"/>
      <c r="M79" s="74"/>
      <c r="N79" s="60"/>
      <c r="O79" s="60"/>
      <c r="P79" s="44" t="s">
        <v>132</v>
      </c>
      <c r="Q79" s="75">
        <f t="shared" si="11"/>
        <v>8055</v>
      </c>
      <c r="R79" s="80">
        <f t="shared" si="11"/>
        <v>37457</v>
      </c>
      <c r="S79" s="60">
        <f t="shared" si="11"/>
        <v>15</v>
      </c>
      <c r="T79" s="75">
        <f t="shared" si="11"/>
        <v>19575</v>
      </c>
      <c r="U79" s="80">
        <f t="shared" si="11"/>
        <v>37370</v>
      </c>
      <c r="V79" s="60">
        <f t="shared" si="11"/>
        <v>16</v>
      </c>
      <c r="W79" s="75">
        <f t="shared" si="11"/>
        <v>0</v>
      </c>
      <c r="X79" s="80">
        <f t="shared" si="11"/>
        <v>0</v>
      </c>
      <c r="Y79" s="60">
        <f t="shared" si="11"/>
        <v>0</v>
      </c>
      <c r="Z79" s="75">
        <f t="shared" si="11"/>
        <v>19575</v>
      </c>
      <c r="AA79" s="80">
        <f t="shared" si="11"/>
        <v>37370</v>
      </c>
      <c r="AB79" s="79">
        <f t="shared" si="11"/>
        <v>16</v>
      </c>
    </row>
    <row r="80" spans="1:28" ht="15.75">
      <c r="A80" s="44" t="s">
        <v>132</v>
      </c>
      <c r="B80" s="74">
        <f t="shared" si="3"/>
        <v>17537</v>
      </c>
      <c r="C80" s="97">
        <f t="shared" si="4"/>
        <v>14124</v>
      </c>
      <c r="D80" s="60">
        <f t="shared" si="10"/>
        <v>1580</v>
      </c>
      <c r="E80" s="60">
        <f t="shared" si="10"/>
        <v>1833</v>
      </c>
      <c r="F80" s="75">
        <f t="shared" si="5"/>
        <v>46630.744500000001</v>
      </c>
      <c r="G80" s="266">
        <f t="shared" si="6"/>
        <v>46570.072800000002</v>
      </c>
      <c r="H80" s="76">
        <f t="shared" si="7"/>
        <v>60.671700000000008</v>
      </c>
      <c r="I80" s="77">
        <f t="shared" si="8"/>
        <v>2.969354591186959</v>
      </c>
      <c r="J80" s="78">
        <f t="shared" si="9"/>
        <v>20.555555555555554</v>
      </c>
      <c r="K80" s="63"/>
      <c r="L80" s="78"/>
      <c r="M80" s="74"/>
      <c r="N80" s="60"/>
      <c r="O80" s="60"/>
      <c r="P80" s="44" t="s">
        <v>135</v>
      </c>
      <c r="Q80" s="75">
        <f t="shared" si="11"/>
        <v>8939</v>
      </c>
      <c r="R80" s="80">
        <f t="shared" si="11"/>
        <v>37457</v>
      </c>
      <c r="S80" s="60">
        <f t="shared" si="11"/>
        <v>15</v>
      </c>
      <c r="T80" s="75">
        <f t="shared" si="11"/>
        <v>19766</v>
      </c>
      <c r="U80" s="80">
        <f t="shared" si="11"/>
        <v>37370</v>
      </c>
      <c r="V80" s="60">
        <f t="shared" si="11"/>
        <v>16</v>
      </c>
      <c r="W80" s="75">
        <f t="shared" si="11"/>
        <v>0</v>
      </c>
      <c r="X80" s="80">
        <f t="shared" si="11"/>
        <v>0</v>
      </c>
      <c r="Y80" s="60">
        <f t="shared" si="11"/>
        <v>0</v>
      </c>
      <c r="Z80" s="75">
        <f t="shared" si="11"/>
        <v>19766</v>
      </c>
      <c r="AA80" s="80">
        <f t="shared" si="11"/>
        <v>37370</v>
      </c>
      <c r="AB80" s="79">
        <f t="shared" si="11"/>
        <v>16</v>
      </c>
    </row>
    <row r="81" spans="1:40" ht="15.75">
      <c r="A81" s="44" t="s">
        <v>135</v>
      </c>
      <c r="B81" s="74">
        <f t="shared" si="3"/>
        <v>19874</v>
      </c>
      <c r="C81" s="97">
        <f t="shared" si="4"/>
        <v>15677</v>
      </c>
      <c r="D81" s="60">
        <f t="shared" si="10"/>
        <v>1939</v>
      </c>
      <c r="E81" s="60">
        <f t="shared" si="10"/>
        <v>2258</v>
      </c>
      <c r="F81" s="75">
        <f t="shared" si="5"/>
        <v>47126.083500000008</v>
      </c>
      <c r="G81" s="266">
        <f t="shared" si="6"/>
        <v>47019.102000000006</v>
      </c>
      <c r="H81" s="76">
        <f t="shared" si="7"/>
        <v>106.98150000000001</v>
      </c>
      <c r="I81" s="77">
        <f t="shared" si="8"/>
        <v>2.6751863930517716</v>
      </c>
      <c r="J81" s="78">
        <f t="shared" si="9"/>
        <v>13.722222222222225</v>
      </c>
      <c r="K81" s="63"/>
      <c r="L81" s="78"/>
      <c r="M81" s="74"/>
      <c r="N81" s="60"/>
      <c r="O81" s="60"/>
      <c r="P81" s="45" t="s">
        <v>138</v>
      </c>
      <c r="Q81" s="75">
        <f t="shared" si="11"/>
        <v>7346</v>
      </c>
      <c r="R81" s="80">
        <f t="shared" si="11"/>
        <v>37457</v>
      </c>
      <c r="S81" s="60">
        <f t="shared" si="11"/>
        <v>15</v>
      </c>
      <c r="T81" s="75">
        <f t="shared" si="11"/>
        <v>19474</v>
      </c>
      <c r="U81" s="80">
        <f t="shared" si="11"/>
        <v>37370</v>
      </c>
      <c r="V81" s="60">
        <f t="shared" si="11"/>
        <v>16</v>
      </c>
      <c r="W81" s="75">
        <f t="shared" si="11"/>
        <v>0</v>
      </c>
      <c r="X81" s="82">
        <f t="shared" si="11"/>
        <v>0</v>
      </c>
      <c r="Y81" s="64">
        <f t="shared" si="11"/>
        <v>0</v>
      </c>
      <c r="Z81" s="75">
        <f t="shared" si="11"/>
        <v>19474</v>
      </c>
      <c r="AA81" s="82">
        <f t="shared" si="11"/>
        <v>37370</v>
      </c>
      <c r="AB81" s="84">
        <f t="shared" si="11"/>
        <v>16</v>
      </c>
    </row>
    <row r="82" spans="1:40" ht="15.75">
      <c r="A82" s="45" t="s">
        <v>138</v>
      </c>
      <c r="B82" s="81">
        <f t="shared" si="3"/>
        <v>15791</v>
      </c>
      <c r="C82" s="64">
        <f t="shared" si="4"/>
        <v>12957</v>
      </c>
      <c r="D82" s="64">
        <f t="shared" si="10"/>
        <v>1333</v>
      </c>
      <c r="E82" s="64">
        <f t="shared" si="10"/>
        <v>1501</v>
      </c>
      <c r="F82" s="83">
        <f t="shared" si="5"/>
        <v>46235.938800000004</v>
      </c>
      <c r="G82" s="85">
        <f t="shared" si="6"/>
        <v>46210.439100000003</v>
      </c>
      <c r="H82" s="85">
        <f t="shared" si="7"/>
        <v>25.499700000000001</v>
      </c>
      <c r="I82" s="86">
        <f t="shared" si="8"/>
        <v>3.2355450524842548</v>
      </c>
      <c r="J82" s="87">
        <f t="shared" si="9"/>
        <v>27.277777777777771</v>
      </c>
      <c r="K82" s="67"/>
      <c r="L82" s="274"/>
      <c r="M82" s="74"/>
      <c r="N82" s="97"/>
      <c r="O82" s="97"/>
    </row>
    <row r="84" spans="1:40" ht="15.75">
      <c r="A84" s="41"/>
      <c r="B84" s="41"/>
      <c r="C84" s="42"/>
      <c r="D84" s="42"/>
      <c r="E84" s="42" t="s">
        <v>141</v>
      </c>
      <c r="F84" s="42"/>
      <c r="G84" s="42"/>
      <c r="H84" s="42"/>
      <c r="I84" s="42"/>
      <c r="J84" s="42"/>
      <c r="K84" s="42"/>
      <c r="L84" s="43"/>
      <c r="M84" s="272" t="s">
        <v>390</v>
      </c>
      <c r="P84" s="41"/>
      <c r="Q84" s="41"/>
      <c r="R84" s="42"/>
      <c r="S84" s="42"/>
      <c r="T84" s="42" t="s">
        <v>142</v>
      </c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3"/>
    </row>
    <row r="85" spans="1:40" ht="15.75">
      <c r="A85" s="44"/>
      <c r="B85" s="45"/>
      <c r="C85" s="46"/>
      <c r="D85" s="46"/>
      <c r="E85" s="46"/>
      <c r="F85" s="46"/>
      <c r="G85" s="46"/>
      <c r="H85" s="46"/>
      <c r="I85" s="46"/>
      <c r="J85" s="46"/>
      <c r="K85" s="275" t="s">
        <v>391</v>
      </c>
      <c r="L85" s="47"/>
      <c r="M85" s="272" t="s">
        <v>392</v>
      </c>
      <c r="P85" s="44"/>
      <c r="Q85" s="45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7"/>
    </row>
    <row r="86" spans="1:40">
      <c r="A86" s="44"/>
      <c r="B86" s="44" t="s">
        <v>143</v>
      </c>
      <c r="C86" s="120"/>
      <c r="D86" s="41" t="s">
        <v>369</v>
      </c>
      <c r="E86" s="120"/>
      <c r="G86" s="51" t="s">
        <v>361</v>
      </c>
      <c r="H86" s="88"/>
      <c r="K86" s="43"/>
      <c r="L86" s="259" t="s">
        <v>370</v>
      </c>
      <c r="P86" s="44"/>
      <c r="Q86" s="44"/>
      <c r="S86" t="s">
        <v>145</v>
      </c>
      <c r="W86" s="44"/>
      <c r="X86" t="s">
        <v>146</v>
      </c>
      <c r="AC86" s="44"/>
      <c r="AD86" t="s">
        <v>147</v>
      </c>
      <c r="AI86" s="44"/>
      <c r="AJ86" t="s">
        <v>148</v>
      </c>
      <c r="AN86" s="48"/>
    </row>
    <row r="87" spans="1:40">
      <c r="A87" s="44" t="s">
        <v>78</v>
      </c>
      <c r="B87" s="51" t="s">
        <v>5</v>
      </c>
      <c r="C87" s="49" t="s">
        <v>84</v>
      </c>
      <c r="D87" s="51" t="s">
        <v>4</v>
      </c>
      <c r="E87" s="252" t="s">
        <v>6</v>
      </c>
      <c r="F87" s="49" t="s">
        <v>7</v>
      </c>
      <c r="G87" s="51" t="s">
        <v>371</v>
      </c>
      <c r="H87" s="89" t="s">
        <v>150</v>
      </c>
      <c r="I87" s="90" t="s">
        <v>151</v>
      </c>
      <c r="J87" s="90" t="s">
        <v>152</v>
      </c>
      <c r="K87" s="91" t="s">
        <v>153</v>
      </c>
      <c r="L87" s="91" t="s">
        <v>371</v>
      </c>
      <c r="M87" s="90" t="s">
        <v>393</v>
      </c>
      <c r="N87" s="90" t="s">
        <v>394</v>
      </c>
      <c r="P87" s="44" t="s">
        <v>3</v>
      </c>
      <c r="Q87" s="44"/>
      <c r="R87" t="s">
        <v>154</v>
      </c>
      <c r="T87" s="44"/>
      <c r="U87" t="s">
        <v>155</v>
      </c>
      <c r="W87" s="44"/>
      <c r="X87" t="s">
        <v>154</v>
      </c>
      <c r="Z87" s="44"/>
      <c r="AA87" t="s">
        <v>155</v>
      </c>
      <c r="AC87" s="44"/>
      <c r="AD87" t="s">
        <v>154</v>
      </c>
      <c r="AF87" s="44"/>
      <c r="AG87" t="s">
        <v>155</v>
      </c>
      <c r="AI87" s="44"/>
      <c r="AJ87" t="s">
        <v>154</v>
      </c>
      <c r="AL87" s="44"/>
      <c r="AM87" t="s">
        <v>155</v>
      </c>
      <c r="AN87" s="48"/>
    </row>
    <row r="88" spans="1:40">
      <c r="A88" s="45"/>
      <c r="B88" s="52" t="s">
        <v>156</v>
      </c>
      <c r="C88" s="53" t="s">
        <v>156</v>
      </c>
      <c r="D88" s="52" t="s">
        <v>156</v>
      </c>
      <c r="E88" s="53" t="s">
        <v>156</v>
      </c>
      <c r="F88" s="53" t="s">
        <v>156</v>
      </c>
      <c r="G88" s="52" t="s">
        <v>157</v>
      </c>
      <c r="H88" s="92"/>
      <c r="I88" s="53" t="s">
        <v>11</v>
      </c>
      <c r="J88" s="53" t="s">
        <v>11</v>
      </c>
      <c r="K88" s="54" t="s">
        <v>11</v>
      </c>
      <c r="L88" s="260" t="s">
        <v>22</v>
      </c>
      <c r="M88" s="90" t="s">
        <v>22</v>
      </c>
      <c r="N88" s="90" t="s">
        <v>395</v>
      </c>
      <c r="P88" s="45"/>
      <c r="Q88" s="52" t="s">
        <v>86</v>
      </c>
      <c r="R88" s="53" t="s">
        <v>77</v>
      </c>
      <c r="S88" s="53" t="s">
        <v>78</v>
      </c>
      <c r="T88" s="52" t="s">
        <v>86</v>
      </c>
      <c r="U88" s="53" t="s">
        <v>77</v>
      </c>
      <c r="V88" s="53" t="s">
        <v>78</v>
      </c>
      <c r="W88" s="52" t="s">
        <v>29</v>
      </c>
      <c r="X88" s="53" t="s">
        <v>77</v>
      </c>
      <c r="Y88" s="53" t="s">
        <v>78</v>
      </c>
      <c r="Z88" s="52" t="s">
        <v>29</v>
      </c>
      <c r="AA88" s="53" t="s">
        <v>77</v>
      </c>
      <c r="AB88" s="53" t="s">
        <v>78</v>
      </c>
      <c r="AC88" s="52" t="s">
        <v>30</v>
      </c>
      <c r="AD88" s="53" t="s">
        <v>77</v>
      </c>
      <c r="AE88" s="53" t="s">
        <v>78</v>
      </c>
      <c r="AF88" s="52" t="s">
        <v>30</v>
      </c>
      <c r="AG88" s="53" t="s">
        <v>77</v>
      </c>
      <c r="AH88" s="53" t="s">
        <v>78</v>
      </c>
      <c r="AI88" s="52" t="s">
        <v>158</v>
      </c>
      <c r="AJ88" s="53" t="s">
        <v>77</v>
      </c>
      <c r="AK88" s="53" t="s">
        <v>78</v>
      </c>
      <c r="AL88" s="52" t="s">
        <v>158</v>
      </c>
      <c r="AM88" s="53" t="s">
        <v>77</v>
      </c>
      <c r="AN88" s="54" t="s">
        <v>78</v>
      </c>
    </row>
    <row r="89" spans="1:40" ht="15.75">
      <c r="A89" s="44" t="s">
        <v>159</v>
      </c>
      <c r="B89" s="74">
        <f>B173-C89</f>
        <v>1894</v>
      </c>
      <c r="C89" s="97">
        <f>C173</f>
        <v>237</v>
      </c>
      <c r="D89" s="75">
        <f>D173*0.2931</f>
        <v>7544.9802000000009</v>
      </c>
      <c r="E89" s="266">
        <f>D89-F89</f>
        <v>5886.9135000000006</v>
      </c>
      <c r="F89" s="76">
        <f>F173*0.2931</f>
        <v>1658.0667000000001</v>
      </c>
      <c r="G89" s="93">
        <f t="shared" ref="G89:H104" si="12">G173</f>
        <v>9.4000000000000004E-3</v>
      </c>
      <c r="H89" s="94">
        <f t="shared" si="12"/>
        <v>3.5405819802909435</v>
      </c>
      <c r="I89" s="276">
        <f t="shared" ref="I89:J104" si="13">(I173-32)/180*100</f>
        <v>17.777777777777779</v>
      </c>
      <c r="J89" s="276">
        <f t="shared" si="13"/>
        <v>23.833333333333336</v>
      </c>
      <c r="K89" s="276">
        <v>17.34</v>
      </c>
      <c r="L89" s="277">
        <f>L173</f>
        <v>1.14E-2</v>
      </c>
      <c r="M89" s="642">
        <f>M173</f>
        <v>9.7000000000000003E-3</v>
      </c>
      <c r="N89" s="432">
        <f>N173*(14.696/29.921)*(6894.8/1)</f>
        <v>101254.86534273588</v>
      </c>
      <c r="P89" s="44" t="s">
        <v>91</v>
      </c>
      <c r="Q89" s="77">
        <f t="shared" ref="Q89:AN99" si="14">Q173</f>
        <v>3.8570000000000002</v>
      </c>
      <c r="R89" s="80">
        <f t="shared" si="14"/>
        <v>37376</v>
      </c>
      <c r="S89" s="76">
        <f t="shared" si="14"/>
        <v>16</v>
      </c>
      <c r="T89" s="77">
        <f t="shared" si="14"/>
        <v>2.8010000000000002</v>
      </c>
      <c r="U89" s="80">
        <f t="shared" si="14"/>
        <v>37956</v>
      </c>
      <c r="V89" s="76">
        <f t="shared" si="14"/>
        <v>12</v>
      </c>
      <c r="W89" s="62">
        <f t="shared" si="14"/>
        <v>25.11</v>
      </c>
      <c r="X89" s="80">
        <f t="shared" si="14"/>
        <v>37368</v>
      </c>
      <c r="Y89" s="76">
        <f t="shared" si="14"/>
        <v>15</v>
      </c>
      <c r="Z89" s="62">
        <f t="shared" si="14"/>
        <v>8.83</v>
      </c>
      <c r="AA89" s="80">
        <f t="shared" si="14"/>
        <v>36897</v>
      </c>
      <c r="AB89" s="76">
        <f t="shared" si="14"/>
        <v>6</v>
      </c>
      <c r="AC89" s="93">
        <f t="shared" si="14"/>
        <v>1.37E-2</v>
      </c>
      <c r="AD89" s="80">
        <f t="shared" si="14"/>
        <v>37941</v>
      </c>
      <c r="AE89" s="76">
        <f t="shared" si="14"/>
        <v>16</v>
      </c>
      <c r="AF89" s="93">
        <f t="shared" si="14"/>
        <v>1.6999999999999999E-3</v>
      </c>
      <c r="AG89" s="80">
        <f t="shared" si="14"/>
        <v>36895</v>
      </c>
      <c r="AH89" s="76">
        <f t="shared" si="14"/>
        <v>24</v>
      </c>
      <c r="AI89" s="62">
        <f t="shared" si="14"/>
        <v>68.849999999999994</v>
      </c>
      <c r="AJ89" s="80">
        <f t="shared" si="14"/>
        <v>37941</v>
      </c>
      <c r="AK89" s="76">
        <f t="shared" si="14"/>
        <v>16</v>
      </c>
      <c r="AL89" s="62">
        <f t="shared" si="14"/>
        <v>11.97</v>
      </c>
      <c r="AM89" s="80">
        <f t="shared" si="14"/>
        <v>37566</v>
      </c>
      <c r="AN89" s="76">
        <f t="shared" si="14"/>
        <v>4</v>
      </c>
    </row>
    <row r="90" spans="1:40" ht="15.75">
      <c r="A90" s="44" t="s">
        <v>166</v>
      </c>
      <c r="B90" s="74">
        <f t="shared" ref="B90:B112" si="15">B174-C90</f>
        <v>1941</v>
      </c>
      <c r="C90" s="97">
        <f t="shared" ref="C90:C112" si="16">C174</f>
        <v>241</v>
      </c>
      <c r="D90" s="75">
        <f t="shared" ref="D90:D112" si="17">D174*0.2931</f>
        <v>7627.0482000000011</v>
      </c>
      <c r="E90" s="266">
        <f t="shared" ref="E90:E112" si="18">D90-F90</f>
        <v>6067.170000000001</v>
      </c>
      <c r="F90" s="76">
        <f t="shared" ref="F90:F112" si="19">F174*0.2931</f>
        <v>1559.8782000000001</v>
      </c>
      <c r="G90" s="93">
        <f t="shared" si="12"/>
        <v>9.2999999999999992E-3</v>
      </c>
      <c r="H90" s="94">
        <f t="shared" si="12"/>
        <v>3.4954391384051333</v>
      </c>
      <c r="I90" s="276">
        <f t="shared" si="13"/>
        <v>18.333333333333332</v>
      </c>
      <c r="J90" s="276">
        <f t="shared" si="13"/>
        <v>23.944444444444439</v>
      </c>
      <c r="K90" s="276">
        <v>17.29</v>
      </c>
      <c r="L90" s="279">
        <f>L174</f>
        <v>1.12E-2</v>
      </c>
      <c r="M90" s="642">
        <f t="shared" ref="M90:M112" si="20">M174</f>
        <v>9.5999999999999992E-3</v>
      </c>
      <c r="N90" s="432">
        <f t="shared" ref="N90:N112" si="21">N174*(14.696/29.921)*(6894.8/1)</f>
        <v>101254.86534273588</v>
      </c>
      <c r="P90" s="44" t="s">
        <v>96</v>
      </c>
      <c r="Q90" s="77">
        <f t="shared" si="14"/>
        <v>4.1280000000000001</v>
      </c>
      <c r="R90" s="80">
        <f t="shared" si="14"/>
        <v>37376</v>
      </c>
      <c r="S90" s="76">
        <f t="shared" si="14"/>
        <v>16</v>
      </c>
      <c r="T90" s="77">
        <f t="shared" si="14"/>
        <v>2.851</v>
      </c>
      <c r="U90" s="80">
        <f t="shared" si="14"/>
        <v>37591</v>
      </c>
      <c r="V90" s="76">
        <f t="shared" si="14"/>
        <v>12</v>
      </c>
      <c r="W90" s="62">
        <f t="shared" si="14"/>
        <v>26.72</v>
      </c>
      <c r="X90" s="80">
        <f t="shared" si="14"/>
        <v>37457</v>
      </c>
      <c r="Y90" s="76">
        <f t="shared" si="14"/>
        <v>16</v>
      </c>
      <c r="Z90" s="62">
        <f t="shared" si="14"/>
        <v>8.83</v>
      </c>
      <c r="AA90" s="80">
        <f t="shared" si="14"/>
        <v>36897</v>
      </c>
      <c r="AB90" s="76">
        <f t="shared" si="14"/>
        <v>6</v>
      </c>
      <c r="AC90" s="93">
        <f t="shared" si="14"/>
        <v>1.89E-2</v>
      </c>
      <c r="AD90" s="80">
        <f t="shared" si="14"/>
        <v>37544</v>
      </c>
      <c r="AE90" s="76">
        <f t="shared" si="14"/>
        <v>9</v>
      </c>
      <c r="AF90" s="93">
        <f t="shared" si="14"/>
        <v>1.6999999999999999E-3</v>
      </c>
      <c r="AG90" s="80">
        <f t="shared" si="14"/>
        <v>36895</v>
      </c>
      <c r="AH90" s="76">
        <f t="shared" si="14"/>
        <v>24</v>
      </c>
      <c r="AI90" s="62">
        <f t="shared" si="14"/>
        <v>100.7</v>
      </c>
      <c r="AJ90" s="80">
        <f t="shared" si="14"/>
        <v>37544</v>
      </c>
      <c r="AK90" s="76">
        <f t="shared" si="14"/>
        <v>9</v>
      </c>
      <c r="AL90" s="62">
        <f t="shared" si="14"/>
        <v>11.97</v>
      </c>
      <c r="AM90" s="80">
        <f t="shared" si="14"/>
        <v>37566</v>
      </c>
      <c r="AN90" s="76">
        <f t="shared" si="14"/>
        <v>4</v>
      </c>
    </row>
    <row r="91" spans="1:40" ht="15.75">
      <c r="A91" s="44" t="s">
        <v>169</v>
      </c>
      <c r="B91" s="74">
        <f t="shared" si="15"/>
        <v>1894</v>
      </c>
      <c r="C91" s="97">
        <f t="shared" si="16"/>
        <v>237</v>
      </c>
      <c r="D91" s="75">
        <f t="shared" si="17"/>
        <v>7546.1526000000003</v>
      </c>
      <c r="E91" s="266">
        <f t="shared" si="18"/>
        <v>5878.1205</v>
      </c>
      <c r="F91" s="76">
        <f t="shared" si="19"/>
        <v>1668.0321000000001</v>
      </c>
      <c r="G91" s="93">
        <f t="shared" si="12"/>
        <v>9.4000000000000004E-3</v>
      </c>
      <c r="H91" s="94">
        <f t="shared" si="12"/>
        <v>3.541132144533083</v>
      </c>
      <c r="I91" s="276">
        <f t="shared" si="13"/>
        <v>17.777777777777779</v>
      </c>
      <c r="J91" s="276">
        <f t="shared" si="13"/>
        <v>23.833333333333336</v>
      </c>
      <c r="K91" s="276">
        <v>17.37</v>
      </c>
      <c r="L91" s="279">
        <f t="shared" ref="L91:L112" si="22">L175</f>
        <v>1.14E-2</v>
      </c>
      <c r="M91" s="642">
        <f t="shared" si="20"/>
        <v>9.7000000000000003E-3</v>
      </c>
      <c r="N91" s="432">
        <f t="shared" si="21"/>
        <v>101593.51037732697</v>
      </c>
      <c r="P91" s="44" t="s">
        <v>98</v>
      </c>
      <c r="Q91" s="77">
        <f t="shared" si="14"/>
        <v>4.9669999999999996</v>
      </c>
      <c r="R91" s="80">
        <f t="shared" si="14"/>
        <v>37531</v>
      </c>
      <c r="S91" s="76">
        <f t="shared" si="14"/>
        <v>9</v>
      </c>
      <c r="T91" s="77">
        <f t="shared" si="14"/>
        <v>2.8050000000000002</v>
      </c>
      <c r="U91" s="80">
        <f t="shared" si="14"/>
        <v>37956</v>
      </c>
      <c r="V91" s="76">
        <f t="shared" si="14"/>
        <v>15</v>
      </c>
      <c r="W91" s="62">
        <f t="shared" si="14"/>
        <v>31.5</v>
      </c>
      <c r="X91" s="80">
        <f t="shared" si="14"/>
        <v>37810</v>
      </c>
      <c r="Y91" s="76">
        <f t="shared" si="14"/>
        <v>16</v>
      </c>
      <c r="Z91" s="62">
        <f t="shared" si="14"/>
        <v>10.78</v>
      </c>
      <c r="AA91" s="80">
        <f t="shared" si="14"/>
        <v>36897</v>
      </c>
      <c r="AB91" s="76">
        <f t="shared" si="14"/>
        <v>7</v>
      </c>
      <c r="AC91" s="93">
        <f t="shared" si="14"/>
        <v>1.7600000000000001E-2</v>
      </c>
      <c r="AD91" s="80">
        <f t="shared" si="14"/>
        <v>37447</v>
      </c>
      <c r="AE91" s="76">
        <f t="shared" si="14"/>
        <v>12</v>
      </c>
      <c r="AF91" s="93">
        <f t="shared" si="14"/>
        <v>1.6999999999999999E-3</v>
      </c>
      <c r="AG91" s="80">
        <f t="shared" si="14"/>
        <v>36895</v>
      </c>
      <c r="AH91" s="76">
        <f t="shared" si="14"/>
        <v>24</v>
      </c>
      <c r="AI91" s="62">
        <f t="shared" si="14"/>
        <v>83.67</v>
      </c>
      <c r="AJ91" s="80">
        <f t="shared" si="14"/>
        <v>37733</v>
      </c>
      <c r="AK91" s="76">
        <f t="shared" si="14"/>
        <v>18</v>
      </c>
      <c r="AL91" s="62">
        <f t="shared" si="14"/>
        <v>11.97</v>
      </c>
      <c r="AM91" s="80">
        <f t="shared" si="14"/>
        <v>37566</v>
      </c>
      <c r="AN91" s="76">
        <f t="shared" si="14"/>
        <v>4</v>
      </c>
    </row>
    <row r="92" spans="1:40" ht="15.75">
      <c r="A92" s="44" t="s">
        <v>171</v>
      </c>
      <c r="B92" s="74">
        <f t="shared" si="15"/>
        <v>1890</v>
      </c>
      <c r="C92" s="97">
        <f t="shared" si="16"/>
        <v>236</v>
      </c>
      <c r="D92" s="75">
        <f t="shared" si="17"/>
        <v>7528.2735000000011</v>
      </c>
      <c r="E92" s="266">
        <f t="shared" si="18"/>
        <v>5873.4309000000012</v>
      </c>
      <c r="F92" s="76">
        <f t="shared" si="19"/>
        <v>1654.8426000000002</v>
      </c>
      <c r="G92" s="93">
        <f t="shared" si="12"/>
        <v>9.4000000000000004E-3</v>
      </c>
      <c r="H92" s="94">
        <f t="shared" si="12"/>
        <v>3.5410505644402641</v>
      </c>
      <c r="I92" s="276">
        <f t="shared" si="13"/>
        <v>17.777777777777779</v>
      </c>
      <c r="J92" s="276">
        <f t="shared" si="13"/>
        <v>23.833333333333336</v>
      </c>
      <c r="K92" s="276">
        <v>17.37</v>
      </c>
      <c r="L92" s="279">
        <f t="shared" si="22"/>
        <v>1.14E-2</v>
      </c>
      <c r="M92" s="642">
        <f t="shared" si="20"/>
        <v>9.7000000000000003E-3</v>
      </c>
      <c r="N92" s="432">
        <f t="shared" si="21"/>
        <v>101593.51037732697</v>
      </c>
      <c r="P92" s="44" t="s">
        <v>102</v>
      </c>
      <c r="Q92" s="77">
        <f t="shared" si="14"/>
        <v>5.5949999999999998</v>
      </c>
      <c r="R92" s="80">
        <f t="shared" si="14"/>
        <v>37531</v>
      </c>
      <c r="S92" s="76">
        <f t="shared" si="14"/>
        <v>9</v>
      </c>
      <c r="T92" s="77">
        <f t="shared" si="14"/>
        <v>2.8010000000000002</v>
      </c>
      <c r="U92" s="80">
        <f t="shared" si="14"/>
        <v>37956</v>
      </c>
      <c r="V92" s="76">
        <f t="shared" si="14"/>
        <v>12</v>
      </c>
      <c r="W92" s="62">
        <f t="shared" si="14"/>
        <v>32</v>
      </c>
      <c r="X92" s="80">
        <f t="shared" si="14"/>
        <v>37822</v>
      </c>
      <c r="Y92" s="76">
        <f t="shared" si="14"/>
        <v>16</v>
      </c>
      <c r="Z92" s="62">
        <f t="shared" si="14"/>
        <v>8.83</v>
      </c>
      <c r="AA92" s="80">
        <f t="shared" si="14"/>
        <v>36897</v>
      </c>
      <c r="AB92" s="76">
        <f t="shared" si="14"/>
        <v>6</v>
      </c>
      <c r="AC92" s="93">
        <f t="shared" si="14"/>
        <v>1.77E-2</v>
      </c>
      <c r="AD92" s="80">
        <f t="shared" si="14"/>
        <v>37447</v>
      </c>
      <c r="AE92" s="76">
        <f t="shared" si="14"/>
        <v>13</v>
      </c>
      <c r="AF92" s="93">
        <f t="shared" si="14"/>
        <v>1.6999999999999999E-3</v>
      </c>
      <c r="AG92" s="80">
        <f t="shared" si="14"/>
        <v>36895</v>
      </c>
      <c r="AH92" s="76">
        <f t="shared" si="14"/>
        <v>24</v>
      </c>
      <c r="AI92" s="62">
        <f t="shared" si="14"/>
        <v>77.94</v>
      </c>
      <c r="AJ92" s="80">
        <f t="shared" si="14"/>
        <v>37882</v>
      </c>
      <c r="AK92" s="76">
        <f t="shared" si="14"/>
        <v>9</v>
      </c>
      <c r="AL92" s="62">
        <f t="shared" si="14"/>
        <v>11.97</v>
      </c>
      <c r="AM92" s="80">
        <f t="shared" si="14"/>
        <v>37566</v>
      </c>
      <c r="AN92" s="76">
        <f t="shared" si="14"/>
        <v>4</v>
      </c>
    </row>
    <row r="93" spans="1:40" ht="15.75">
      <c r="A93" s="44" t="s">
        <v>173</v>
      </c>
      <c r="B93" s="74">
        <f t="shared" si="15"/>
        <v>1694</v>
      </c>
      <c r="C93" s="97">
        <f t="shared" si="16"/>
        <v>215</v>
      </c>
      <c r="D93" s="75">
        <f t="shared" si="17"/>
        <v>6753.0240000000003</v>
      </c>
      <c r="E93" s="266">
        <f t="shared" si="18"/>
        <v>5671.7781000000004</v>
      </c>
      <c r="F93" s="76">
        <f t="shared" si="19"/>
        <v>1081.2459000000001</v>
      </c>
      <c r="G93" s="93">
        <f t="shared" si="12"/>
        <v>8.9999999999999993E-3</v>
      </c>
      <c r="H93" s="94">
        <f t="shared" si="12"/>
        <v>3.5374667365112624</v>
      </c>
      <c r="I93" s="276">
        <f t="shared" si="13"/>
        <v>17.222222222222221</v>
      </c>
      <c r="J93" s="276">
        <f t="shared" si="13"/>
        <v>23.777777777777775</v>
      </c>
      <c r="K93" s="276">
        <v>16.940000000000001</v>
      </c>
      <c r="L93" s="279">
        <f t="shared" si="22"/>
        <v>1.03E-2</v>
      </c>
      <c r="M93" s="642">
        <f t="shared" si="20"/>
        <v>9.1999999999999998E-3</v>
      </c>
      <c r="N93" s="432">
        <f t="shared" si="21"/>
        <v>101593.51037732697</v>
      </c>
      <c r="P93" s="44" t="s">
        <v>356</v>
      </c>
      <c r="Q93" s="77">
        <f t="shared" si="14"/>
        <v>5.3390000000000004</v>
      </c>
      <c r="R93" s="80">
        <f t="shared" si="14"/>
        <v>37531</v>
      </c>
      <c r="S93" s="76">
        <f t="shared" si="14"/>
        <v>9</v>
      </c>
      <c r="T93" s="77">
        <f t="shared" si="14"/>
        <v>2.8010000000000002</v>
      </c>
      <c r="U93" s="80">
        <f t="shared" si="14"/>
        <v>37956</v>
      </c>
      <c r="V93" s="76">
        <f t="shared" si="14"/>
        <v>12</v>
      </c>
      <c r="W93" s="62">
        <f t="shared" si="14"/>
        <v>31.56</v>
      </c>
      <c r="X93" s="80">
        <f t="shared" si="14"/>
        <v>37810</v>
      </c>
      <c r="Y93" s="76">
        <f t="shared" si="14"/>
        <v>16</v>
      </c>
      <c r="Z93" s="62">
        <f t="shared" si="14"/>
        <v>8.83</v>
      </c>
      <c r="AA93" s="80">
        <f t="shared" si="14"/>
        <v>36897</v>
      </c>
      <c r="AB93" s="76">
        <f t="shared" si="14"/>
        <v>6</v>
      </c>
      <c r="AC93" s="93">
        <f t="shared" si="14"/>
        <v>1.7399999999999999E-2</v>
      </c>
      <c r="AD93" s="80">
        <f t="shared" si="14"/>
        <v>37447</v>
      </c>
      <c r="AE93" s="76">
        <f t="shared" si="14"/>
        <v>12</v>
      </c>
      <c r="AF93" s="93">
        <f t="shared" si="14"/>
        <v>1.6999999999999999E-3</v>
      </c>
      <c r="AG93" s="80">
        <f t="shared" si="14"/>
        <v>36895</v>
      </c>
      <c r="AH93" s="76">
        <f t="shared" si="14"/>
        <v>24</v>
      </c>
      <c r="AI93" s="62">
        <f t="shared" si="14"/>
        <v>81.260000000000005</v>
      </c>
      <c r="AJ93" s="80">
        <f t="shared" si="14"/>
        <v>37733</v>
      </c>
      <c r="AK93" s="76">
        <f t="shared" si="14"/>
        <v>18</v>
      </c>
      <c r="AL93" s="62">
        <f t="shared" si="14"/>
        <v>11.97</v>
      </c>
      <c r="AM93" s="80">
        <f t="shared" si="14"/>
        <v>37566</v>
      </c>
      <c r="AN93" s="76">
        <f t="shared" si="14"/>
        <v>4</v>
      </c>
    </row>
    <row r="94" spans="1:40" ht="15.75">
      <c r="A94" s="44" t="s">
        <v>174</v>
      </c>
      <c r="B94" s="74">
        <f t="shared" si="15"/>
        <v>2133</v>
      </c>
      <c r="C94" s="97">
        <f t="shared" si="16"/>
        <v>259</v>
      </c>
      <c r="D94" s="75">
        <f t="shared" si="17"/>
        <v>8185.1106000000009</v>
      </c>
      <c r="E94" s="266">
        <f t="shared" si="18"/>
        <v>6438.5277000000006</v>
      </c>
      <c r="F94" s="76">
        <f t="shared" si="19"/>
        <v>1746.5829000000001</v>
      </c>
      <c r="G94" s="93">
        <f t="shared" si="12"/>
        <v>9.1999999999999998E-3</v>
      </c>
      <c r="H94" s="94">
        <f t="shared" si="12"/>
        <v>3.4218689799331106</v>
      </c>
      <c r="I94" s="276">
        <f t="shared" si="13"/>
        <v>19.444444444444446</v>
      </c>
      <c r="J94" s="276">
        <f t="shared" si="13"/>
        <v>24.111111111111114</v>
      </c>
      <c r="K94" s="276">
        <v>17.3</v>
      </c>
      <c r="L94" s="279">
        <f t="shared" si="22"/>
        <v>1.1299999999999999E-2</v>
      </c>
      <c r="M94" s="642">
        <f t="shared" si="20"/>
        <v>9.4999999999999998E-3</v>
      </c>
      <c r="N94" s="432">
        <f t="shared" si="21"/>
        <v>101593.51037732697</v>
      </c>
      <c r="P94" s="44" t="s">
        <v>105</v>
      </c>
      <c r="Q94" s="77">
        <f t="shared" si="14"/>
        <v>3.863</v>
      </c>
      <c r="R94" s="80">
        <f t="shared" si="14"/>
        <v>38265</v>
      </c>
      <c r="S94" s="76">
        <f t="shared" si="14"/>
        <v>3</v>
      </c>
      <c r="T94" s="77">
        <f t="shared" si="14"/>
        <v>2.8010000000000002</v>
      </c>
      <c r="U94" s="80">
        <f t="shared" si="14"/>
        <v>37956</v>
      </c>
      <c r="V94" s="76">
        <f t="shared" si="14"/>
        <v>12</v>
      </c>
      <c r="W94" s="62">
        <f t="shared" si="14"/>
        <v>34.94</v>
      </c>
      <c r="X94" s="80">
        <f t="shared" si="14"/>
        <v>38162</v>
      </c>
      <c r="Y94" s="76">
        <f t="shared" si="14"/>
        <v>24</v>
      </c>
      <c r="Z94" s="62">
        <f t="shared" si="14"/>
        <v>8.83</v>
      </c>
      <c r="AA94" s="80">
        <f t="shared" si="14"/>
        <v>36897</v>
      </c>
      <c r="AB94" s="76">
        <f t="shared" si="14"/>
        <v>6</v>
      </c>
      <c r="AC94" s="93">
        <f t="shared" si="14"/>
        <v>1.9900000000000001E-2</v>
      </c>
      <c r="AD94" s="80">
        <f t="shared" si="14"/>
        <v>37470</v>
      </c>
      <c r="AE94" s="76">
        <f t="shared" si="14"/>
        <v>22</v>
      </c>
      <c r="AF94" s="93">
        <f t="shared" si="14"/>
        <v>1.6999999999999999E-3</v>
      </c>
      <c r="AG94" s="80">
        <f t="shared" si="14"/>
        <v>36895</v>
      </c>
      <c r="AH94" s="76">
        <f t="shared" si="14"/>
        <v>24</v>
      </c>
      <c r="AI94" s="62">
        <f t="shared" si="14"/>
        <v>81.12</v>
      </c>
      <c r="AJ94" s="80">
        <f t="shared" si="14"/>
        <v>37840</v>
      </c>
      <c r="AK94" s="76">
        <f t="shared" si="14"/>
        <v>21</v>
      </c>
      <c r="AL94" s="62">
        <f t="shared" si="14"/>
        <v>11.97</v>
      </c>
      <c r="AM94" s="80">
        <f t="shared" si="14"/>
        <v>37566</v>
      </c>
      <c r="AN94" s="76">
        <f t="shared" si="14"/>
        <v>4</v>
      </c>
    </row>
    <row r="95" spans="1:40" ht="15.75">
      <c r="A95" s="44" t="s">
        <v>176</v>
      </c>
      <c r="B95" s="74">
        <f t="shared" si="15"/>
        <v>3223</v>
      </c>
      <c r="C95" s="97">
        <f t="shared" si="16"/>
        <v>353</v>
      </c>
      <c r="D95" s="75">
        <f t="shared" si="17"/>
        <v>11232.764400000002</v>
      </c>
      <c r="E95" s="266">
        <f t="shared" si="18"/>
        <v>8347.781100000002</v>
      </c>
      <c r="F95" s="76">
        <f t="shared" si="19"/>
        <v>2884.9833000000003</v>
      </c>
      <c r="G95" s="93">
        <f t="shared" si="12"/>
        <v>9.7999999999999997E-3</v>
      </c>
      <c r="H95" s="94">
        <f t="shared" si="12"/>
        <v>3.1411533557046987</v>
      </c>
      <c r="I95" s="276">
        <f t="shared" si="13"/>
        <v>25</v>
      </c>
      <c r="J95" s="276">
        <f t="shared" si="13"/>
        <v>24.944444444444446</v>
      </c>
      <c r="K95" s="276">
        <v>18.23</v>
      </c>
      <c r="L95" s="279">
        <f t="shared" si="22"/>
        <v>1.3299999999999999E-2</v>
      </c>
      <c r="M95" s="642">
        <f t="shared" si="20"/>
        <v>1.03E-2</v>
      </c>
      <c r="N95" s="432">
        <f t="shared" si="21"/>
        <v>101593.51037732697</v>
      </c>
      <c r="P95" s="44" t="s">
        <v>108</v>
      </c>
      <c r="Q95" s="77">
        <f t="shared" si="14"/>
        <v>4.4269999999999996</v>
      </c>
      <c r="R95" s="80">
        <f t="shared" si="14"/>
        <v>37533</v>
      </c>
      <c r="S95" s="76">
        <f t="shared" si="14"/>
        <v>24</v>
      </c>
      <c r="T95" s="77">
        <f t="shared" si="14"/>
        <v>2.8010000000000002</v>
      </c>
      <c r="U95" s="80">
        <f t="shared" si="14"/>
        <v>37956</v>
      </c>
      <c r="V95" s="76">
        <f t="shared" si="14"/>
        <v>12</v>
      </c>
      <c r="W95" s="62">
        <f t="shared" si="14"/>
        <v>32.56</v>
      </c>
      <c r="X95" s="80">
        <f t="shared" si="14"/>
        <v>38188</v>
      </c>
      <c r="Y95" s="76">
        <f t="shared" si="14"/>
        <v>16</v>
      </c>
      <c r="Z95" s="62">
        <f t="shared" si="14"/>
        <v>8.83</v>
      </c>
      <c r="AA95" s="80">
        <f t="shared" si="14"/>
        <v>36897</v>
      </c>
      <c r="AB95" s="76">
        <f t="shared" si="14"/>
        <v>6</v>
      </c>
      <c r="AC95" s="93">
        <f t="shared" si="14"/>
        <v>1.37E-2</v>
      </c>
      <c r="AD95" s="80">
        <f t="shared" si="14"/>
        <v>37941</v>
      </c>
      <c r="AE95" s="76">
        <f t="shared" si="14"/>
        <v>16</v>
      </c>
      <c r="AF95" s="93">
        <f t="shared" si="14"/>
        <v>1.6999999999999999E-3</v>
      </c>
      <c r="AG95" s="80">
        <f t="shared" si="14"/>
        <v>36895</v>
      </c>
      <c r="AH95" s="76">
        <f t="shared" si="14"/>
        <v>24</v>
      </c>
      <c r="AI95" s="62">
        <f t="shared" si="14"/>
        <v>68.849999999999994</v>
      </c>
      <c r="AJ95" s="80">
        <f t="shared" si="14"/>
        <v>37941</v>
      </c>
      <c r="AK95" s="76">
        <f t="shared" si="14"/>
        <v>16</v>
      </c>
      <c r="AL95" s="62">
        <f t="shared" si="14"/>
        <v>11.97</v>
      </c>
      <c r="AM95" s="80">
        <f t="shared" si="14"/>
        <v>37566</v>
      </c>
      <c r="AN95" s="76">
        <f t="shared" si="14"/>
        <v>4</v>
      </c>
    </row>
    <row r="96" spans="1:40" ht="15.75">
      <c r="A96" s="44" t="s">
        <v>178</v>
      </c>
      <c r="B96" s="74">
        <f t="shared" si="15"/>
        <v>3145</v>
      </c>
      <c r="C96" s="97">
        <f t="shared" si="16"/>
        <v>335</v>
      </c>
      <c r="D96" s="75">
        <f t="shared" si="17"/>
        <v>10271.6895</v>
      </c>
      <c r="E96" s="266">
        <f t="shared" si="18"/>
        <v>9069.1002000000008</v>
      </c>
      <c r="F96" s="76">
        <f t="shared" si="19"/>
        <v>1202.5893000000001</v>
      </c>
      <c r="G96" s="93">
        <f t="shared" si="12"/>
        <v>9.4000000000000004E-3</v>
      </c>
      <c r="H96" s="94">
        <f t="shared" si="12"/>
        <v>2.9516349137931037</v>
      </c>
      <c r="I96" s="276">
        <f t="shared" si="13"/>
        <v>27.222222222222221</v>
      </c>
      <c r="J96" s="276">
        <f t="shared" si="13"/>
        <v>25.277777777777779</v>
      </c>
      <c r="K96" s="276">
        <v>17.78</v>
      </c>
      <c r="L96" s="279">
        <f t="shared" si="22"/>
        <v>1.09E-2</v>
      </c>
      <c r="M96" s="642">
        <f t="shared" si="20"/>
        <v>9.5999999999999992E-3</v>
      </c>
      <c r="N96" s="432">
        <f t="shared" si="21"/>
        <v>101593.51037732697</v>
      </c>
      <c r="P96" s="44" t="s">
        <v>109</v>
      </c>
      <c r="Q96" s="77">
        <f t="shared" si="14"/>
        <v>4.7759999999999998</v>
      </c>
      <c r="R96" s="80">
        <f t="shared" si="14"/>
        <v>37882</v>
      </c>
      <c r="S96" s="76">
        <f t="shared" si="14"/>
        <v>15</v>
      </c>
      <c r="T96" s="77">
        <f t="shared" si="14"/>
        <v>2.7349999999999999</v>
      </c>
      <c r="U96" s="80">
        <f t="shared" si="14"/>
        <v>37958</v>
      </c>
      <c r="V96" s="76">
        <f t="shared" si="14"/>
        <v>13</v>
      </c>
      <c r="W96" s="62">
        <f t="shared" si="14"/>
        <v>28.83</v>
      </c>
      <c r="X96" s="80">
        <f t="shared" si="14"/>
        <v>37517</v>
      </c>
      <c r="Y96" s="76">
        <f t="shared" si="14"/>
        <v>16</v>
      </c>
      <c r="Z96" s="62">
        <f t="shared" si="14"/>
        <v>8.83</v>
      </c>
      <c r="AA96" s="80">
        <f t="shared" si="14"/>
        <v>36897</v>
      </c>
      <c r="AB96" s="76">
        <f t="shared" si="14"/>
        <v>6</v>
      </c>
      <c r="AC96" s="93">
        <f t="shared" si="14"/>
        <v>1.7000000000000001E-2</v>
      </c>
      <c r="AD96" s="80">
        <f t="shared" si="14"/>
        <v>37716</v>
      </c>
      <c r="AE96" s="76">
        <f t="shared" si="14"/>
        <v>21</v>
      </c>
      <c r="AF96" s="93">
        <f t="shared" si="14"/>
        <v>1.6999999999999999E-3</v>
      </c>
      <c r="AG96" s="80">
        <f t="shared" si="14"/>
        <v>36895</v>
      </c>
      <c r="AH96" s="76">
        <f t="shared" si="14"/>
        <v>24</v>
      </c>
      <c r="AI96" s="62">
        <f t="shared" si="14"/>
        <v>85.57</v>
      </c>
      <c r="AJ96" s="80">
        <f t="shared" si="14"/>
        <v>37716</v>
      </c>
      <c r="AK96" s="76">
        <f t="shared" si="14"/>
        <v>21</v>
      </c>
      <c r="AL96" s="62">
        <f t="shared" si="14"/>
        <v>11.97</v>
      </c>
      <c r="AM96" s="80">
        <f t="shared" si="14"/>
        <v>37566</v>
      </c>
      <c r="AN96" s="76">
        <f t="shared" si="14"/>
        <v>4</v>
      </c>
    </row>
    <row r="97" spans="1:40" ht="15.75">
      <c r="A97" s="44" t="s">
        <v>180</v>
      </c>
      <c r="B97" s="74">
        <f t="shared" si="15"/>
        <v>4526</v>
      </c>
      <c r="C97" s="97">
        <f t="shared" si="16"/>
        <v>467</v>
      </c>
      <c r="D97" s="75">
        <f t="shared" si="17"/>
        <v>14844.049500000001</v>
      </c>
      <c r="E97" s="266">
        <f t="shared" si="18"/>
        <v>11875.239600000001</v>
      </c>
      <c r="F97" s="76">
        <f t="shared" si="19"/>
        <v>2968.8099000000002</v>
      </c>
      <c r="G97" s="93">
        <f t="shared" si="12"/>
        <v>9.9000000000000008E-3</v>
      </c>
      <c r="H97" s="94">
        <f t="shared" si="12"/>
        <v>2.9729720608852395</v>
      </c>
      <c r="I97" s="276">
        <f t="shared" si="13"/>
        <v>28.888888888888886</v>
      </c>
      <c r="J97" s="276">
        <f t="shared" si="13"/>
        <v>25.555555555555554</v>
      </c>
      <c r="K97" s="276">
        <v>18.28</v>
      </c>
      <c r="L97" s="279">
        <f t="shared" si="22"/>
        <v>1.17E-2</v>
      </c>
      <c r="M97" s="642">
        <f t="shared" si="20"/>
        <v>1.01E-2</v>
      </c>
      <c r="N97" s="432">
        <f t="shared" si="21"/>
        <v>101593.51037732697</v>
      </c>
      <c r="P97" s="44" t="s">
        <v>111</v>
      </c>
      <c r="Q97" s="77">
        <f t="shared" si="14"/>
        <v>3.855</v>
      </c>
      <c r="R97" s="80">
        <f t="shared" si="14"/>
        <v>37376</v>
      </c>
      <c r="S97" s="76">
        <f t="shared" si="14"/>
        <v>16</v>
      </c>
      <c r="T97" s="77">
        <f t="shared" si="14"/>
        <v>2.8010000000000002</v>
      </c>
      <c r="U97" s="80">
        <f t="shared" si="14"/>
        <v>37956</v>
      </c>
      <c r="V97" s="76">
        <f t="shared" si="14"/>
        <v>12</v>
      </c>
      <c r="W97" s="62">
        <f t="shared" si="14"/>
        <v>25.11</v>
      </c>
      <c r="X97" s="80">
        <f t="shared" si="14"/>
        <v>37368</v>
      </c>
      <c r="Y97" s="76">
        <f t="shared" si="14"/>
        <v>15</v>
      </c>
      <c r="Z97" s="62">
        <f t="shared" si="14"/>
        <v>8.83</v>
      </c>
      <c r="AA97" s="80">
        <f t="shared" si="14"/>
        <v>36897</v>
      </c>
      <c r="AB97" s="76">
        <f t="shared" si="14"/>
        <v>6</v>
      </c>
      <c r="AC97" s="93">
        <f t="shared" si="14"/>
        <v>1.6899999999999998E-2</v>
      </c>
      <c r="AD97" s="80">
        <f t="shared" si="14"/>
        <v>37348</v>
      </c>
      <c r="AE97" s="76">
        <f t="shared" si="14"/>
        <v>5</v>
      </c>
      <c r="AF97" s="93">
        <f t="shared" si="14"/>
        <v>1.6999999999999999E-3</v>
      </c>
      <c r="AG97" s="80">
        <f t="shared" si="14"/>
        <v>36895</v>
      </c>
      <c r="AH97" s="76">
        <f t="shared" si="14"/>
        <v>24</v>
      </c>
      <c r="AI97" s="62">
        <f t="shared" si="14"/>
        <v>84.79</v>
      </c>
      <c r="AJ97" s="80">
        <f t="shared" si="14"/>
        <v>37348</v>
      </c>
      <c r="AK97" s="76">
        <f t="shared" si="14"/>
        <v>5</v>
      </c>
      <c r="AL97" s="62">
        <f t="shared" si="14"/>
        <v>11.97</v>
      </c>
      <c r="AM97" s="80">
        <f t="shared" si="14"/>
        <v>37566</v>
      </c>
      <c r="AN97" s="76">
        <f t="shared" si="14"/>
        <v>4</v>
      </c>
    </row>
    <row r="98" spans="1:40" ht="15.75">
      <c r="A98" s="44" t="s">
        <v>183</v>
      </c>
      <c r="B98" s="74">
        <f t="shared" si="15"/>
        <v>4655</v>
      </c>
      <c r="C98" s="97">
        <f t="shared" si="16"/>
        <v>478</v>
      </c>
      <c r="D98" s="75">
        <f t="shared" si="17"/>
        <v>15392.732700000002</v>
      </c>
      <c r="E98" s="266">
        <f t="shared" si="18"/>
        <v>12041.134200000002</v>
      </c>
      <c r="F98" s="76">
        <f t="shared" si="19"/>
        <v>3351.5985000000005</v>
      </c>
      <c r="G98" s="93">
        <f t="shared" si="12"/>
        <v>1.0200000000000001E-2</v>
      </c>
      <c r="H98" s="94">
        <f t="shared" si="12"/>
        <v>2.9987790181180602</v>
      </c>
      <c r="I98" s="276">
        <f t="shared" si="13"/>
        <v>28.888888888888886</v>
      </c>
      <c r="J98" s="276">
        <f t="shared" si="13"/>
        <v>25.555555555555554</v>
      </c>
      <c r="K98" s="276">
        <v>18.600000000000001</v>
      </c>
      <c r="L98" s="279">
        <f t="shared" si="22"/>
        <v>1.2500000000000001E-2</v>
      </c>
      <c r="M98" s="642">
        <f t="shared" si="20"/>
        <v>1.0500000000000001E-2</v>
      </c>
      <c r="N98" s="432">
        <f t="shared" si="21"/>
        <v>101593.51037732697</v>
      </c>
      <c r="P98" s="44" t="s">
        <v>112</v>
      </c>
      <c r="Q98" s="77">
        <f t="shared" si="14"/>
        <v>3.7589999999999999</v>
      </c>
      <c r="R98" s="80">
        <f t="shared" si="14"/>
        <v>37891</v>
      </c>
      <c r="S98" s="76">
        <f t="shared" si="14"/>
        <v>15</v>
      </c>
      <c r="T98" s="77">
        <f t="shared" si="14"/>
        <v>2.8010000000000002</v>
      </c>
      <c r="U98" s="80">
        <f t="shared" si="14"/>
        <v>37956</v>
      </c>
      <c r="V98" s="76">
        <f t="shared" si="14"/>
        <v>12</v>
      </c>
      <c r="W98" s="62">
        <f t="shared" si="14"/>
        <v>25.11</v>
      </c>
      <c r="X98" s="80">
        <f t="shared" si="14"/>
        <v>37368</v>
      </c>
      <c r="Y98" s="76">
        <f t="shared" si="14"/>
        <v>15</v>
      </c>
      <c r="Z98" s="62">
        <f t="shared" si="14"/>
        <v>8.83</v>
      </c>
      <c r="AA98" s="80">
        <f t="shared" si="14"/>
        <v>36897</v>
      </c>
      <c r="AB98" s="76">
        <f t="shared" si="14"/>
        <v>6</v>
      </c>
      <c r="AC98" s="93">
        <f t="shared" si="14"/>
        <v>1.41E-2</v>
      </c>
      <c r="AD98" s="80">
        <f t="shared" si="14"/>
        <v>37363</v>
      </c>
      <c r="AE98" s="76">
        <f t="shared" si="14"/>
        <v>3</v>
      </c>
      <c r="AF98" s="93">
        <f t="shared" si="14"/>
        <v>1.6999999999999999E-3</v>
      </c>
      <c r="AG98" s="80">
        <f t="shared" si="14"/>
        <v>36895</v>
      </c>
      <c r="AH98" s="76">
        <f t="shared" si="14"/>
        <v>24</v>
      </c>
      <c r="AI98" s="62">
        <f t="shared" si="14"/>
        <v>71.53</v>
      </c>
      <c r="AJ98" s="80">
        <f t="shared" si="14"/>
        <v>37363</v>
      </c>
      <c r="AK98" s="76">
        <f t="shared" si="14"/>
        <v>3</v>
      </c>
      <c r="AL98" s="62">
        <f t="shared" si="14"/>
        <v>11.97</v>
      </c>
      <c r="AM98" s="80">
        <f t="shared" si="14"/>
        <v>37566</v>
      </c>
      <c r="AN98" s="76">
        <f t="shared" si="14"/>
        <v>4</v>
      </c>
    </row>
    <row r="99" spans="1:40" ht="15.75">
      <c r="A99" s="44" t="s">
        <v>186</v>
      </c>
      <c r="B99" s="74">
        <f t="shared" si="15"/>
        <v>5456</v>
      </c>
      <c r="C99" s="97">
        <f t="shared" si="16"/>
        <v>536</v>
      </c>
      <c r="D99" s="75">
        <f t="shared" si="17"/>
        <v>17605.051500000001</v>
      </c>
      <c r="E99" s="266">
        <f t="shared" si="18"/>
        <v>12817.556100000002</v>
      </c>
      <c r="F99" s="76">
        <f t="shared" si="19"/>
        <v>4787.4954000000007</v>
      </c>
      <c r="G99" s="93">
        <f t="shared" si="12"/>
        <v>1.0699999999999999E-2</v>
      </c>
      <c r="H99" s="94">
        <f t="shared" si="12"/>
        <v>2.9380927069425904</v>
      </c>
      <c r="I99" s="276">
        <f t="shared" si="13"/>
        <v>31.111111111111111</v>
      </c>
      <c r="J99" s="276">
        <f t="shared" si="13"/>
        <v>25.888888888888882</v>
      </c>
      <c r="K99" s="276">
        <v>19.329999999999998</v>
      </c>
      <c r="L99" s="279">
        <f t="shared" si="22"/>
        <v>1.4800000000000001E-2</v>
      </c>
      <c r="M99" s="642">
        <f t="shared" si="20"/>
        <v>1.1299999999999999E-2</v>
      </c>
      <c r="N99" s="432">
        <f t="shared" si="21"/>
        <v>101593.51037732697</v>
      </c>
      <c r="P99" s="44" t="s">
        <v>113</v>
      </c>
      <c r="Q99" s="77">
        <f t="shared" si="14"/>
        <v>3.7589999999999999</v>
      </c>
      <c r="R99" s="80">
        <f t="shared" si="14"/>
        <v>37891</v>
      </c>
      <c r="S99" s="76">
        <f t="shared" si="14"/>
        <v>15</v>
      </c>
      <c r="T99" s="77">
        <f t="shared" si="14"/>
        <v>2.7349999999999999</v>
      </c>
      <c r="U99" s="80">
        <f t="shared" si="14"/>
        <v>37958</v>
      </c>
      <c r="V99" s="76">
        <f t="shared" si="14"/>
        <v>13</v>
      </c>
      <c r="W99" s="62">
        <f t="shared" si="14"/>
        <v>25.11</v>
      </c>
      <c r="X99" s="80">
        <f t="shared" si="14"/>
        <v>37368</v>
      </c>
      <c r="Y99" s="76">
        <f t="shared" si="14"/>
        <v>15</v>
      </c>
      <c r="Z99" s="62">
        <f t="shared" si="14"/>
        <v>8.83</v>
      </c>
      <c r="AA99" s="80">
        <f t="shared" si="14"/>
        <v>36897</v>
      </c>
      <c r="AB99" s="76">
        <f t="shared" si="14"/>
        <v>6</v>
      </c>
      <c r="AC99" s="93">
        <f t="shared" si="14"/>
        <v>1.5599999999999999E-2</v>
      </c>
      <c r="AD99" s="80">
        <f t="shared" si="14"/>
        <v>37713</v>
      </c>
      <c r="AE99" s="76">
        <f t="shared" si="14"/>
        <v>4</v>
      </c>
      <c r="AF99" s="93">
        <f t="shared" ref="AF99:AN99" si="23">AF183</f>
        <v>1.6999999999999999E-3</v>
      </c>
      <c r="AG99" s="80">
        <f t="shared" si="23"/>
        <v>36895</v>
      </c>
      <c r="AH99" s="76">
        <f t="shared" si="23"/>
        <v>24</v>
      </c>
      <c r="AI99" s="62">
        <f t="shared" si="23"/>
        <v>78.430000000000007</v>
      </c>
      <c r="AJ99" s="80">
        <f t="shared" si="23"/>
        <v>37713</v>
      </c>
      <c r="AK99" s="76">
        <f t="shared" si="23"/>
        <v>4</v>
      </c>
      <c r="AL99" s="62">
        <f t="shared" si="23"/>
        <v>11.97</v>
      </c>
      <c r="AM99" s="80">
        <f t="shared" si="23"/>
        <v>37566</v>
      </c>
      <c r="AN99" s="76">
        <f t="shared" si="23"/>
        <v>4</v>
      </c>
    </row>
    <row r="100" spans="1:40" ht="15.75">
      <c r="A100" s="44" t="s">
        <v>187</v>
      </c>
      <c r="B100" s="74">
        <f t="shared" si="15"/>
        <v>5015</v>
      </c>
      <c r="C100" s="97">
        <f t="shared" si="16"/>
        <v>498</v>
      </c>
      <c r="D100" s="75">
        <f t="shared" si="17"/>
        <v>16187.619900000002</v>
      </c>
      <c r="E100" s="266">
        <f t="shared" si="18"/>
        <v>12610.920600000001</v>
      </c>
      <c r="F100" s="76">
        <f t="shared" si="19"/>
        <v>3576.6993000000002</v>
      </c>
      <c r="G100" s="93">
        <f t="shared" si="12"/>
        <v>1.0800000000000001E-2</v>
      </c>
      <c r="H100" s="94">
        <f t="shared" si="12"/>
        <v>2.9362633593324872</v>
      </c>
      <c r="I100" s="276">
        <f t="shared" si="13"/>
        <v>30.555555555555557</v>
      </c>
      <c r="J100" s="276">
        <f t="shared" si="13"/>
        <v>25.833333333333336</v>
      </c>
      <c r="K100" s="276">
        <v>19.23</v>
      </c>
      <c r="L100" s="279">
        <f t="shared" si="22"/>
        <v>1.34E-2</v>
      </c>
      <c r="M100" s="642">
        <f t="shared" si="20"/>
        <v>1.12E-2</v>
      </c>
      <c r="N100" s="432">
        <f t="shared" si="21"/>
        <v>101593.51037732697</v>
      </c>
      <c r="P100" s="45" t="s">
        <v>114</v>
      </c>
      <c r="Q100" s="77">
        <f t="shared" ref="Q100:AN108" si="24">Q184</f>
        <v>3.7589999999999999</v>
      </c>
      <c r="R100" s="80">
        <f t="shared" si="24"/>
        <v>37526</v>
      </c>
      <c r="S100" s="76">
        <f t="shared" si="24"/>
        <v>15</v>
      </c>
      <c r="T100" s="77">
        <f t="shared" si="24"/>
        <v>2.7349999999999999</v>
      </c>
      <c r="U100" s="80">
        <f t="shared" si="24"/>
        <v>37958</v>
      </c>
      <c r="V100" s="76">
        <f t="shared" si="24"/>
        <v>13</v>
      </c>
      <c r="W100" s="62">
        <f t="shared" si="24"/>
        <v>25.11</v>
      </c>
      <c r="X100" s="82">
        <f t="shared" si="24"/>
        <v>37368</v>
      </c>
      <c r="Y100" s="85">
        <f t="shared" si="24"/>
        <v>15</v>
      </c>
      <c r="Z100" s="62">
        <f t="shared" si="24"/>
        <v>8.83</v>
      </c>
      <c r="AA100" s="80">
        <f t="shared" si="24"/>
        <v>36897</v>
      </c>
      <c r="AB100" s="76">
        <f t="shared" si="24"/>
        <v>6</v>
      </c>
      <c r="AC100" s="98">
        <f t="shared" si="24"/>
        <v>1.37E-2</v>
      </c>
      <c r="AD100" s="82">
        <f t="shared" si="24"/>
        <v>37941</v>
      </c>
      <c r="AE100" s="85">
        <f t="shared" si="24"/>
        <v>16</v>
      </c>
      <c r="AF100" s="98">
        <f t="shared" si="24"/>
        <v>1.6999999999999999E-3</v>
      </c>
      <c r="AG100" s="82">
        <f t="shared" si="24"/>
        <v>36895</v>
      </c>
      <c r="AH100" s="85">
        <f t="shared" si="24"/>
        <v>24</v>
      </c>
      <c r="AI100" s="62">
        <f t="shared" si="24"/>
        <v>68.849999999999994</v>
      </c>
      <c r="AJ100" s="80">
        <f t="shared" si="24"/>
        <v>37941</v>
      </c>
      <c r="AK100" s="76">
        <f t="shared" si="24"/>
        <v>16</v>
      </c>
      <c r="AL100" s="62">
        <f t="shared" si="24"/>
        <v>11.97</v>
      </c>
      <c r="AM100" s="80">
        <f t="shared" si="24"/>
        <v>37566</v>
      </c>
      <c r="AN100" s="76">
        <f t="shared" si="24"/>
        <v>4</v>
      </c>
    </row>
    <row r="101" spans="1:40" ht="15.75">
      <c r="A101" s="44" t="s">
        <v>191</v>
      </c>
      <c r="B101" s="74">
        <f t="shared" si="15"/>
        <v>6036</v>
      </c>
      <c r="C101" s="97">
        <f t="shared" si="16"/>
        <v>600</v>
      </c>
      <c r="D101" s="75">
        <f t="shared" si="17"/>
        <v>19620.993300000002</v>
      </c>
      <c r="E101" s="266">
        <f t="shared" si="18"/>
        <v>17135.212200000002</v>
      </c>
      <c r="F101" s="76">
        <f t="shared" si="19"/>
        <v>2485.7811000000002</v>
      </c>
      <c r="G101" s="93">
        <f t="shared" si="12"/>
        <v>1.0200000000000001E-2</v>
      </c>
      <c r="H101" s="94">
        <f t="shared" si="12"/>
        <v>2.9567500452079569</v>
      </c>
      <c r="I101" s="276">
        <f t="shared" si="13"/>
        <v>31.111111111111111</v>
      </c>
      <c r="J101" s="276">
        <f t="shared" si="13"/>
        <v>25.944444444444446</v>
      </c>
      <c r="K101" s="276">
        <v>18.64</v>
      </c>
      <c r="L101" s="279">
        <f t="shared" si="22"/>
        <v>1.15E-2</v>
      </c>
      <c r="M101" s="642">
        <f t="shared" si="20"/>
        <v>1.04E-2</v>
      </c>
      <c r="N101" s="432">
        <f t="shared" si="21"/>
        <v>101593.51037732697</v>
      </c>
      <c r="P101" s="44" t="s">
        <v>116</v>
      </c>
      <c r="Q101" s="77">
        <f t="shared" si="24"/>
        <v>5.3010000000000002</v>
      </c>
      <c r="R101" s="80">
        <f t="shared" si="24"/>
        <v>38273</v>
      </c>
      <c r="S101" s="76">
        <f t="shared" si="24"/>
        <v>9</v>
      </c>
      <c r="T101" s="77">
        <f t="shared" si="24"/>
        <v>2.6520000000000001</v>
      </c>
      <c r="U101" s="80">
        <f t="shared" si="24"/>
        <v>38076</v>
      </c>
      <c r="V101" s="76">
        <f t="shared" si="24"/>
        <v>17</v>
      </c>
      <c r="W101" s="62">
        <f t="shared" si="24"/>
        <v>25.11</v>
      </c>
      <c r="X101" s="80">
        <f t="shared" si="24"/>
        <v>37002</v>
      </c>
      <c r="Y101" s="76">
        <f t="shared" si="24"/>
        <v>16</v>
      </c>
      <c r="Z101" s="62">
        <f t="shared" si="24"/>
        <v>7.94</v>
      </c>
      <c r="AA101" s="80">
        <f t="shared" si="24"/>
        <v>37975</v>
      </c>
      <c r="AB101" s="76">
        <f t="shared" si="24"/>
        <v>11</v>
      </c>
      <c r="AC101" s="93">
        <f t="shared" si="24"/>
        <v>1.18E-2</v>
      </c>
      <c r="AD101" s="80">
        <f t="shared" si="24"/>
        <v>38083</v>
      </c>
      <c r="AE101" s="76">
        <f t="shared" si="24"/>
        <v>10</v>
      </c>
      <c r="AF101" s="93" t="str">
        <f t="shared" si="24"/>
        <v>system off gives 0.000</v>
      </c>
      <c r="AG101" s="80">
        <f t="shared" si="24"/>
        <v>0</v>
      </c>
      <c r="AH101" s="76">
        <f t="shared" si="24"/>
        <v>0</v>
      </c>
      <c r="AI101" s="62" t="str">
        <f t="shared" si="24"/>
        <v>system off gives 0.000</v>
      </c>
      <c r="AJ101" s="80">
        <f t="shared" si="24"/>
        <v>0</v>
      </c>
      <c r="AK101" s="76">
        <f t="shared" si="24"/>
        <v>0</v>
      </c>
      <c r="AL101" s="62" t="str">
        <f t="shared" si="24"/>
        <v>system off gives 0.000</v>
      </c>
      <c r="AM101" s="80">
        <f t="shared" si="24"/>
        <v>0</v>
      </c>
      <c r="AN101" s="76">
        <f t="shared" si="24"/>
        <v>0</v>
      </c>
    </row>
    <row r="102" spans="1:40" ht="15.75">
      <c r="A102" s="44" t="s">
        <v>194</v>
      </c>
      <c r="B102" s="74">
        <f t="shared" si="15"/>
        <v>6429</v>
      </c>
      <c r="C102" s="97">
        <f t="shared" si="16"/>
        <v>635</v>
      </c>
      <c r="D102" s="75">
        <f t="shared" si="17"/>
        <v>20819.186100000003</v>
      </c>
      <c r="E102" s="266">
        <f t="shared" si="18"/>
        <v>17639.051100000004</v>
      </c>
      <c r="F102" s="76">
        <f t="shared" si="19"/>
        <v>3180.1350000000002</v>
      </c>
      <c r="G102" s="93">
        <f t="shared" si="12"/>
        <v>0.01</v>
      </c>
      <c r="H102" s="94">
        <f t="shared" si="12"/>
        <v>2.9472234003397513</v>
      </c>
      <c r="I102" s="276">
        <f t="shared" si="13"/>
        <v>31.666666666666664</v>
      </c>
      <c r="J102" s="276">
        <f t="shared" si="13"/>
        <v>26.055555555555561</v>
      </c>
      <c r="K102" s="276">
        <v>18.600000000000001</v>
      </c>
      <c r="L102" s="279">
        <f t="shared" si="22"/>
        <v>1.21E-2</v>
      </c>
      <c r="M102" s="642">
        <f t="shared" si="20"/>
        <v>1.03E-2</v>
      </c>
      <c r="N102" s="432">
        <f t="shared" si="21"/>
        <v>101593.51037732697</v>
      </c>
      <c r="P102" s="44" t="s">
        <v>121</v>
      </c>
      <c r="Q102" s="77">
        <f t="shared" si="24"/>
        <v>5.3010000000000002</v>
      </c>
      <c r="R102" s="80">
        <f t="shared" si="24"/>
        <v>38273</v>
      </c>
      <c r="S102" s="76">
        <f t="shared" si="24"/>
        <v>9</v>
      </c>
      <c r="T102" s="77">
        <f t="shared" si="24"/>
        <v>2.6520000000000001</v>
      </c>
      <c r="U102" s="80">
        <f t="shared" si="24"/>
        <v>38076</v>
      </c>
      <c r="V102" s="76">
        <f t="shared" si="24"/>
        <v>17</v>
      </c>
      <c r="W102" s="62">
        <f t="shared" si="24"/>
        <v>25.11</v>
      </c>
      <c r="X102" s="80">
        <f t="shared" si="24"/>
        <v>37002</v>
      </c>
      <c r="Y102" s="76">
        <f t="shared" si="24"/>
        <v>3</v>
      </c>
      <c r="Z102" s="62">
        <f t="shared" si="24"/>
        <v>7.94</v>
      </c>
      <c r="AA102" s="80">
        <f t="shared" si="24"/>
        <v>37975</v>
      </c>
      <c r="AB102" s="76">
        <f t="shared" si="24"/>
        <v>11</v>
      </c>
      <c r="AC102" s="93">
        <f t="shared" si="24"/>
        <v>1.1900000000000001E-2</v>
      </c>
      <c r="AD102" s="80">
        <f t="shared" si="24"/>
        <v>37092</v>
      </c>
      <c r="AE102" s="76">
        <f t="shared" si="24"/>
        <v>15</v>
      </c>
      <c r="AF102" s="93" t="str">
        <f t="shared" si="24"/>
        <v>system off gives 0.000</v>
      </c>
      <c r="AG102" s="80">
        <f t="shared" si="24"/>
        <v>0</v>
      </c>
      <c r="AH102" s="76">
        <f t="shared" si="24"/>
        <v>0</v>
      </c>
      <c r="AI102" s="62" t="str">
        <f t="shared" si="24"/>
        <v>system off gives 0.000</v>
      </c>
      <c r="AJ102" s="80">
        <f t="shared" si="24"/>
        <v>0</v>
      </c>
      <c r="AK102" s="76">
        <f t="shared" si="24"/>
        <v>0</v>
      </c>
      <c r="AL102" s="62" t="str">
        <f t="shared" si="24"/>
        <v>system off gives 0.000</v>
      </c>
      <c r="AM102" s="80">
        <f t="shared" si="24"/>
        <v>0</v>
      </c>
      <c r="AN102" s="76">
        <f t="shared" si="24"/>
        <v>0</v>
      </c>
    </row>
    <row r="103" spans="1:40" ht="15.75">
      <c r="A103" s="44" t="s">
        <v>79</v>
      </c>
      <c r="B103" s="74">
        <f t="shared" si="15"/>
        <v>7683</v>
      </c>
      <c r="C103" s="97">
        <f t="shared" si="16"/>
        <v>754</v>
      </c>
      <c r="D103" s="75">
        <f t="shared" si="17"/>
        <v>25392.718500000003</v>
      </c>
      <c r="E103" s="266">
        <f t="shared" si="18"/>
        <v>22196.756100000002</v>
      </c>
      <c r="F103" s="76">
        <f t="shared" si="19"/>
        <v>3195.9624000000003</v>
      </c>
      <c r="G103" s="93">
        <f t="shared" si="12"/>
        <v>9.7999999999999997E-3</v>
      </c>
      <c r="H103" s="94">
        <f t="shared" si="12"/>
        <v>3.0096857295247128</v>
      </c>
      <c r="I103" s="276">
        <f t="shared" si="13"/>
        <v>32.222222222222221</v>
      </c>
      <c r="J103" s="276">
        <f t="shared" si="13"/>
        <v>26.111111111111114</v>
      </c>
      <c r="K103" s="276">
        <v>18.46</v>
      </c>
      <c r="L103" s="279">
        <f t="shared" si="22"/>
        <v>1.1900000000000001E-2</v>
      </c>
      <c r="M103" s="642">
        <f t="shared" si="20"/>
        <v>1.01E-2</v>
      </c>
      <c r="N103" s="432">
        <f t="shared" si="21"/>
        <v>101593.51037732697</v>
      </c>
      <c r="P103" s="44" t="s">
        <v>125</v>
      </c>
      <c r="Q103" s="77">
        <f t="shared" si="24"/>
        <v>4.6520000000000001</v>
      </c>
      <c r="R103" s="80">
        <f t="shared" si="24"/>
        <v>37696</v>
      </c>
      <c r="S103" s="76">
        <f t="shared" si="24"/>
        <v>10</v>
      </c>
      <c r="T103" s="77">
        <f t="shared" si="24"/>
        <v>2.3940000000000001</v>
      </c>
      <c r="U103" s="80">
        <f t="shared" si="24"/>
        <v>38082</v>
      </c>
      <c r="V103" s="76">
        <f t="shared" si="24"/>
        <v>17</v>
      </c>
      <c r="W103" s="62">
        <f t="shared" si="24"/>
        <v>15.94</v>
      </c>
      <c r="X103" s="80">
        <f t="shared" si="24"/>
        <v>38178</v>
      </c>
      <c r="Y103" s="76">
        <f t="shared" si="24"/>
        <v>16</v>
      </c>
      <c r="Z103" s="62">
        <f t="shared" si="24"/>
        <v>7.89</v>
      </c>
      <c r="AA103" s="80">
        <f t="shared" si="24"/>
        <v>37975</v>
      </c>
      <c r="AB103" s="76">
        <f t="shared" si="24"/>
        <v>12</v>
      </c>
      <c r="AC103" s="93">
        <f t="shared" si="24"/>
        <v>7.7999999999999996E-3</v>
      </c>
      <c r="AD103" s="80">
        <f t="shared" si="24"/>
        <v>38075</v>
      </c>
      <c r="AE103" s="76">
        <f t="shared" si="24"/>
        <v>10</v>
      </c>
      <c r="AF103" s="93" t="str">
        <f t="shared" si="24"/>
        <v>system off gives 0.000</v>
      </c>
      <c r="AG103" s="80">
        <f t="shared" si="24"/>
        <v>0</v>
      </c>
      <c r="AH103" s="76">
        <f t="shared" si="24"/>
        <v>0</v>
      </c>
      <c r="AI103" s="62" t="str">
        <f t="shared" si="24"/>
        <v>system off gives 0.000</v>
      </c>
      <c r="AJ103" s="80">
        <f t="shared" si="24"/>
        <v>0</v>
      </c>
      <c r="AK103" s="76">
        <f t="shared" si="24"/>
        <v>0</v>
      </c>
      <c r="AL103" s="62" t="str">
        <f t="shared" si="24"/>
        <v>system off gives 0.000</v>
      </c>
      <c r="AM103" s="80">
        <f t="shared" si="24"/>
        <v>0</v>
      </c>
      <c r="AN103" s="76">
        <f t="shared" si="24"/>
        <v>0</v>
      </c>
    </row>
    <row r="104" spans="1:40" ht="15.75">
      <c r="A104" s="44" t="s">
        <v>198</v>
      </c>
      <c r="B104" s="74">
        <f t="shared" si="15"/>
        <v>8222</v>
      </c>
      <c r="C104" s="97">
        <f t="shared" si="16"/>
        <v>803</v>
      </c>
      <c r="D104" s="75">
        <f t="shared" si="17"/>
        <v>27721.104900000002</v>
      </c>
      <c r="E104" s="266">
        <f t="shared" si="18"/>
        <v>22533.234900000003</v>
      </c>
      <c r="F104" s="76">
        <f t="shared" si="19"/>
        <v>5187.8700000000008</v>
      </c>
      <c r="G104" s="93">
        <f t="shared" si="12"/>
        <v>9.7999999999999997E-3</v>
      </c>
      <c r="H104" s="94">
        <f t="shared" si="12"/>
        <v>3.0715905706371194</v>
      </c>
      <c r="I104" s="276">
        <f t="shared" si="13"/>
        <v>32.222222222222221</v>
      </c>
      <c r="J104" s="276">
        <f t="shared" si="13"/>
        <v>26.166666666666664</v>
      </c>
      <c r="K104" s="276">
        <v>18.760000000000002</v>
      </c>
      <c r="L104" s="279">
        <f t="shared" si="22"/>
        <v>1.44E-2</v>
      </c>
      <c r="M104" s="642">
        <f t="shared" si="20"/>
        <v>1.0500000000000001E-2</v>
      </c>
      <c r="N104" s="432">
        <f t="shared" si="21"/>
        <v>101254.86534273588</v>
      </c>
      <c r="P104" s="44" t="s">
        <v>127</v>
      </c>
      <c r="Q104" s="77">
        <f t="shared" si="24"/>
        <v>5.6779999999999999</v>
      </c>
      <c r="R104" s="80">
        <f t="shared" si="24"/>
        <v>38057</v>
      </c>
      <c r="S104" s="76">
        <f t="shared" si="24"/>
        <v>10</v>
      </c>
      <c r="T104" s="77">
        <f t="shared" si="24"/>
        <v>2.5619999999999998</v>
      </c>
      <c r="U104" s="80">
        <f t="shared" si="24"/>
        <v>38077</v>
      </c>
      <c r="V104" s="76">
        <f t="shared" si="24"/>
        <v>17</v>
      </c>
      <c r="W104" s="62">
        <f t="shared" si="24"/>
        <v>20.11</v>
      </c>
      <c r="X104" s="80">
        <f t="shared" si="24"/>
        <v>37732</v>
      </c>
      <c r="Y104" s="76">
        <f t="shared" si="24"/>
        <v>15</v>
      </c>
      <c r="Z104" s="62">
        <f t="shared" si="24"/>
        <v>7.94</v>
      </c>
      <c r="AA104" s="80">
        <f t="shared" si="24"/>
        <v>37975</v>
      </c>
      <c r="AB104" s="76">
        <f t="shared" si="24"/>
        <v>11</v>
      </c>
      <c r="AC104" s="93">
        <f t="shared" si="24"/>
        <v>1.38E-2</v>
      </c>
      <c r="AD104" s="80">
        <f t="shared" si="24"/>
        <v>38083</v>
      </c>
      <c r="AE104" s="76">
        <f t="shared" si="24"/>
        <v>10</v>
      </c>
      <c r="AF104" s="93" t="str">
        <f t="shared" si="24"/>
        <v>system off gives 0.000</v>
      </c>
      <c r="AG104" s="80">
        <f t="shared" si="24"/>
        <v>0</v>
      </c>
      <c r="AH104" s="76">
        <f t="shared" si="24"/>
        <v>0</v>
      </c>
      <c r="AI104" s="62" t="str">
        <f t="shared" si="24"/>
        <v>system off gives 0.000</v>
      </c>
      <c r="AJ104" s="80">
        <f t="shared" si="24"/>
        <v>0</v>
      </c>
      <c r="AK104" s="76">
        <f t="shared" si="24"/>
        <v>0</v>
      </c>
      <c r="AL104" s="62" t="str">
        <f t="shared" si="24"/>
        <v>system off gives 0.000</v>
      </c>
      <c r="AM104" s="80">
        <f t="shared" si="24"/>
        <v>0</v>
      </c>
      <c r="AN104" s="76">
        <f t="shared" si="24"/>
        <v>0</v>
      </c>
    </row>
    <row r="105" spans="1:40" ht="15.75">
      <c r="A105" s="44" t="s">
        <v>201</v>
      </c>
      <c r="B105" s="74">
        <f t="shared" si="15"/>
        <v>5696</v>
      </c>
      <c r="C105" s="97">
        <f t="shared" si="16"/>
        <v>556</v>
      </c>
      <c r="D105" s="75">
        <f t="shared" si="17"/>
        <v>18244.595700000002</v>
      </c>
      <c r="E105" s="266">
        <f t="shared" si="18"/>
        <v>13600.133100000001</v>
      </c>
      <c r="F105" s="76">
        <f t="shared" si="19"/>
        <v>4644.4626000000007</v>
      </c>
      <c r="G105" s="93">
        <f t="shared" ref="G105:H112" si="25">G189</f>
        <v>1.0699999999999999E-2</v>
      </c>
      <c r="H105" s="94">
        <f t="shared" si="25"/>
        <v>2.9182014875239926</v>
      </c>
      <c r="I105" s="276">
        <f t="shared" ref="I105:J110" si="26">(I189-32)/180*100</f>
        <v>31.666666666666664</v>
      </c>
      <c r="J105" s="276">
        <f t="shared" si="26"/>
        <v>26.055555555555561</v>
      </c>
      <c r="K105" s="276">
        <v>19.350000000000001</v>
      </c>
      <c r="L105" s="279">
        <f t="shared" si="22"/>
        <v>1.46E-2</v>
      </c>
      <c r="M105" s="642">
        <f t="shared" si="20"/>
        <v>1.1299999999999999E-2</v>
      </c>
      <c r="N105" s="432">
        <f t="shared" si="21"/>
        <v>101254.86534273588</v>
      </c>
      <c r="P105" s="44" t="s">
        <v>130</v>
      </c>
      <c r="Q105" s="77">
        <f t="shared" si="24"/>
        <v>6.0309999999999997</v>
      </c>
      <c r="R105" s="80">
        <f t="shared" si="24"/>
        <v>38062</v>
      </c>
      <c r="S105" s="76">
        <f t="shared" si="24"/>
        <v>10</v>
      </c>
      <c r="T105" s="77">
        <f t="shared" si="24"/>
        <v>2.8140000000000001</v>
      </c>
      <c r="U105" s="80">
        <f t="shared" si="24"/>
        <v>38077</v>
      </c>
      <c r="V105" s="76">
        <f t="shared" si="24"/>
        <v>17</v>
      </c>
      <c r="W105" s="62">
        <f t="shared" si="24"/>
        <v>35.06</v>
      </c>
      <c r="X105" s="80">
        <f t="shared" si="24"/>
        <v>37732</v>
      </c>
      <c r="Y105" s="76">
        <f t="shared" si="24"/>
        <v>16</v>
      </c>
      <c r="Z105" s="62">
        <f t="shared" si="24"/>
        <v>7.94</v>
      </c>
      <c r="AA105" s="80">
        <f t="shared" si="24"/>
        <v>37975</v>
      </c>
      <c r="AB105" s="76">
        <f t="shared" si="24"/>
        <v>12</v>
      </c>
      <c r="AC105" s="93">
        <f t="shared" si="24"/>
        <v>1.7999999999999999E-2</v>
      </c>
      <c r="AD105" s="80">
        <f t="shared" si="24"/>
        <v>37457</v>
      </c>
      <c r="AE105" s="76">
        <f t="shared" si="24"/>
        <v>15</v>
      </c>
      <c r="AF105" s="93" t="str">
        <f t="shared" si="24"/>
        <v>system off gives 0.000</v>
      </c>
      <c r="AG105" s="80">
        <f t="shared" si="24"/>
        <v>0</v>
      </c>
      <c r="AH105" s="76">
        <f t="shared" si="24"/>
        <v>0</v>
      </c>
      <c r="AI105" s="62" t="str">
        <f t="shared" si="24"/>
        <v>system off gives 0.000</v>
      </c>
      <c r="AJ105" s="80">
        <f t="shared" si="24"/>
        <v>0</v>
      </c>
      <c r="AK105" s="76">
        <f t="shared" si="24"/>
        <v>0</v>
      </c>
      <c r="AL105" s="62" t="str">
        <f t="shared" si="24"/>
        <v>system off gives 0.000</v>
      </c>
      <c r="AM105" s="80">
        <f t="shared" si="24"/>
        <v>0</v>
      </c>
      <c r="AN105" s="76">
        <f t="shared" si="24"/>
        <v>0</v>
      </c>
    </row>
    <row r="106" spans="1:40" ht="15.75">
      <c r="A106" s="44" t="s">
        <v>204</v>
      </c>
      <c r="B106" s="74">
        <f t="shared" si="15"/>
        <v>5531</v>
      </c>
      <c r="C106" s="97">
        <f t="shared" si="16"/>
        <v>541</v>
      </c>
      <c r="D106" s="75">
        <f t="shared" si="17"/>
        <v>17977.8747</v>
      </c>
      <c r="E106" s="266">
        <f t="shared" si="18"/>
        <v>12831.624899999999</v>
      </c>
      <c r="F106" s="76">
        <f t="shared" si="19"/>
        <v>5146.2498000000005</v>
      </c>
      <c r="G106" s="93">
        <f t="shared" si="25"/>
        <v>1.12E-2</v>
      </c>
      <c r="H106" s="94">
        <f t="shared" si="25"/>
        <v>2.9607830533596839</v>
      </c>
      <c r="I106" s="276">
        <f t="shared" si="26"/>
        <v>31.111111111111111</v>
      </c>
      <c r="J106" s="276">
        <f t="shared" si="26"/>
        <v>25.944444444444446</v>
      </c>
      <c r="K106" s="276">
        <v>19.68</v>
      </c>
      <c r="L106" s="279">
        <f t="shared" si="22"/>
        <v>1.5699999999999999E-2</v>
      </c>
      <c r="M106" s="642">
        <f t="shared" si="20"/>
        <v>1.18E-2</v>
      </c>
      <c r="N106" s="432">
        <f t="shared" si="21"/>
        <v>101254.86534273588</v>
      </c>
      <c r="P106" s="44" t="s">
        <v>132</v>
      </c>
      <c r="Q106" s="77">
        <f t="shared" si="24"/>
        <v>3.85</v>
      </c>
      <c r="R106" s="80">
        <f t="shared" si="24"/>
        <v>38273</v>
      </c>
      <c r="S106" s="76">
        <f t="shared" si="24"/>
        <v>9</v>
      </c>
      <c r="T106" s="77">
        <f t="shared" si="24"/>
        <v>2.4980000000000002</v>
      </c>
      <c r="U106" s="80">
        <f t="shared" si="24"/>
        <v>37466</v>
      </c>
      <c r="V106" s="76">
        <f t="shared" si="24"/>
        <v>12</v>
      </c>
      <c r="W106" s="62">
        <f t="shared" si="24"/>
        <v>25.06</v>
      </c>
      <c r="X106" s="80">
        <f t="shared" si="24"/>
        <v>37002</v>
      </c>
      <c r="Y106" s="76">
        <f t="shared" si="24"/>
        <v>16</v>
      </c>
      <c r="Z106" s="62">
        <f t="shared" si="24"/>
        <v>7.94</v>
      </c>
      <c r="AA106" s="80">
        <f t="shared" si="24"/>
        <v>37975</v>
      </c>
      <c r="AB106" s="76">
        <f t="shared" si="24"/>
        <v>11</v>
      </c>
      <c r="AC106" s="93">
        <f t="shared" si="24"/>
        <v>8.0999999999999996E-3</v>
      </c>
      <c r="AD106" s="80">
        <f t="shared" si="24"/>
        <v>38188</v>
      </c>
      <c r="AE106" s="76">
        <f t="shared" si="24"/>
        <v>15</v>
      </c>
      <c r="AF106" s="93" t="str">
        <f t="shared" si="24"/>
        <v>system off gives 0.000</v>
      </c>
      <c r="AG106" s="80">
        <f t="shared" si="24"/>
        <v>0</v>
      </c>
      <c r="AH106" s="76">
        <f t="shared" si="24"/>
        <v>0</v>
      </c>
      <c r="AI106" s="62" t="str">
        <f t="shared" si="24"/>
        <v>system off gives 0.000</v>
      </c>
      <c r="AJ106" s="80">
        <f t="shared" si="24"/>
        <v>0</v>
      </c>
      <c r="AK106" s="76">
        <f t="shared" si="24"/>
        <v>0</v>
      </c>
      <c r="AL106" s="62" t="str">
        <f t="shared" si="24"/>
        <v>system off gives 0.000</v>
      </c>
      <c r="AM106" s="80">
        <f t="shared" si="24"/>
        <v>0</v>
      </c>
      <c r="AN106" s="76">
        <f t="shared" si="24"/>
        <v>0</v>
      </c>
    </row>
    <row r="107" spans="1:40" ht="15.75">
      <c r="A107" s="44" t="s">
        <v>206</v>
      </c>
      <c r="B107" s="74">
        <f t="shared" si="15"/>
        <v>4689</v>
      </c>
      <c r="C107" s="97">
        <f t="shared" si="16"/>
        <v>479</v>
      </c>
      <c r="D107" s="75">
        <f t="shared" si="17"/>
        <v>15914.450700000001</v>
      </c>
      <c r="E107" s="266">
        <f t="shared" si="18"/>
        <v>11871.136200000001</v>
      </c>
      <c r="F107" s="76">
        <f t="shared" si="19"/>
        <v>4043.3145000000004</v>
      </c>
      <c r="G107" s="93">
        <f t="shared" si="25"/>
        <v>1.11E-2</v>
      </c>
      <c r="H107" s="94">
        <f t="shared" si="25"/>
        <v>3.0794215750773994</v>
      </c>
      <c r="I107" s="276">
        <f t="shared" si="26"/>
        <v>28.333333333333332</v>
      </c>
      <c r="J107" s="276">
        <f t="shared" si="26"/>
        <v>25.5</v>
      </c>
      <c r="K107" s="276">
        <v>19.399999999999999</v>
      </c>
      <c r="L107" s="279">
        <f t="shared" si="22"/>
        <v>1.43E-2</v>
      </c>
      <c r="M107" s="642">
        <f t="shared" si="20"/>
        <v>1.1599999999999999E-2</v>
      </c>
      <c r="N107" s="432">
        <f t="shared" si="21"/>
        <v>101254.86534273588</v>
      </c>
      <c r="P107" s="44" t="s">
        <v>135</v>
      </c>
      <c r="Q107" s="77">
        <f t="shared" si="24"/>
        <v>3.4550000000000001</v>
      </c>
      <c r="R107" s="80">
        <f t="shared" si="24"/>
        <v>38107</v>
      </c>
      <c r="S107" s="76">
        <f t="shared" si="24"/>
        <v>16</v>
      </c>
      <c r="T107" s="77">
        <f t="shared" si="24"/>
        <v>2.262</v>
      </c>
      <c r="U107" s="80">
        <f t="shared" si="24"/>
        <v>41120</v>
      </c>
      <c r="V107" s="76">
        <f t="shared" si="24"/>
        <v>12</v>
      </c>
      <c r="W107" s="62">
        <f t="shared" si="24"/>
        <v>15.11</v>
      </c>
      <c r="X107" s="80">
        <f t="shared" si="24"/>
        <v>38138</v>
      </c>
      <c r="Y107" s="76">
        <f t="shared" si="24"/>
        <v>16</v>
      </c>
      <c r="Z107" s="62">
        <f t="shared" si="24"/>
        <v>7.89</v>
      </c>
      <c r="AA107" s="80">
        <f t="shared" si="24"/>
        <v>37975</v>
      </c>
      <c r="AB107" s="76">
        <f t="shared" si="24"/>
        <v>12</v>
      </c>
      <c r="AC107" s="93">
        <f t="shared" si="24"/>
        <v>6.3E-3</v>
      </c>
      <c r="AD107" s="80">
        <f t="shared" si="24"/>
        <v>38085</v>
      </c>
      <c r="AE107" s="76">
        <f t="shared" si="24"/>
        <v>8</v>
      </c>
      <c r="AF107" s="93" t="str">
        <f t="shared" si="24"/>
        <v>system off gives 0.000</v>
      </c>
      <c r="AG107" s="80">
        <f t="shared" si="24"/>
        <v>0</v>
      </c>
      <c r="AH107" s="76">
        <f t="shared" si="24"/>
        <v>0</v>
      </c>
      <c r="AI107" s="62" t="str">
        <f t="shared" si="24"/>
        <v>system off gives 0.000</v>
      </c>
      <c r="AJ107" s="80">
        <f t="shared" si="24"/>
        <v>0</v>
      </c>
      <c r="AK107" s="76">
        <f t="shared" si="24"/>
        <v>0</v>
      </c>
      <c r="AL107" s="62" t="str">
        <f t="shared" si="24"/>
        <v>system off gives 0.000</v>
      </c>
      <c r="AM107" s="80">
        <f t="shared" si="24"/>
        <v>0</v>
      </c>
      <c r="AN107" s="76">
        <f t="shared" si="24"/>
        <v>0</v>
      </c>
    </row>
    <row r="108" spans="1:40" ht="15.75">
      <c r="A108" s="44" t="s">
        <v>207</v>
      </c>
      <c r="B108" s="74">
        <f t="shared" si="15"/>
        <v>4855</v>
      </c>
      <c r="C108" s="97">
        <f t="shared" si="16"/>
        <v>503</v>
      </c>
      <c r="D108" s="75">
        <f t="shared" si="17"/>
        <v>17120.2641</v>
      </c>
      <c r="E108" s="266">
        <f t="shared" si="18"/>
        <v>11534.071199999998</v>
      </c>
      <c r="F108" s="76">
        <f t="shared" si="19"/>
        <v>5586.1929000000009</v>
      </c>
      <c r="G108" s="93">
        <f t="shared" si="25"/>
        <v>1.1299999999999999E-2</v>
      </c>
      <c r="H108" s="94">
        <f t="shared" si="25"/>
        <v>3.1952713885778277</v>
      </c>
      <c r="I108" s="276">
        <f t="shared" si="26"/>
        <v>27.222222222222221</v>
      </c>
      <c r="J108" s="276">
        <f t="shared" si="26"/>
        <v>25.333333333333329</v>
      </c>
      <c r="K108" s="276">
        <v>19.760000000000002</v>
      </c>
      <c r="L108" s="279">
        <f t="shared" si="22"/>
        <v>1.6400000000000001E-2</v>
      </c>
      <c r="M108" s="642">
        <f t="shared" si="20"/>
        <v>1.21E-2</v>
      </c>
      <c r="N108" s="432">
        <f t="shared" si="21"/>
        <v>101593.51037732697</v>
      </c>
      <c r="P108" s="45" t="s">
        <v>138</v>
      </c>
      <c r="Q108" s="77">
        <f t="shared" si="24"/>
        <v>4.4279999999999999</v>
      </c>
      <c r="R108" s="80">
        <f t="shared" si="24"/>
        <v>38062</v>
      </c>
      <c r="S108" s="76">
        <f t="shared" si="24"/>
        <v>10</v>
      </c>
      <c r="T108" s="77">
        <f t="shared" si="24"/>
        <v>2.722</v>
      </c>
      <c r="U108" s="80">
        <f t="shared" si="24"/>
        <v>37467</v>
      </c>
      <c r="V108" s="76">
        <f t="shared" si="24"/>
        <v>12</v>
      </c>
      <c r="W108" s="62">
        <f t="shared" si="24"/>
        <v>35</v>
      </c>
      <c r="X108" s="82">
        <f t="shared" si="24"/>
        <v>38098</v>
      </c>
      <c r="Y108" s="85">
        <f t="shared" si="24"/>
        <v>15</v>
      </c>
      <c r="Z108" s="62">
        <f t="shared" si="24"/>
        <v>7.94</v>
      </c>
      <c r="AA108" s="80">
        <f t="shared" si="24"/>
        <v>37975</v>
      </c>
      <c r="AB108" s="76">
        <f t="shared" si="24"/>
        <v>12</v>
      </c>
      <c r="AC108" s="98">
        <f t="shared" si="24"/>
        <v>1.2200000000000001E-2</v>
      </c>
      <c r="AD108" s="82">
        <f t="shared" si="24"/>
        <v>38188</v>
      </c>
      <c r="AE108" s="85">
        <f t="shared" si="24"/>
        <v>15</v>
      </c>
      <c r="AF108" s="98" t="str">
        <f t="shared" si="24"/>
        <v>system off gives 0.000</v>
      </c>
      <c r="AG108" s="82">
        <f t="shared" si="24"/>
        <v>0</v>
      </c>
      <c r="AH108" s="85">
        <f t="shared" si="24"/>
        <v>0</v>
      </c>
      <c r="AI108" s="62" t="str">
        <f t="shared" si="24"/>
        <v>system off gives 0.000</v>
      </c>
      <c r="AJ108" s="80">
        <f t="shared" si="24"/>
        <v>0</v>
      </c>
      <c r="AK108" s="76">
        <f t="shared" si="24"/>
        <v>0</v>
      </c>
      <c r="AL108" s="62" t="str">
        <f t="shared" si="24"/>
        <v>system off gives 0.000</v>
      </c>
      <c r="AM108" s="80">
        <f t="shared" si="24"/>
        <v>0</v>
      </c>
      <c r="AN108" s="76">
        <f t="shared" si="24"/>
        <v>0</v>
      </c>
    </row>
    <row r="109" spans="1:40" ht="15.75">
      <c r="A109" s="44" t="s">
        <v>208</v>
      </c>
      <c r="B109" s="74">
        <f t="shared" si="15"/>
        <v>3918</v>
      </c>
      <c r="C109" s="97">
        <f t="shared" si="16"/>
        <v>406</v>
      </c>
      <c r="D109" s="75">
        <f t="shared" si="17"/>
        <v>13445.083200000001</v>
      </c>
      <c r="E109" s="266">
        <f t="shared" si="18"/>
        <v>9302.7008999999998</v>
      </c>
      <c r="F109" s="76">
        <f t="shared" si="19"/>
        <v>4142.3823000000002</v>
      </c>
      <c r="G109" s="93">
        <f t="shared" si="25"/>
        <v>1.1299999999999999E-2</v>
      </c>
      <c r="H109" s="94">
        <f t="shared" si="25"/>
        <v>3.1094086956521743</v>
      </c>
      <c r="I109" s="276">
        <f t="shared" si="26"/>
        <v>27.222222222222221</v>
      </c>
      <c r="J109" s="276">
        <f t="shared" si="26"/>
        <v>25.333333333333329</v>
      </c>
      <c r="K109" s="276">
        <v>19.760000000000002</v>
      </c>
      <c r="L109" s="279">
        <f t="shared" si="22"/>
        <v>1.6400000000000001E-2</v>
      </c>
      <c r="M109" s="642">
        <f t="shared" si="20"/>
        <v>1.21E-2</v>
      </c>
      <c r="N109" s="432">
        <f t="shared" si="21"/>
        <v>101593.51037732697</v>
      </c>
    </row>
    <row r="110" spans="1:40" ht="15.75">
      <c r="A110" s="44" t="s">
        <v>209</v>
      </c>
      <c r="B110" s="74">
        <f t="shared" si="15"/>
        <v>3823</v>
      </c>
      <c r="C110" s="97">
        <f t="shared" si="16"/>
        <v>399</v>
      </c>
      <c r="D110" s="75">
        <f t="shared" si="17"/>
        <v>13285.0506</v>
      </c>
      <c r="E110" s="266">
        <f t="shared" si="18"/>
        <v>8973.8427000000011</v>
      </c>
      <c r="F110" s="76">
        <f t="shared" si="19"/>
        <v>4311.2079000000003</v>
      </c>
      <c r="G110" s="93">
        <f t="shared" si="25"/>
        <v>1.14E-2</v>
      </c>
      <c r="H110" s="94">
        <f t="shared" si="25"/>
        <v>3.1466249644718145</v>
      </c>
      <c r="I110" s="276">
        <f t="shared" si="26"/>
        <v>26.666666666666668</v>
      </c>
      <c r="J110" s="276">
        <f t="shared" si="26"/>
        <v>25.222222222222225</v>
      </c>
      <c r="K110" s="276">
        <v>19.8</v>
      </c>
      <c r="L110" s="279">
        <f t="shared" si="22"/>
        <v>1.67E-2</v>
      </c>
      <c r="M110" s="642">
        <f t="shared" si="20"/>
        <v>1.2200000000000001E-2</v>
      </c>
      <c r="N110" s="432">
        <f t="shared" si="21"/>
        <v>101593.51037732697</v>
      </c>
    </row>
    <row r="111" spans="1:40" ht="15.75">
      <c r="A111" s="44" t="s">
        <v>210</v>
      </c>
      <c r="B111" s="74">
        <f t="shared" si="15"/>
        <v>3748</v>
      </c>
      <c r="C111" s="97">
        <f t="shared" si="16"/>
        <v>394</v>
      </c>
      <c r="D111" s="75">
        <f t="shared" si="17"/>
        <v>13192.137900000002</v>
      </c>
      <c r="E111" s="266">
        <f t="shared" si="18"/>
        <v>8787.4311000000016</v>
      </c>
      <c r="F111" s="76">
        <f t="shared" si="19"/>
        <v>4404.7068000000008</v>
      </c>
      <c r="G111" s="93">
        <f t="shared" si="25"/>
        <v>1.15E-2</v>
      </c>
      <c r="H111" s="94">
        <f t="shared" si="25"/>
        <v>3.1849681071945923</v>
      </c>
      <c r="I111" s="276">
        <f>(I195-32)/180*100</f>
        <v>26.111111111111114</v>
      </c>
      <c r="J111" s="276">
        <f>(J195-32)/180*100</f>
        <v>25.111111111111111</v>
      </c>
      <c r="K111" s="276">
        <v>19.84</v>
      </c>
      <c r="L111" s="279">
        <f t="shared" si="22"/>
        <v>1.6899999999999998E-2</v>
      </c>
      <c r="M111" s="642">
        <f t="shared" si="20"/>
        <v>1.23E-2</v>
      </c>
      <c r="N111" s="432">
        <f t="shared" si="21"/>
        <v>101593.51037732697</v>
      </c>
    </row>
    <row r="112" spans="1:40" ht="15.75">
      <c r="A112" s="45" t="s">
        <v>211</v>
      </c>
      <c r="B112" s="81">
        <f t="shared" si="15"/>
        <v>3880</v>
      </c>
      <c r="C112" s="64">
        <f t="shared" si="16"/>
        <v>407</v>
      </c>
      <c r="D112" s="83">
        <f t="shared" si="17"/>
        <v>13754.3037</v>
      </c>
      <c r="E112" s="85">
        <f t="shared" si="18"/>
        <v>8799.7412999999997</v>
      </c>
      <c r="F112" s="85">
        <f t="shared" si="19"/>
        <v>4954.5624000000007</v>
      </c>
      <c r="G112" s="98">
        <f t="shared" si="25"/>
        <v>1.17E-2</v>
      </c>
      <c r="H112" s="99">
        <f t="shared" si="25"/>
        <v>3.2083750174947516</v>
      </c>
      <c r="I112" s="280">
        <f>(I196-32)/180*100</f>
        <v>26.111111111111114</v>
      </c>
      <c r="J112" s="280">
        <f>(J196-32)/180*100</f>
        <v>25.111111111111111</v>
      </c>
      <c r="K112" s="280">
        <v>20.059999999999999</v>
      </c>
      <c r="L112" s="279">
        <f t="shared" si="22"/>
        <v>1.78E-2</v>
      </c>
      <c r="M112" s="642">
        <f t="shared" si="20"/>
        <v>1.26E-2</v>
      </c>
      <c r="N112" s="432">
        <f t="shared" si="21"/>
        <v>101593.51037732697</v>
      </c>
    </row>
    <row r="115" spans="1:12">
      <c r="A115" s="41"/>
      <c r="B115" s="41" t="s">
        <v>212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</row>
    <row r="116" spans="1:12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7"/>
    </row>
    <row r="117" spans="1:12">
      <c r="A117" s="44"/>
      <c r="B117" s="741" t="s">
        <v>143</v>
      </c>
      <c r="C117" s="742"/>
      <c r="D117" s="742"/>
      <c r="E117" s="743"/>
      <c r="F117" s="44" t="s">
        <v>144</v>
      </c>
      <c r="G117" s="120"/>
      <c r="I117" s="51" t="s">
        <v>361</v>
      </c>
      <c r="J117" s="88"/>
      <c r="K117" s="41"/>
      <c r="L117" s="43"/>
    </row>
    <row r="118" spans="1:12">
      <c r="A118" s="44" t="s">
        <v>213</v>
      </c>
      <c r="B118" s="51" t="s">
        <v>4</v>
      </c>
      <c r="C118" s="252" t="s">
        <v>5</v>
      </c>
      <c r="D118" s="49" t="s">
        <v>84</v>
      </c>
      <c r="E118" s="49" t="s">
        <v>85</v>
      </c>
      <c r="F118" s="51" t="s">
        <v>4</v>
      </c>
      <c r="G118" s="252" t="s">
        <v>6</v>
      </c>
      <c r="H118" s="49" t="s">
        <v>7</v>
      </c>
      <c r="I118" s="51" t="s">
        <v>372</v>
      </c>
      <c r="J118" s="89" t="s">
        <v>150</v>
      </c>
      <c r="K118" s="263" t="s">
        <v>151</v>
      </c>
      <c r="L118" s="91" t="s">
        <v>152</v>
      </c>
    </row>
    <row r="119" spans="1:12">
      <c r="A119" s="45"/>
      <c r="B119" s="52" t="s">
        <v>156</v>
      </c>
      <c r="C119" s="53" t="s">
        <v>156</v>
      </c>
      <c r="D119" s="53" t="s">
        <v>156</v>
      </c>
      <c r="E119" s="53" t="s">
        <v>156</v>
      </c>
      <c r="F119" s="52" t="s">
        <v>156</v>
      </c>
      <c r="G119" s="53" t="s">
        <v>156</v>
      </c>
      <c r="H119" s="53" t="s">
        <v>156</v>
      </c>
      <c r="I119" s="52" t="s">
        <v>157</v>
      </c>
      <c r="J119" s="92"/>
      <c r="K119" s="52" t="s">
        <v>11</v>
      </c>
      <c r="L119" s="54" t="s">
        <v>11</v>
      </c>
    </row>
    <row r="120" spans="1:12" ht="15.75">
      <c r="A120" s="100" t="s">
        <v>214</v>
      </c>
      <c r="B120" s="75">
        <f>(C120+D120+E120)</f>
        <v>3975.1666666666665</v>
      </c>
      <c r="C120" s="266">
        <f>C204/24-D120</f>
        <v>3119.6666666666665</v>
      </c>
      <c r="D120" s="76">
        <f>D204/24</f>
        <v>389.08333333333331</v>
      </c>
      <c r="E120" s="116">
        <f>E204/24</f>
        <v>466.41666666666669</v>
      </c>
      <c r="F120" s="75">
        <f>F204*0.2931/24</f>
        <v>13732.907400000002</v>
      </c>
      <c r="G120" s="266">
        <f>F120-H120</f>
        <v>9925.0254750000022</v>
      </c>
      <c r="H120" s="76">
        <f>H204*0.2931/24</f>
        <v>3807.8819250000001</v>
      </c>
      <c r="I120" s="93">
        <f>I204</f>
        <v>1.0999999999999999E-2</v>
      </c>
      <c r="J120" s="94">
        <f>J204</f>
        <v>3.9139030708941935</v>
      </c>
      <c r="K120" s="281">
        <f>(K204-32)/180*100</f>
        <v>16.833333333333332</v>
      </c>
      <c r="L120" s="282">
        <f>(L204-32)/180*100</f>
        <v>24.944444444444446</v>
      </c>
    </row>
    <row r="121" spans="1:12" ht="15.75">
      <c r="A121" s="101" t="s">
        <v>215</v>
      </c>
      <c r="B121" s="83">
        <f>(C121+D121+E121)</f>
        <v>5204.083333333333</v>
      </c>
      <c r="C121" s="85">
        <f>C205/24-D121</f>
        <v>4263.416666666667</v>
      </c>
      <c r="D121" s="85">
        <f>D205/24</f>
        <v>426.33333333333331</v>
      </c>
      <c r="E121" s="283">
        <f>E205/24</f>
        <v>514.33333333333337</v>
      </c>
      <c r="F121" s="83">
        <f>F205*0.2931/24</f>
        <v>13837.385337500002</v>
      </c>
      <c r="G121" s="85">
        <f>F121-H121</f>
        <v>9981.0930625000019</v>
      </c>
      <c r="H121" s="85">
        <f>H205*0.2931/24</f>
        <v>3856.2922750000002</v>
      </c>
      <c r="I121" s="98">
        <f>I205</f>
        <v>1.15E-2</v>
      </c>
      <c r="J121" s="99">
        <f>J205</f>
        <v>2.9505592702169627</v>
      </c>
      <c r="K121" s="284">
        <f>(K205-32)/180*100</f>
        <v>29.5</v>
      </c>
      <c r="L121" s="285">
        <f>(L205-32)/180*100</f>
        <v>25</v>
      </c>
    </row>
    <row r="124" spans="1:12">
      <c r="A124" s="41"/>
      <c r="B124" s="41" t="s">
        <v>216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3"/>
    </row>
    <row r="125" spans="1:12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7"/>
    </row>
    <row r="126" spans="1:12">
      <c r="A126" s="44"/>
      <c r="B126" s="741" t="s">
        <v>143</v>
      </c>
      <c r="C126" s="742"/>
      <c r="D126" s="742"/>
      <c r="E126" s="743"/>
      <c r="F126" s="44" t="s">
        <v>144</v>
      </c>
      <c r="G126" s="120"/>
      <c r="I126" s="51" t="s">
        <v>361</v>
      </c>
      <c r="J126" s="88"/>
      <c r="K126" s="41"/>
      <c r="L126" s="43"/>
    </row>
    <row r="127" spans="1:12">
      <c r="A127" s="44" t="s">
        <v>213</v>
      </c>
      <c r="B127" s="51" t="s">
        <v>4</v>
      </c>
      <c r="C127" s="252" t="s">
        <v>5</v>
      </c>
      <c r="D127" s="49" t="s">
        <v>84</v>
      </c>
      <c r="E127" s="49" t="s">
        <v>85</v>
      </c>
      <c r="F127" s="51" t="s">
        <v>4</v>
      </c>
      <c r="G127" s="252" t="s">
        <v>6</v>
      </c>
      <c r="H127" s="49" t="s">
        <v>7</v>
      </c>
      <c r="I127" s="51" t="s">
        <v>372</v>
      </c>
      <c r="J127" s="89" t="s">
        <v>150</v>
      </c>
      <c r="K127" s="263" t="s">
        <v>151</v>
      </c>
      <c r="L127" s="91" t="s">
        <v>152</v>
      </c>
    </row>
    <row r="128" spans="1:12">
      <c r="A128" s="45"/>
      <c r="B128" s="52" t="s">
        <v>156</v>
      </c>
      <c r="C128" s="53" t="s">
        <v>156</v>
      </c>
      <c r="D128" s="53" t="s">
        <v>156</v>
      </c>
      <c r="E128" s="53" t="s">
        <v>156</v>
      </c>
      <c r="F128" s="52" t="s">
        <v>156</v>
      </c>
      <c r="G128" s="53" t="s">
        <v>156</v>
      </c>
      <c r="H128" s="53" t="s">
        <v>156</v>
      </c>
      <c r="I128" s="52" t="s">
        <v>157</v>
      </c>
      <c r="J128" s="92"/>
      <c r="K128" s="52" t="s">
        <v>11</v>
      </c>
      <c r="L128" s="54" t="s">
        <v>11</v>
      </c>
    </row>
    <row r="129" spans="1:40" ht="15.75">
      <c r="A129" s="100" t="s">
        <v>214</v>
      </c>
      <c r="B129" s="75">
        <f>(C129+D129+E129)</f>
        <v>3061.7916666666665</v>
      </c>
      <c r="C129" s="266">
        <f>C213/24-D129</f>
        <v>2389.9166666666665</v>
      </c>
      <c r="D129" s="76">
        <f>D213/24</f>
        <v>311.125</v>
      </c>
      <c r="E129" s="116">
        <f>E213/24</f>
        <v>360.75</v>
      </c>
      <c r="F129" s="75">
        <f>F213*0.2931/24</f>
        <v>9721.3942500000012</v>
      </c>
      <c r="G129" s="266">
        <f>F129-H129</f>
        <v>9721.3942500000012</v>
      </c>
      <c r="H129" s="76">
        <f>H213*0.2931/24</f>
        <v>0</v>
      </c>
      <c r="I129" s="93">
        <f>I213</f>
        <v>7.1000000000000004E-3</v>
      </c>
      <c r="J129" s="94">
        <f>J213</f>
        <v>3.5991278364828387</v>
      </c>
      <c r="K129" s="281">
        <f>(K213-32)/180*100</f>
        <v>16.833333333333332</v>
      </c>
      <c r="L129" s="282">
        <f>(L213-32)/180*100</f>
        <v>24.666666666666671</v>
      </c>
    </row>
    <row r="130" spans="1:40" ht="15.75">
      <c r="A130" s="101" t="s">
        <v>215</v>
      </c>
      <c r="B130" s="83">
        <f>(C130+D130+E130)</f>
        <v>3978.0833333333335</v>
      </c>
      <c r="C130" s="85">
        <f>C214/24-D130</f>
        <v>3242.9583333333335</v>
      </c>
      <c r="D130" s="85">
        <f>D214/24</f>
        <v>339.625</v>
      </c>
      <c r="E130" s="283">
        <f>E214/24</f>
        <v>395.5</v>
      </c>
      <c r="F130" s="83">
        <f>F214*0.2931/24</f>
        <v>9760.6940750000012</v>
      </c>
      <c r="G130" s="85">
        <f>F130-H130</f>
        <v>9760.6696500000016</v>
      </c>
      <c r="H130" s="85">
        <f>H214*0.2931/24</f>
        <v>2.4425000000000002E-2</v>
      </c>
      <c r="I130" s="98">
        <f>I214</f>
        <v>7.7999999999999996E-3</v>
      </c>
      <c r="J130" s="99">
        <f>J214</f>
        <v>2.7244848665999863</v>
      </c>
      <c r="K130" s="284">
        <f>(K214-32)/180*100</f>
        <v>29.5</v>
      </c>
      <c r="L130" s="285">
        <f>(L214-32)/180*100</f>
        <v>24.944444444444446</v>
      </c>
    </row>
    <row r="137" spans="1:40">
      <c r="A137" t="s">
        <v>217</v>
      </c>
    </row>
    <row r="138" spans="1:40" ht="15.75">
      <c r="A138" s="71" t="s">
        <v>465</v>
      </c>
    </row>
    <row r="139" spans="1:40" ht="15.75">
      <c r="K139" s="71" t="s">
        <v>218</v>
      </c>
    </row>
    <row r="140" spans="1:40" ht="15.75">
      <c r="A140" s="286"/>
      <c r="B140" s="286"/>
      <c r="C140" s="287"/>
      <c r="D140" s="287" t="s">
        <v>80</v>
      </c>
      <c r="E140" s="287"/>
      <c r="F140" s="287"/>
      <c r="G140" s="287"/>
      <c r="H140" s="287"/>
      <c r="I140" s="286" t="s">
        <v>81</v>
      </c>
      <c r="J140" s="287"/>
      <c r="K140" s="287"/>
      <c r="L140" s="287"/>
      <c r="M140" s="286" t="s">
        <v>357</v>
      </c>
      <c r="N140" s="288"/>
      <c r="O140" s="289"/>
      <c r="P140" s="286"/>
      <c r="Q140" s="290" t="s">
        <v>358</v>
      </c>
      <c r="R140" s="291"/>
      <c r="S140" s="291"/>
      <c r="T140" s="291"/>
      <c r="U140" s="291"/>
      <c r="V140" s="291"/>
      <c r="W140" s="287"/>
      <c r="X140" s="287"/>
      <c r="Y140" s="287"/>
      <c r="Z140" s="287"/>
      <c r="AA140" s="287"/>
      <c r="AB140" s="288"/>
      <c r="AC140" s="286"/>
      <c r="AD140" s="287" t="s">
        <v>359</v>
      </c>
      <c r="AE140" s="287"/>
      <c r="AF140" s="287"/>
      <c r="AG140" s="287"/>
      <c r="AH140" s="288"/>
      <c r="AI140" s="292"/>
      <c r="AJ140" s="292"/>
      <c r="AK140" s="292"/>
      <c r="AL140" s="292"/>
      <c r="AM140" s="292"/>
      <c r="AN140" s="292"/>
    </row>
    <row r="141" spans="1:40" ht="15.75">
      <c r="A141" s="293"/>
      <c r="B141" s="294"/>
      <c r="C141" s="295"/>
      <c r="D141" s="295"/>
      <c r="E141" s="295"/>
      <c r="F141" s="295"/>
      <c r="G141" s="295"/>
      <c r="H141" s="295"/>
      <c r="I141" s="294"/>
      <c r="J141" s="295"/>
      <c r="K141" s="295"/>
      <c r="L141" s="295"/>
      <c r="M141" s="294" t="s">
        <v>360</v>
      </c>
      <c r="N141" s="296"/>
      <c r="O141" s="297"/>
      <c r="P141" s="293"/>
      <c r="Q141" s="294"/>
      <c r="R141" s="295"/>
      <c r="S141" s="295"/>
      <c r="T141" s="295"/>
      <c r="U141" s="295"/>
      <c r="V141" s="295"/>
      <c r="W141" s="295"/>
      <c r="X141" s="295"/>
      <c r="Y141" s="295"/>
      <c r="Z141" s="295"/>
      <c r="AA141" s="295"/>
      <c r="AB141" s="296"/>
      <c r="AC141" s="294"/>
      <c r="AD141" s="295"/>
      <c r="AE141" s="295"/>
      <c r="AF141" s="295"/>
      <c r="AG141" s="295"/>
      <c r="AH141" s="296"/>
      <c r="AI141" s="292"/>
      <c r="AJ141" s="292"/>
      <c r="AK141" s="292"/>
      <c r="AL141" s="292"/>
      <c r="AM141" s="292"/>
      <c r="AN141" s="292"/>
    </row>
    <row r="142" spans="1:40" ht="15.75">
      <c r="A142" s="293"/>
      <c r="B142" s="293"/>
      <c r="C142" s="298"/>
      <c r="D142" s="298"/>
      <c r="E142" s="298"/>
      <c r="F142" s="298"/>
      <c r="G142" s="298"/>
      <c r="H142" s="298"/>
      <c r="I142" s="293"/>
      <c r="J142" s="298"/>
      <c r="K142" s="299" t="s">
        <v>361</v>
      </c>
      <c r="L142" s="299" t="s">
        <v>361</v>
      </c>
      <c r="M142" s="293"/>
      <c r="N142" s="300" t="s">
        <v>362</v>
      </c>
      <c r="O142" s="301"/>
      <c r="P142" s="293"/>
      <c r="Q142" s="286"/>
      <c r="R142" s="287"/>
      <c r="S142" s="288"/>
      <c r="T142" s="298"/>
      <c r="U142" s="298"/>
      <c r="V142" s="298"/>
      <c r="W142" s="298"/>
      <c r="X142" s="298"/>
      <c r="Y142" s="298"/>
      <c r="Z142" s="298"/>
      <c r="AA142" s="298"/>
      <c r="AB142" s="302"/>
      <c r="AC142" s="292"/>
      <c r="AD142" s="292" t="s">
        <v>363</v>
      </c>
      <c r="AE142" s="292"/>
      <c r="AF142" s="292"/>
      <c r="AG142" s="292"/>
      <c r="AH142" s="288"/>
      <c r="AI142" s="292"/>
      <c r="AJ142" s="292"/>
      <c r="AK142" s="292"/>
      <c r="AL142" s="292"/>
      <c r="AM142" s="292"/>
      <c r="AN142" s="292"/>
    </row>
    <row r="143" spans="1:40" ht="15.75">
      <c r="A143" s="293"/>
      <c r="B143" s="293" t="s">
        <v>364</v>
      </c>
      <c r="C143" s="298"/>
      <c r="D143" s="292"/>
      <c r="E143" s="292"/>
      <c r="F143" s="293" t="s">
        <v>365</v>
      </c>
      <c r="G143" s="298"/>
      <c r="H143" s="292"/>
      <c r="I143" s="293"/>
      <c r="J143" s="292"/>
      <c r="K143" s="303" t="s">
        <v>2</v>
      </c>
      <c r="L143" s="303" t="s">
        <v>82</v>
      </c>
      <c r="M143" s="293"/>
      <c r="N143" s="300" t="s">
        <v>2</v>
      </c>
      <c r="O143" s="301"/>
      <c r="P143" s="293"/>
      <c r="Q143" s="304" t="s">
        <v>366</v>
      </c>
      <c r="R143" s="298"/>
      <c r="S143" s="302"/>
      <c r="T143" s="298"/>
      <c r="U143" s="292"/>
      <c r="V143" s="292" t="s">
        <v>83</v>
      </c>
      <c r="W143" s="292"/>
      <c r="X143" s="292"/>
      <c r="Y143" s="292"/>
      <c r="Z143" s="292"/>
      <c r="AA143" s="292"/>
      <c r="AB143" s="302"/>
      <c r="AC143" s="292"/>
      <c r="AD143" s="292"/>
      <c r="AE143" s="302"/>
      <c r="AF143" s="292"/>
      <c r="AG143" s="292"/>
      <c r="AH143" s="302"/>
      <c r="AI143" s="292"/>
      <c r="AJ143" s="292"/>
      <c r="AK143" s="292"/>
      <c r="AL143" s="292"/>
      <c r="AM143" s="292"/>
      <c r="AN143" s="292"/>
    </row>
    <row r="144" spans="1:40" ht="15.75">
      <c r="A144" s="293" t="s">
        <v>3</v>
      </c>
      <c r="B144" s="305" t="s">
        <v>4</v>
      </c>
      <c r="C144" s="51" t="s">
        <v>219</v>
      </c>
      <c r="D144" s="303" t="s">
        <v>84</v>
      </c>
      <c r="E144" s="303" t="s">
        <v>85</v>
      </c>
      <c r="F144" s="305" t="s">
        <v>4</v>
      </c>
      <c r="G144" s="299" t="s">
        <v>6</v>
      </c>
      <c r="H144" s="303" t="s">
        <v>7</v>
      </c>
      <c r="I144" s="305" t="s">
        <v>86</v>
      </c>
      <c r="J144" s="303" t="s">
        <v>8</v>
      </c>
      <c r="K144" s="303" t="s">
        <v>9</v>
      </c>
      <c r="L144" s="303" t="s">
        <v>2</v>
      </c>
      <c r="M144" s="305" t="s">
        <v>151</v>
      </c>
      <c r="N144" s="300" t="s">
        <v>9</v>
      </c>
      <c r="O144" s="301"/>
      <c r="P144" s="293" t="s">
        <v>3</v>
      </c>
      <c r="Q144" s="293" t="s">
        <v>87</v>
      </c>
      <c r="R144" s="292"/>
      <c r="S144" s="292"/>
      <c r="T144" s="293"/>
      <c r="U144" s="303" t="s">
        <v>6</v>
      </c>
      <c r="V144" s="292"/>
      <c r="W144" s="293"/>
      <c r="X144" s="303" t="s">
        <v>7</v>
      </c>
      <c r="Y144" s="292"/>
      <c r="Z144" s="293" t="s">
        <v>88</v>
      </c>
      <c r="AA144" s="292"/>
      <c r="AB144" s="302"/>
      <c r="AC144" s="292"/>
      <c r="AD144" s="292" t="s">
        <v>367</v>
      </c>
      <c r="AE144" s="302"/>
      <c r="AF144" s="292" t="s">
        <v>368</v>
      </c>
      <c r="AG144" s="292"/>
      <c r="AH144" s="302"/>
      <c r="AI144" s="292"/>
      <c r="AJ144" s="292"/>
      <c r="AK144" s="292"/>
      <c r="AL144" s="292"/>
      <c r="AM144" s="292"/>
      <c r="AN144" s="292"/>
    </row>
    <row r="145" spans="1:40" ht="15.75">
      <c r="A145" s="294"/>
      <c r="B145" s="306" t="s">
        <v>10</v>
      </c>
      <c r="C145" s="307" t="s">
        <v>10</v>
      </c>
      <c r="D145" s="307" t="s">
        <v>10</v>
      </c>
      <c r="E145" s="307" t="s">
        <v>10</v>
      </c>
      <c r="F145" s="52" t="s">
        <v>221</v>
      </c>
      <c r="G145" s="52" t="s">
        <v>221</v>
      </c>
      <c r="H145" s="53" t="s">
        <v>221</v>
      </c>
      <c r="I145" s="294"/>
      <c r="J145" s="307" t="s">
        <v>222</v>
      </c>
      <c r="K145" s="307" t="s">
        <v>22</v>
      </c>
      <c r="L145" s="307" t="s">
        <v>89</v>
      </c>
      <c r="M145" s="306" t="s">
        <v>222</v>
      </c>
      <c r="N145" s="308" t="s">
        <v>22</v>
      </c>
      <c r="O145" s="309"/>
      <c r="P145" s="294"/>
      <c r="Q145" s="306" t="s">
        <v>90</v>
      </c>
      <c r="R145" s="307" t="s">
        <v>77</v>
      </c>
      <c r="S145" s="307" t="s">
        <v>78</v>
      </c>
      <c r="T145" s="472" t="s">
        <v>466</v>
      </c>
      <c r="U145" s="307" t="s">
        <v>77</v>
      </c>
      <c r="V145" s="307" t="s">
        <v>78</v>
      </c>
      <c r="W145" s="472" t="s">
        <v>466</v>
      </c>
      <c r="X145" s="307" t="s">
        <v>77</v>
      </c>
      <c r="Y145" s="307" t="s">
        <v>78</v>
      </c>
      <c r="Z145" s="472" t="s">
        <v>466</v>
      </c>
      <c r="AA145" s="307" t="s">
        <v>77</v>
      </c>
      <c r="AB145" s="308" t="s">
        <v>78</v>
      </c>
      <c r="AC145" s="306" t="s">
        <v>225</v>
      </c>
      <c r="AD145" s="307" t="s">
        <v>77</v>
      </c>
      <c r="AE145" s="308" t="s">
        <v>78</v>
      </c>
      <c r="AF145" s="307" t="s">
        <v>30</v>
      </c>
      <c r="AG145" s="307" t="s">
        <v>77</v>
      </c>
      <c r="AH145" s="308" t="s">
        <v>78</v>
      </c>
      <c r="AI145" s="292"/>
      <c r="AJ145" s="292"/>
      <c r="AK145" s="292"/>
      <c r="AL145" s="292"/>
      <c r="AM145" s="292"/>
      <c r="AN145" s="292"/>
    </row>
    <row r="146" spans="1:40" ht="15.75">
      <c r="A146" s="293" t="s">
        <v>91</v>
      </c>
      <c r="B146" s="74"/>
      <c r="C146" s="310">
        <v>23875</v>
      </c>
      <c r="D146" s="60">
        <v>2302</v>
      </c>
      <c r="E146" s="60">
        <v>10880</v>
      </c>
      <c r="F146" s="75">
        <v>263705</v>
      </c>
      <c r="G146" s="292"/>
      <c r="H146" s="76">
        <v>73310</v>
      </c>
      <c r="I146" s="77">
        <f>(F146)*0.2931/(C146)</f>
        <v>3.2373585549738224</v>
      </c>
      <c r="J146" s="61">
        <v>75.3</v>
      </c>
      <c r="K146" s="60">
        <v>9.1999999999999998E-3</v>
      </c>
      <c r="L146" s="78">
        <v>48.28</v>
      </c>
      <c r="M146" s="254">
        <v>67.8</v>
      </c>
      <c r="N146" s="255">
        <v>1.1599999999999999E-2</v>
      </c>
      <c r="O146" s="97"/>
      <c r="P146" s="293" t="s">
        <v>91</v>
      </c>
      <c r="Q146" s="75">
        <v>11602</v>
      </c>
      <c r="R146" s="80">
        <v>37457</v>
      </c>
      <c r="S146" s="60">
        <v>15</v>
      </c>
      <c r="T146" s="75">
        <v>23205</v>
      </c>
      <c r="U146" s="80">
        <v>37457</v>
      </c>
      <c r="V146" s="60">
        <v>15</v>
      </c>
      <c r="W146" s="75">
        <v>9394</v>
      </c>
      <c r="X146" s="80">
        <v>37137</v>
      </c>
      <c r="Y146" s="60">
        <v>15</v>
      </c>
      <c r="Z146" s="74">
        <v>31455</v>
      </c>
      <c r="AA146" s="80">
        <v>37092</v>
      </c>
      <c r="AB146" s="79">
        <v>15</v>
      </c>
      <c r="AC146" s="256">
        <v>95</v>
      </c>
      <c r="AD146" s="312">
        <v>37457</v>
      </c>
      <c r="AE146" s="258">
        <v>15</v>
      </c>
      <c r="AF146" s="257">
        <v>2.2499999999999999E-2</v>
      </c>
      <c r="AG146" s="312">
        <v>37531</v>
      </c>
      <c r="AH146" s="258">
        <v>9</v>
      </c>
      <c r="AI146" s="292"/>
      <c r="AJ146" s="292"/>
      <c r="AK146" s="292"/>
      <c r="AL146" s="292"/>
      <c r="AM146" s="292"/>
      <c r="AN146" s="292"/>
    </row>
    <row r="147" spans="1:40" ht="15.75">
      <c r="A147" s="293" t="s">
        <v>96</v>
      </c>
      <c r="B147" s="74"/>
      <c r="C147" s="97">
        <v>28504</v>
      </c>
      <c r="D147" s="60">
        <v>2687</v>
      </c>
      <c r="E147" s="60">
        <v>10880</v>
      </c>
      <c r="F147" s="74">
        <v>332351</v>
      </c>
      <c r="G147" s="292"/>
      <c r="H147" s="60">
        <v>140223</v>
      </c>
      <c r="I147" s="77">
        <f t="shared" ref="I147:I166" si="27">(F147)*0.2931/(C147)</f>
        <v>3.4174880051922543</v>
      </c>
      <c r="J147" s="61">
        <v>75.3</v>
      </c>
      <c r="K147" s="60">
        <v>1.1299999999999999E-2</v>
      </c>
      <c r="L147" s="78">
        <v>58.53</v>
      </c>
      <c r="M147" s="74"/>
      <c r="N147" s="60"/>
      <c r="O147" s="60"/>
      <c r="P147" s="293" t="s">
        <v>96</v>
      </c>
      <c r="Q147" s="74">
        <v>12595</v>
      </c>
      <c r="R147" s="80">
        <v>37457</v>
      </c>
      <c r="S147" s="60">
        <v>15</v>
      </c>
      <c r="T147" s="74">
        <v>23119</v>
      </c>
      <c r="U147" s="80">
        <v>38142</v>
      </c>
      <c r="V147" s="60">
        <v>16</v>
      </c>
      <c r="W147" s="74">
        <v>15270</v>
      </c>
      <c r="X147" s="80">
        <v>37137</v>
      </c>
      <c r="Y147" s="60">
        <v>15</v>
      </c>
      <c r="Z147" s="74">
        <v>37033</v>
      </c>
      <c r="AA147" s="80">
        <v>38233</v>
      </c>
      <c r="AB147" s="79">
        <v>16</v>
      </c>
      <c r="AC147" t="s">
        <v>388</v>
      </c>
      <c r="AF147" t="s">
        <v>389</v>
      </c>
      <c r="AH147" s="292"/>
      <c r="AI147" s="292"/>
      <c r="AJ147" s="292"/>
      <c r="AK147" s="292"/>
      <c r="AL147" s="292"/>
      <c r="AM147" s="292"/>
      <c r="AN147" s="292"/>
    </row>
    <row r="148" spans="1:40" ht="15.75">
      <c r="A148" s="293" t="s">
        <v>98</v>
      </c>
      <c r="B148" s="74"/>
      <c r="C148" s="97">
        <v>27912</v>
      </c>
      <c r="D148" s="60">
        <v>2618</v>
      </c>
      <c r="E148" s="60">
        <v>10880</v>
      </c>
      <c r="F148" s="74">
        <v>329216</v>
      </c>
      <c r="G148" s="292"/>
      <c r="H148" s="60">
        <v>115136</v>
      </c>
      <c r="I148" s="77">
        <f t="shared" si="27"/>
        <v>3.4570510748065351</v>
      </c>
      <c r="J148" s="61">
        <v>75.900000000000006</v>
      </c>
      <c r="K148" s="60">
        <v>1.01E-2</v>
      </c>
      <c r="L148" s="78">
        <v>51.25</v>
      </c>
      <c r="M148" s="74"/>
      <c r="N148" s="60"/>
      <c r="O148" s="60"/>
      <c r="P148" s="293" t="s">
        <v>98</v>
      </c>
      <c r="Q148" s="75">
        <v>12981</v>
      </c>
      <c r="R148" s="80">
        <v>37457</v>
      </c>
      <c r="S148" s="60">
        <v>15</v>
      </c>
      <c r="T148" s="75">
        <v>31072</v>
      </c>
      <c r="U148" s="80">
        <v>37370</v>
      </c>
      <c r="V148" s="60">
        <v>16</v>
      </c>
      <c r="W148" s="74">
        <v>31503</v>
      </c>
      <c r="X148" s="80">
        <v>37531</v>
      </c>
      <c r="Y148" s="79">
        <v>9</v>
      </c>
      <c r="Z148" s="74">
        <v>53823</v>
      </c>
      <c r="AA148" s="80">
        <v>37531</v>
      </c>
      <c r="AB148" s="79">
        <v>9</v>
      </c>
      <c r="AC148" s="292"/>
      <c r="AD148" s="292"/>
      <c r="AE148" s="292"/>
      <c r="AF148" s="292"/>
      <c r="AG148" s="292"/>
      <c r="AH148" s="292"/>
      <c r="AI148" s="292"/>
      <c r="AJ148" s="292"/>
      <c r="AK148" s="292"/>
      <c r="AL148" s="292"/>
      <c r="AM148" s="292"/>
      <c r="AN148" s="292"/>
    </row>
    <row r="149" spans="1:40" ht="15.75">
      <c r="A149" s="293" t="s">
        <v>102</v>
      </c>
      <c r="B149" s="74"/>
      <c r="C149" s="97">
        <v>28558</v>
      </c>
      <c r="D149" s="60">
        <v>2633</v>
      </c>
      <c r="E149" s="60">
        <v>10880</v>
      </c>
      <c r="F149" s="74">
        <v>344570</v>
      </c>
      <c r="G149" s="292"/>
      <c r="H149" s="60">
        <v>128508</v>
      </c>
      <c r="I149" s="77">
        <f t="shared" si="27"/>
        <v>3.5364334687303032</v>
      </c>
      <c r="J149" s="61">
        <v>75.7</v>
      </c>
      <c r="K149" s="60">
        <v>9.9000000000000008E-3</v>
      </c>
      <c r="L149" s="78">
        <v>50.65</v>
      </c>
      <c r="M149" s="74"/>
      <c r="N149" s="60"/>
      <c r="O149" s="60"/>
      <c r="P149" s="293" t="s">
        <v>102</v>
      </c>
      <c r="Q149" s="75">
        <v>13407</v>
      </c>
      <c r="R149" s="80">
        <v>37457</v>
      </c>
      <c r="S149" s="60">
        <v>15</v>
      </c>
      <c r="T149" s="75">
        <v>34490</v>
      </c>
      <c r="U149" s="80">
        <v>37421</v>
      </c>
      <c r="V149" s="60">
        <v>15</v>
      </c>
      <c r="W149" s="74">
        <v>40809</v>
      </c>
      <c r="X149" s="80">
        <v>37531</v>
      </c>
      <c r="Y149" s="79">
        <v>9</v>
      </c>
      <c r="Z149" s="74">
        <v>64572</v>
      </c>
      <c r="AA149" s="80">
        <v>37531</v>
      </c>
      <c r="AB149" s="79">
        <v>9</v>
      </c>
      <c r="AC149" s="292"/>
      <c r="AD149" s="292"/>
      <c r="AE149" s="292"/>
      <c r="AF149" s="292"/>
      <c r="AG149" s="292"/>
      <c r="AH149" s="292"/>
      <c r="AI149" s="292"/>
      <c r="AJ149" s="292"/>
      <c r="AK149" s="292"/>
      <c r="AL149" s="292"/>
      <c r="AM149" s="292"/>
      <c r="AN149" s="292"/>
    </row>
    <row r="150" spans="1:40" ht="15.75">
      <c r="A150" s="293" t="s">
        <v>356</v>
      </c>
      <c r="B150" s="74"/>
      <c r="C150" s="97">
        <v>28385</v>
      </c>
      <c r="D150" s="60">
        <v>2640</v>
      </c>
      <c r="E150" s="60">
        <v>10880</v>
      </c>
      <c r="F150" s="97">
        <v>338530</v>
      </c>
      <c r="G150" s="292"/>
      <c r="H150" s="60">
        <v>123209</v>
      </c>
      <c r="I150" s="77">
        <f>(F150)*0.2931/(C150)</f>
        <v>3.4956189184428399</v>
      </c>
      <c r="J150" s="60">
        <v>75.7</v>
      </c>
      <c r="K150" s="60">
        <v>9.9000000000000008E-3</v>
      </c>
      <c r="L150" s="78">
        <v>50.73</v>
      </c>
      <c r="M150" s="74"/>
      <c r="N150" s="60"/>
      <c r="O150" s="60"/>
      <c r="P150" s="293" t="s">
        <v>356</v>
      </c>
      <c r="Q150" s="75">
        <v>13190</v>
      </c>
      <c r="R150" s="80">
        <v>37457</v>
      </c>
      <c r="S150" s="60">
        <v>15</v>
      </c>
      <c r="T150" s="75">
        <v>32086</v>
      </c>
      <c r="U150" s="80">
        <v>37392</v>
      </c>
      <c r="V150" s="60">
        <v>16</v>
      </c>
      <c r="W150" s="432">
        <v>36011</v>
      </c>
      <c r="X150" s="80">
        <v>37531</v>
      </c>
      <c r="Y150" s="79">
        <v>9</v>
      </c>
      <c r="Z150" s="432">
        <v>59549</v>
      </c>
      <c r="AA150" s="80">
        <v>37531</v>
      </c>
      <c r="AB150" s="79">
        <v>9</v>
      </c>
      <c r="AC150" s="292"/>
      <c r="AD150" s="292"/>
      <c r="AE150" s="292"/>
      <c r="AF150" s="292"/>
      <c r="AG150" s="292"/>
      <c r="AH150" s="292"/>
      <c r="AI150" s="292"/>
      <c r="AJ150" s="292"/>
      <c r="AK150" s="292"/>
      <c r="AL150" s="292"/>
      <c r="AM150" s="292"/>
      <c r="AN150" s="292"/>
    </row>
    <row r="151" spans="1:40" ht="15.75">
      <c r="A151" s="293" t="s">
        <v>105</v>
      </c>
      <c r="B151" s="74"/>
      <c r="C151" s="97">
        <v>19668</v>
      </c>
      <c r="D151" s="60">
        <v>1867</v>
      </c>
      <c r="E151" s="60">
        <v>10880</v>
      </c>
      <c r="F151" s="74">
        <v>217109</v>
      </c>
      <c r="G151" s="292"/>
      <c r="H151" s="60">
        <v>54446</v>
      </c>
      <c r="I151" s="77">
        <f t="shared" si="27"/>
        <v>3.235440710799268</v>
      </c>
      <c r="J151" s="61">
        <v>79.099999999999994</v>
      </c>
      <c r="K151" s="63">
        <v>0.01</v>
      </c>
      <c r="L151" s="78">
        <v>45.55</v>
      </c>
      <c r="M151" s="74"/>
      <c r="N151" s="60"/>
      <c r="O151" s="60"/>
      <c r="P151" s="293" t="s">
        <v>105</v>
      </c>
      <c r="Q151" s="75">
        <v>11602</v>
      </c>
      <c r="R151" s="80">
        <v>37457</v>
      </c>
      <c r="S151" s="60">
        <v>15</v>
      </c>
      <c r="T151" s="75">
        <v>23205</v>
      </c>
      <c r="U151" s="80">
        <v>37457</v>
      </c>
      <c r="V151" s="60">
        <v>15</v>
      </c>
      <c r="W151" s="74">
        <v>9393</v>
      </c>
      <c r="X151" s="80">
        <v>37137</v>
      </c>
      <c r="Y151" s="60">
        <v>15</v>
      </c>
      <c r="Z151" s="74">
        <v>31454</v>
      </c>
      <c r="AA151" s="80">
        <v>37092</v>
      </c>
      <c r="AB151" s="79">
        <v>15</v>
      </c>
      <c r="AC151" s="292"/>
      <c r="AD151" s="292"/>
      <c r="AE151" s="292"/>
      <c r="AF151" s="292"/>
      <c r="AG151" s="292"/>
      <c r="AH151" s="292"/>
      <c r="AI151" s="292"/>
      <c r="AJ151" s="292"/>
      <c r="AK151" s="292"/>
      <c r="AL151" s="292"/>
      <c r="AM151" s="292"/>
      <c r="AN151" s="292"/>
    </row>
    <row r="152" spans="1:40" ht="15.75">
      <c r="A152" s="293" t="s">
        <v>108</v>
      </c>
      <c r="B152" s="74"/>
      <c r="C152" s="97">
        <v>43136</v>
      </c>
      <c r="D152" s="60">
        <v>4181</v>
      </c>
      <c r="E152" s="60">
        <v>10880</v>
      </c>
      <c r="F152" s="74">
        <v>545390</v>
      </c>
      <c r="G152" s="292"/>
      <c r="H152" s="60">
        <v>85002</v>
      </c>
      <c r="I152" s="77">
        <f t="shared" si="27"/>
        <v>3.705809741283383</v>
      </c>
      <c r="J152" s="61">
        <v>78</v>
      </c>
      <c r="K152" s="63">
        <v>8.6999999999999994E-3</v>
      </c>
      <c r="L152" s="78">
        <v>41.49</v>
      </c>
      <c r="M152" s="74"/>
      <c r="N152" s="60"/>
      <c r="O152" s="60"/>
      <c r="P152" s="293" t="s">
        <v>108</v>
      </c>
      <c r="Q152" s="75">
        <v>12726</v>
      </c>
      <c r="R152" s="80">
        <v>37457</v>
      </c>
      <c r="S152" s="60">
        <v>15</v>
      </c>
      <c r="T152" s="75">
        <v>32065</v>
      </c>
      <c r="U152" s="80">
        <v>38101</v>
      </c>
      <c r="V152" s="60">
        <v>16</v>
      </c>
      <c r="W152" s="74">
        <v>10336</v>
      </c>
      <c r="X152" s="80">
        <v>37531</v>
      </c>
      <c r="Y152" s="79">
        <v>9</v>
      </c>
      <c r="Z152" s="74">
        <v>41019</v>
      </c>
      <c r="AA152" s="80">
        <v>37531</v>
      </c>
      <c r="AB152" s="79">
        <v>9</v>
      </c>
      <c r="AC152" s="292"/>
      <c r="AD152" s="292"/>
      <c r="AE152" s="292"/>
      <c r="AF152" s="292"/>
      <c r="AG152" s="292"/>
      <c r="AH152" s="292"/>
      <c r="AI152" s="292"/>
      <c r="AJ152" s="292"/>
      <c r="AK152" s="292"/>
      <c r="AL152" s="292"/>
      <c r="AM152" s="292"/>
      <c r="AN152" s="292"/>
    </row>
    <row r="153" spans="1:40" ht="15.75">
      <c r="A153" s="293" t="s">
        <v>109</v>
      </c>
      <c r="B153" s="74"/>
      <c r="C153" s="97">
        <v>19996</v>
      </c>
      <c r="D153" s="60">
        <v>1865</v>
      </c>
      <c r="E153" s="60">
        <v>10880</v>
      </c>
      <c r="F153" s="74">
        <v>221853</v>
      </c>
      <c r="G153" s="292"/>
      <c r="H153" s="60">
        <v>80478</v>
      </c>
      <c r="I153" s="77">
        <f t="shared" si="27"/>
        <v>3.2519060962192441</v>
      </c>
      <c r="J153" s="61">
        <v>75.3</v>
      </c>
      <c r="K153" s="63">
        <v>0.01</v>
      </c>
      <c r="L153" s="78">
        <v>52.25</v>
      </c>
      <c r="M153" s="74"/>
      <c r="N153" s="60"/>
      <c r="O153" s="60"/>
      <c r="P153" s="293" t="s">
        <v>109</v>
      </c>
      <c r="Q153" s="75">
        <v>11677</v>
      </c>
      <c r="R153" s="80">
        <v>38248</v>
      </c>
      <c r="S153" s="60">
        <v>15</v>
      </c>
      <c r="T153" s="75">
        <v>23205</v>
      </c>
      <c r="U153" s="80">
        <v>37457</v>
      </c>
      <c r="V153" s="60">
        <v>15</v>
      </c>
      <c r="W153" s="74">
        <v>32396</v>
      </c>
      <c r="X153" s="80">
        <v>37882</v>
      </c>
      <c r="Y153" s="60">
        <v>15</v>
      </c>
      <c r="Z153" s="74">
        <v>49838</v>
      </c>
      <c r="AA153" s="80">
        <v>37882</v>
      </c>
      <c r="AB153" s="102">
        <v>15</v>
      </c>
      <c r="AC153" s="292"/>
      <c r="AD153" s="292"/>
      <c r="AE153" s="292"/>
      <c r="AF153" s="292"/>
      <c r="AG153" s="292"/>
      <c r="AH153" s="292"/>
      <c r="AI153" s="292"/>
      <c r="AJ153" s="292"/>
      <c r="AK153" s="292"/>
      <c r="AL153" s="292"/>
      <c r="AM153" s="292"/>
      <c r="AN153" s="292"/>
    </row>
    <row r="154" spans="1:40" ht="15.75">
      <c r="A154" s="293" t="s">
        <v>111</v>
      </c>
      <c r="B154" s="74"/>
      <c r="C154" s="97">
        <v>20819</v>
      </c>
      <c r="D154" s="60">
        <v>1969</v>
      </c>
      <c r="E154" s="60">
        <v>10880</v>
      </c>
      <c r="F154" s="74">
        <v>228057</v>
      </c>
      <c r="G154" s="292"/>
      <c r="H154" s="60">
        <v>65451</v>
      </c>
      <c r="I154" s="77">
        <f>(F154)*0.2931/(C154)</f>
        <v>3.2106972813295553</v>
      </c>
      <c r="J154" s="61">
        <v>75.3</v>
      </c>
      <c r="K154" s="63">
        <v>9.4999999999999998E-3</v>
      </c>
      <c r="L154" s="78">
        <v>49.63</v>
      </c>
      <c r="M154" s="74"/>
      <c r="N154" s="60"/>
      <c r="O154" s="60"/>
      <c r="P154" s="293" t="s">
        <v>111</v>
      </c>
      <c r="Q154" s="75">
        <v>11602</v>
      </c>
      <c r="R154" s="80">
        <v>37457</v>
      </c>
      <c r="S154" s="60">
        <v>15</v>
      </c>
      <c r="T154" s="75">
        <v>23205</v>
      </c>
      <c r="U154" s="80">
        <v>37457</v>
      </c>
      <c r="V154" s="60">
        <v>15</v>
      </c>
      <c r="W154" s="74">
        <v>9391</v>
      </c>
      <c r="X154" s="80">
        <v>37867</v>
      </c>
      <c r="Y154" s="60">
        <v>15</v>
      </c>
      <c r="Z154" s="74">
        <v>31455</v>
      </c>
      <c r="AA154" s="80">
        <v>37092</v>
      </c>
      <c r="AB154" s="79">
        <v>15</v>
      </c>
      <c r="AC154" s="292"/>
      <c r="AD154" s="292"/>
      <c r="AE154" s="292"/>
      <c r="AF154" s="292"/>
      <c r="AG154" s="292"/>
      <c r="AH154" s="292"/>
      <c r="AI154" s="292"/>
      <c r="AJ154" s="292"/>
      <c r="AK154" s="292"/>
      <c r="AL154" s="292"/>
      <c r="AM154" s="292"/>
      <c r="AN154" s="292"/>
    </row>
    <row r="155" spans="1:40" ht="15.75">
      <c r="A155" s="293" t="s">
        <v>112</v>
      </c>
      <c r="B155" s="74"/>
      <c r="C155" s="97">
        <v>22030</v>
      </c>
      <c r="D155" s="60">
        <v>2096</v>
      </c>
      <c r="E155" s="60">
        <v>10880</v>
      </c>
      <c r="F155" s="74">
        <v>241836</v>
      </c>
      <c r="G155" s="292"/>
      <c r="H155" s="60">
        <v>69157</v>
      </c>
      <c r="I155" s="77">
        <f t="shared" si="27"/>
        <v>3.2175275351793013</v>
      </c>
      <c r="J155" s="61">
        <v>75.3</v>
      </c>
      <c r="K155" s="63">
        <v>9.4000000000000004E-3</v>
      </c>
      <c r="L155" s="78">
        <v>48.97</v>
      </c>
      <c r="M155" s="74"/>
      <c r="N155" s="60"/>
      <c r="O155" s="60"/>
      <c r="P155" s="293" t="s">
        <v>112</v>
      </c>
      <c r="Q155" s="75">
        <v>11602</v>
      </c>
      <c r="R155" s="80">
        <v>37457</v>
      </c>
      <c r="S155" s="60">
        <v>15</v>
      </c>
      <c r="T155" s="75">
        <v>23205</v>
      </c>
      <c r="U155" s="80">
        <v>37457</v>
      </c>
      <c r="V155" s="60">
        <v>15</v>
      </c>
      <c r="W155" s="74">
        <v>9394</v>
      </c>
      <c r="X155" s="80">
        <v>37867</v>
      </c>
      <c r="Y155" s="60">
        <v>15</v>
      </c>
      <c r="Z155" s="74">
        <v>31455</v>
      </c>
      <c r="AA155" s="80">
        <v>37092</v>
      </c>
      <c r="AB155" s="79">
        <v>15</v>
      </c>
      <c r="AC155" s="292"/>
      <c r="AD155" s="292"/>
      <c r="AE155" s="292"/>
      <c r="AF155" s="292"/>
      <c r="AG155" s="292"/>
      <c r="AH155" s="292"/>
      <c r="AI155" s="292"/>
      <c r="AJ155" s="292"/>
      <c r="AK155" s="292"/>
      <c r="AL155" s="292"/>
      <c r="AM155" s="292"/>
      <c r="AN155" s="292"/>
    </row>
    <row r="156" spans="1:40" ht="15.75">
      <c r="A156" s="293" t="s">
        <v>113</v>
      </c>
      <c r="B156" s="74"/>
      <c r="C156" s="97">
        <v>20931</v>
      </c>
      <c r="D156" s="60">
        <v>1980</v>
      </c>
      <c r="E156" s="60">
        <v>10880</v>
      </c>
      <c r="F156" s="74">
        <v>229339</v>
      </c>
      <c r="G156" s="292"/>
      <c r="H156" s="60">
        <v>67435</v>
      </c>
      <c r="I156" s="77">
        <f t="shared" si="27"/>
        <v>3.2114691557976212</v>
      </c>
      <c r="J156" s="61">
        <v>75.3</v>
      </c>
      <c r="K156" s="63">
        <v>9.4000000000000004E-3</v>
      </c>
      <c r="L156" s="78">
        <v>49.3</v>
      </c>
      <c r="M156" s="74"/>
      <c r="N156" s="60"/>
      <c r="O156" s="60"/>
      <c r="P156" s="293" t="s">
        <v>113</v>
      </c>
      <c r="Q156" s="75">
        <v>11602</v>
      </c>
      <c r="R156" s="80">
        <v>37457</v>
      </c>
      <c r="S156" s="60">
        <v>15</v>
      </c>
      <c r="T156" s="75">
        <v>23205</v>
      </c>
      <c r="U156" s="80">
        <v>37457</v>
      </c>
      <c r="V156" s="60">
        <v>15</v>
      </c>
      <c r="W156" s="74">
        <v>11101</v>
      </c>
      <c r="X156" s="80">
        <v>37762</v>
      </c>
      <c r="Y156" s="60">
        <v>15</v>
      </c>
      <c r="Z156" s="74">
        <v>31455</v>
      </c>
      <c r="AA156" s="80">
        <v>37092</v>
      </c>
      <c r="AB156" s="79">
        <v>15</v>
      </c>
      <c r="AC156" s="292"/>
      <c r="AD156" s="292"/>
      <c r="AE156" s="292"/>
      <c r="AF156" s="292"/>
      <c r="AG156" s="292"/>
      <c r="AH156" s="292"/>
      <c r="AI156" s="292"/>
      <c r="AJ156" s="292"/>
      <c r="AK156" s="292"/>
      <c r="AL156" s="292"/>
      <c r="AM156" s="292"/>
      <c r="AN156" s="292"/>
    </row>
    <row r="157" spans="1:40" ht="15.75">
      <c r="A157" s="293" t="s">
        <v>114</v>
      </c>
      <c r="B157" s="74"/>
      <c r="C157" s="97">
        <v>22093</v>
      </c>
      <c r="D157" s="60">
        <v>2104</v>
      </c>
      <c r="E157" s="60">
        <v>10880</v>
      </c>
      <c r="F157" s="74">
        <v>242856</v>
      </c>
      <c r="G157" s="292"/>
      <c r="H157" s="60">
        <v>70587</v>
      </c>
      <c r="I157" s="77">
        <f>(F157)*0.2931/(C157)</f>
        <v>3.2218844701941793</v>
      </c>
      <c r="J157" s="61">
        <v>75.3</v>
      </c>
      <c r="K157" s="63">
        <v>9.2999999999999992E-3</v>
      </c>
      <c r="L157" s="78">
        <v>48.57</v>
      </c>
      <c r="M157" s="74"/>
      <c r="N157" s="60"/>
      <c r="O157" s="60"/>
      <c r="P157" s="293" t="s">
        <v>114</v>
      </c>
      <c r="Q157" s="75">
        <v>11602</v>
      </c>
      <c r="R157" s="80">
        <v>37457</v>
      </c>
      <c r="S157" s="60">
        <v>15</v>
      </c>
      <c r="T157" s="75">
        <v>23205</v>
      </c>
      <c r="U157" s="80">
        <v>37457</v>
      </c>
      <c r="V157" s="60">
        <v>15</v>
      </c>
      <c r="W157" s="74">
        <v>9391</v>
      </c>
      <c r="X157" s="80">
        <v>37867</v>
      </c>
      <c r="Y157" s="60">
        <v>15</v>
      </c>
      <c r="Z157" s="74">
        <v>31455</v>
      </c>
      <c r="AA157" s="80">
        <v>37822</v>
      </c>
      <c r="AB157" s="79">
        <v>15</v>
      </c>
      <c r="AC157" s="292"/>
      <c r="AD157" s="292"/>
      <c r="AE157" s="292"/>
      <c r="AF157" s="292"/>
      <c r="AG157" s="292"/>
      <c r="AH157" s="292"/>
      <c r="AI157" s="292"/>
      <c r="AJ157" s="292"/>
      <c r="AK157" s="292"/>
      <c r="AL157" s="292"/>
      <c r="AM157" s="292"/>
      <c r="AN157" s="292"/>
    </row>
    <row r="158" spans="1:40" ht="15.75">
      <c r="A158" s="293" t="s">
        <v>115</v>
      </c>
      <c r="B158" s="74"/>
      <c r="C158" s="97">
        <v>20453</v>
      </c>
      <c r="D158" s="60">
        <v>1975</v>
      </c>
      <c r="E158" s="60">
        <v>2369</v>
      </c>
      <c r="F158" s="74">
        <v>225153</v>
      </c>
      <c r="G158" s="292"/>
      <c r="H158" s="60">
        <v>62594</v>
      </c>
      <c r="I158" s="77">
        <f t="shared" si="27"/>
        <v>3.2265361707329006</v>
      </c>
      <c r="J158" s="61">
        <v>69</v>
      </c>
      <c r="K158" s="473"/>
      <c r="L158" s="474"/>
      <c r="M158" s="74"/>
      <c r="N158" s="60"/>
      <c r="O158" s="60"/>
      <c r="P158" s="293" t="s">
        <v>116</v>
      </c>
      <c r="Q158" s="75">
        <v>10425</v>
      </c>
      <c r="R158" s="80">
        <v>37457</v>
      </c>
      <c r="S158" s="60">
        <v>15</v>
      </c>
      <c r="T158" s="75">
        <v>20008</v>
      </c>
      <c r="U158" s="80">
        <v>37509</v>
      </c>
      <c r="V158" s="60">
        <v>16</v>
      </c>
      <c r="W158" s="74">
        <v>7733</v>
      </c>
      <c r="X158" s="80">
        <v>37137</v>
      </c>
      <c r="Y158" s="60">
        <v>15</v>
      </c>
      <c r="Z158" s="74">
        <v>27706</v>
      </c>
      <c r="AA158" s="80">
        <v>37119</v>
      </c>
      <c r="AB158" s="102">
        <v>16</v>
      </c>
      <c r="AC158" s="292"/>
      <c r="AD158" s="292"/>
      <c r="AE158" s="292"/>
      <c r="AF158" s="292"/>
      <c r="AG158" s="292"/>
      <c r="AH158" s="292"/>
      <c r="AI158" s="292"/>
      <c r="AJ158" s="292"/>
      <c r="AK158" s="292"/>
      <c r="AL158" s="292"/>
      <c r="AM158" s="292"/>
      <c r="AN158" s="292"/>
    </row>
    <row r="159" spans="1:40" ht="15.75">
      <c r="A159" s="293" t="s">
        <v>120</v>
      </c>
      <c r="B159" s="74"/>
      <c r="C159" s="97">
        <v>16033</v>
      </c>
      <c r="D159" s="60">
        <v>1527</v>
      </c>
      <c r="E159" s="60">
        <v>1837</v>
      </c>
      <c r="F159" s="74">
        <v>172946</v>
      </c>
      <c r="G159" s="292"/>
      <c r="H159" s="60">
        <v>48097</v>
      </c>
      <c r="I159" s="77">
        <f>(F159)*0.2931/(C159)</f>
        <v>3.1616336680596278</v>
      </c>
      <c r="J159" s="61">
        <v>77</v>
      </c>
      <c r="K159" s="60">
        <v>1.14E-2</v>
      </c>
      <c r="L159" s="78">
        <v>57.47</v>
      </c>
      <c r="M159" s="313"/>
      <c r="N159" s="314"/>
      <c r="O159" s="314"/>
      <c r="P159" s="293" t="s">
        <v>121</v>
      </c>
      <c r="Q159" s="75">
        <v>11587</v>
      </c>
      <c r="R159" s="80">
        <v>37457</v>
      </c>
      <c r="S159" s="60">
        <v>15</v>
      </c>
      <c r="T159" s="75">
        <v>22513</v>
      </c>
      <c r="U159" s="80">
        <v>37813</v>
      </c>
      <c r="V159" s="60">
        <v>15</v>
      </c>
      <c r="W159" s="74">
        <v>8723</v>
      </c>
      <c r="X159" s="80">
        <v>37896</v>
      </c>
      <c r="Y159" s="79">
        <v>9</v>
      </c>
      <c r="Z159" s="74">
        <v>31188</v>
      </c>
      <c r="AA159" s="80">
        <v>37092</v>
      </c>
      <c r="AB159" s="102">
        <v>15</v>
      </c>
      <c r="AC159" s="292"/>
      <c r="AD159" s="292"/>
      <c r="AE159" s="292"/>
      <c r="AF159" s="292"/>
      <c r="AG159" s="292"/>
      <c r="AH159" s="292"/>
      <c r="AI159" s="292"/>
      <c r="AJ159" s="292"/>
      <c r="AK159" s="292"/>
      <c r="AL159" s="292"/>
      <c r="AM159" s="292"/>
      <c r="AN159" s="292"/>
    </row>
    <row r="160" spans="1:40" ht="15.75">
      <c r="A160" s="293" t="s">
        <v>124</v>
      </c>
      <c r="B160" s="74"/>
      <c r="C160" s="97">
        <v>31871</v>
      </c>
      <c r="D160" s="60">
        <v>3061</v>
      </c>
      <c r="E160" s="60">
        <v>4099</v>
      </c>
      <c r="F160" s="74">
        <v>388998</v>
      </c>
      <c r="G160" s="292"/>
      <c r="H160" s="60">
        <v>108196</v>
      </c>
      <c r="I160" s="77">
        <f t="shared" si="27"/>
        <v>3.5773999497976217</v>
      </c>
      <c r="J160" s="61">
        <v>77.2</v>
      </c>
      <c r="K160" s="60">
        <v>1.14E-2</v>
      </c>
      <c r="L160" s="78">
        <v>57.36</v>
      </c>
      <c r="M160" s="313"/>
      <c r="N160" s="314"/>
      <c r="O160" s="314"/>
      <c r="P160" s="293" t="s">
        <v>125</v>
      </c>
      <c r="Q160" s="75">
        <v>11014</v>
      </c>
      <c r="R160" s="80">
        <v>37457</v>
      </c>
      <c r="S160" s="60">
        <v>15</v>
      </c>
      <c r="T160" s="75">
        <v>20154</v>
      </c>
      <c r="U160" s="80">
        <v>38133</v>
      </c>
      <c r="V160" s="60">
        <v>16</v>
      </c>
      <c r="W160" s="74">
        <v>7785</v>
      </c>
      <c r="X160" s="80">
        <v>37137</v>
      </c>
      <c r="Y160" s="60">
        <v>15</v>
      </c>
      <c r="Z160" s="74">
        <v>27878</v>
      </c>
      <c r="AA160" s="80">
        <v>38191</v>
      </c>
      <c r="AB160" s="79">
        <v>16</v>
      </c>
      <c r="AC160" s="292"/>
      <c r="AD160" s="292"/>
      <c r="AE160" s="292"/>
      <c r="AF160" s="292"/>
      <c r="AG160" s="292"/>
      <c r="AH160" s="292"/>
      <c r="AI160" s="292"/>
      <c r="AJ160" s="292"/>
      <c r="AK160" s="292"/>
      <c r="AL160" s="292"/>
      <c r="AM160" s="292"/>
      <c r="AN160" s="292"/>
    </row>
    <row r="161" spans="1:41" ht="15.75">
      <c r="A161" s="293" t="s">
        <v>125</v>
      </c>
      <c r="B161" s="74"/>
      <c r="C161" s="97">
        <v>22519</v>
      </c>
      <c r="D161" s="60">
        <v>2393</v>
      </c>
      <c r="E161" s="60">
        <v>2871</v>
      </c>
      <c r="F161" s="74">
        <v>227108</v>
      </c>
      <c r="G161" s="292"/>
      <c r="H161" s="60">
        <v>63015</v>
      </c>
      <c r="I161" s="77">
        <f>(F161)*0.2931/(C161)</f>
        <v>2.9559640658999067</v>
      </c>
      <c r="J161" s="61">
        <v>56.7</v>
      </c>
      <c r="K161" s="314"/>
      <c r="L161" s="474"/>
      <c r="M161" s="313"/>
      <c r="N161" s="314"/>
      <c r="O161" s="314"/>
      <c r="P161" s="293" t="s">
        <v>127</v>
      </c>
      <c r="Q161" s="75">
        <v>10966</v>
      </c>
      <c r="R161" s="80">
        <v>37457</v>
      </c>
      <c r="S161" s="60">
        <v>15</v>
      </c>
      <c r="T161" s="75">
        <v>20135</v>
      </c>
      <c r="U161" s="80">
        <v>37448</v>
      </c>
      <c r="V161" s="60">
        <v>16</v>
      </c>
      <c r="W161" s="74">
        <v>7760</v>
      </c>
      <c r="X161" s="80">
        <v>37137</v>
      </c>
      <c r="Y161" s="60">
        <v>15</v>
      </c>
      <c r="Z161" s="74">
        <v>27866</v>
      </c>
      <c r="AA161" s="80">
        <v>37484</v>
      </c>
      <c r="AB161" s="79">
        <v>16</v>
      </c>
      <c r="AC161" s="292"/>
      <c r="AD161" s="292"/>
      <c r="AE161" s="292"/>
      <c r="AF161" s="292"/>
      <c r="AG161" s="292"/>
      <c r="AH161" s="292"/>
      <c r="AI161" s="292"/>
      <c r="AJ161" s="292"/>
      <c r="AK161" s="292"/>
      <c r="AL161" s="292"/>
      <c r="AM161" s="292"/>
      <c r="AN161" s="292"/>
    </row>
    <row r="162" spans="1:41" ht="15.75">
      <c r="A162" s="293" t="s">
        <v>127</v>
      </c>
      <c r="B162" s="74"/>
      <c r="C162" s="97">
        <v>21600</v>
      </c>
      <c r="D162" s="60">
        <v>2182</v>
      </c>
      <c r="E162" s="60">
        <v>2707</v>
      </c>
      <c r="F162" s="74">
        <v>226448</v>
      </c>
      <c r="G162" s="292"/>
      <c r="H162" s="60">
        <v>62813</v>
      </c>
      <c r="I162" s="77">
        <f t="shared" si="27"/>
        <v>3.072773555555556</v>
      </c>
      <c r="J162" s="61">
        <v>63</v>
      </c>
      <c r="K162" s="314"/>
      <c r="L162" s="474"/>
      <c r="M162" s="313"/>
      <c r="N162" s="314"/>
      <c r="O162" s="314"/>
      <c r="P162" s="293" t="s">
        <v>130</v>
      </c>
      <c r="Q162" s="75">
        <v>9531</v>
      </c>
      <c r="R162" s="80">
        <v>37457</v>
      </c>
      <c r="S162" s="60">
        <v>15</v>
      </c>
      <c r="T162" s="75">
        <v>19850</v>
      </c>
      <c r="U162" s="80">
        <v>37370</v>
      </c>
      <c r="V162" s="60">
        <v>16</v>
      </c>
      <c r="W162" s="74">
        <v>7663</v>
      </c>
      <c r="X162" s="80">
        <v>37137</v>
      </c>
      <c r="Y162" s="60">
        <v>15</v>
      </c>
      <c r="Z162" s="74">
        <v>27466</v>
      </c>
      <c r="AA162" s="80">
        <v>37445</v>
      </c>
      <c r="AB162" s="79">
        <v>16</v>
      </c>
      <c r="AC162" s="292"/>
      <c r="AD162" s="292"/>
      <c r="AE162" s="292"/>
      <c r="AF162" s="292"/>
      <c r="AG162" s="292"/>
      <c r="AH162" s="292"/>
      <c r="AI162" s="292"/>
      <c r="AJ162" s="292"/>
      <c r="AK162" s="292"/>
      <c r="AL162" s="292"/>
      <c r="AM162" s="292"/>
      <c r="AN162" s="292"/>
    </row>
    <row r="163" spans="1:41" ht="15.75">
      <c r="A163" s="293" t="s">
        <v>130</v>
      </c>
      <c r="B163" s="74"/>
      <c r="C163" s="97">
        <v>18536</v>
      </c>
      <c r="D163" s="60">
        <v>1643</v>
      </c>
      <c r="E163" s="60">
        <v>1885</v>
      </c>
      <c r="F163" s="74">
        <v>223115</v>
      </c>
      <c r="G163" s="292"/>
      <c r="H163" s="60">
        <v>62032</v>
      </c>
      <c r="I163" s="77">
        <f t="shared" si="27"/>
        <v>3.5279999190763922</v>
      </c>
      <c r="J163" s="61">
        <v>81.099999999999994</v>
      </c>
      <c r="K163" s="314"/>
      <c r="L163" s="474"/>
      <c r="M163" s="313"/>
      <c r="N163" s="314"/>
      <c r="O163" s="314"/>
      <c r="P163" s="293" t="s">
        <v>132</v>
      </c>
      <c r="Q163" s="75">
        <v>8055</v>
      </c>
      <c r="R163" s="80">
        <v>37457</v>
      </c>
      <c r="S163" s="60">
        <v>15</v>
      </c>
      <c r="T163" s="75">
        <v>19575</v>
      </c>
      <c r="U163" s="80">
        <v>37370</v>
      </c>
      <c r="V163" s="60">
        <v>16</v>
      </c>
      <c r="W163" s="74">
        <v>0</v>
      </c>
      <c r="X163" s="60"/>
      <c r="Y163" s="60"/>
      <c r="Z163" s="74">
        <v>19575</v>
      </c>
      <c r="AA163" s="80">
        <v>37370</v>
      </c>
      <c r="AB163" s="60">
        <v>16</v>
      </c>
      <c r="AC163" s="292"/>
      <c r="AD163" s="292"/>
      <c r="AE163" s="292"/>
      <c r="AF163" s="292"/>
      <c r="AG163" s="292"/>
      <c r="AH163" s="292"/>
      <c r="AI163" s="292"/>
      <c r="AJ163" s="292"/>
      <c r="AK163" s="292"/>
      <c r="AL163" s="292"/>
      <c r="AM163" s="292"/>
      <c r="AN163" s="292"/>
    </row>
    <row r="164" spans="1:41" ht="15.75">
      <c r="A164" s="293" t="s">
        <v>132</v>
      </c>
      <c r="B164" s="74"/>
      <c r="C164" s="97">
        <v>15704</v>
      </c>
      <c r="D164" s="60">
        <v>1580</v>
      </c>
      <c r="E164" s="60">
        <v>1833</v>
      </c>
      <c r="F164" s="74">
        <v>159095</v>
      </c>
      <c r="G164" s="292"/>
      <c r="H164" s="60">
        <v>207</v>
      </c>
      <c r="I164" s="77">
        <f t="shared" si="27"/>
        <v>2.969354591186959</v>
      </c>
      <c r="J164" s="61">
        <v>69</v>
      </c>
      <c r="K164" s="314"/>
      <c r="L164" s="474"/>
      <c r="M164" s="313"/>
      <c r="N164" s="314"/>
      <c r="O164" s="314"/>
      <c r="P164" s="293" t="s">
        <v>135</v>
      </c>
      <c r="Q164" s="75">
        <v>8939</v>
      </c>
      <c r="R164" s="80">
        <v>37457</v>
      </c>
      <c r="S164" s="60">
        <v>15</v>
      </c>
      <c r="T164" s="75">
        <v>19766</v>
      </c>
      <c r="U164" s="80">
        <v>37370</v>
      </c>
      <c r="V164" s="60">
        <v>16</v>
      </c>
      <c r="W164" s="74">
        <v>0</v>
      </c>
      <c r="X164" s="60"/>
      <c r="Y164" s="60"/>
      <c r="Z164" s="75">
        <v>19766</v>
      </c>
      <c r="AA164" s="80">
        <v>37370</v>
      </c>
      <c r="AB164" s="60">
        <v>16</v>
      </c>
      <c r="AC164" s="292"/>
      <c r="AD164" s="292"/>
      <c r="AE164" s="292"/>
      <c r="AF164" s="292"/>
      <c r="AG164" s="292"/>
      <c r="AH164" s="292"/>
      <c r="AI164" s="292"/>
      <c r="AJ164" s="292"/>
      <c r="AK164" s="292"/>
      <c r="AL164" s="292"/>
      <c r="AM164" s="292"/>
      <c r="AN164" s="292"/>
    </row>
    <row r="165" spans="1:41" ht="15.75">
      <c r="A165" s="293" t="s">
        <v>135</v>
      </c>
      <c r="B165" s="74"/>
      <c r="C165" s="97">
        <v>17616</v>
      </c>
      <c r="D165" s="60">
        <v>1939</v>
      </c>
      <c r="E165" s="60">
        <v>2258</v>
      </c>
      <c r="F165" s="74">
        <v>160785</v>
      </c>
      <c r="G165" s="292"/>
      <c r="H165" s="60">
        <v>365</v>
      </c>
      <c r="I165" s="77">
        <f t="shared" si="27"/>
        <v>2.6751863930517716</v>
      </c>
      <c r="J165" s="61">
        <v>56.7</v>
      </c>
      <c r="K165" s="314"/>
      <c r="L165" s="474"/>
      <c r="M165" s="313"/>
      <c r="N165" s="314"/>
      <c r="O165" s="314"/>
      <c r="P165" s="294" t="s">
        <v>138</v>
      </c>
      <c r="Q165" s="83">
        <v>7346</v>
      </c>
      <c r="R165" s="80">
        <v>37457</v>
      </c>
      <c r="S165" s="60">
        <v>15</v>
      </c>
      <c r="T165" s="83">
        <v>19474</v>
      </c>
      <c r="U165" s="82">
        <v>37370</v>
      </c>
      <c r="V165" s="64">
        <v>16</v>
      </c>
      <c r="W165" s="81">
        <v>0</v>
      </c>
      <c r="X165" s="64"/>
      <c r="Y165" s="64"/>
      <c r="Z165" s="81">
        <v>19474</v>
      </c>
      <c r="AA165" s="82">
        <v>37370</v>
      </c>
      <c r="AB165" s="84">
        <v>16</v>
      </c>
      <c r="AC165" s="292"/>
      <c r="AD165" s="292"/>
      <c r="AE165" s="292"/>
      <c r="AF165" s="292"/>
      <c r="AG165" s="292"/>
      <c r="AH165" s="292"/>
      <c r="AI165" s="292"/>
      <c r="AJ165" s="292"/>
      <c r="AK165" s="292"/>
      <c r="AL165" s="292"/>
      <c r="AM165" s="292"/>
      <c r="AN165" s="292"/>
    </row>
    <row r="166" spans="1:41" ht="15.75">
      <c r="A166" s="294" t="s">
        <v>138</v>
      </c>
      <c r="B166" s="81"/>
      <c r="C166" s="64">
        <v>14290</v>
      </c>
      <c r="D166" s="64">
        <v>1333</v>
      </c>
      <c r="E166" s="64">
        <v>1501</v>
      </c>
      <c r="F166" s="81">
        <v>157748</v>
      </c>
      <c r="G166" s="292"/>
      <c r="H166" s="64">
        <v>87</v>
      </c>
      <c r="I166" s="77">
        <f t="shared" si="27"/>
        <v>3.2355450524842548</v>
      </c>
      <c r="J166" s="65">
        <v>81.099999999999994</v>
      </c>
      <c r="K166" s="476"/>
      <c r="L166" s="477"/>
      <c r="M166" s="313"/>
      <c r="N166" s="311"/>
      <c r="O166" s="311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292"/>
      <c r="AE166" s="292"/>
      <c r="AF166" s="292"/>
      <c r="AG166" s="292"/>
      <c r="AH166" s="292"/>
      <c r="AI166" s="292"/>
      <c r="AJ166" s="292"/>
      <c r="AK166" s="292"/>
      <c r="AL166" s="292"/>
      <c r="AM166" s="292"/>
      <c r="AN166" s="292"/>
    </row>
    <row r="167" spans="1:41" ht="15.75">
      <c r="A167" s="292"/>
      <c r="B167" s="292"/>
      <c r="C167" s="292"/>
      <c r="D167" s="292"/>
      <c r="E167" s="292"/>
      <c r="F167" s="292"/>
      <c r="G167" s="292"/>
      <c r="H167" s="292"/>
      <c r="I167" s="292"/>
      <c r="J167" s="292"/>
      <c r="K167" s="292"/>
      <c r="L167" s="292"/>
      <c r="M167" s="71"/>
      <c r="N167" s="71"/>
      <c r="O167" s="71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  <c r="AH167" s="292"/>
      <c r="AI167" s="292"/>
      <c r="AJ167" s="292"/>
      <c r="AK167" s="292"/>
      <c r="AL167" s="292"/>
      <c r="AM167" s="292"/>
      <c r="AN167" s="292"/>
    </row>
    <row r="168" spans="1:41" ht="15.75">
      <c r="A168" s="286"/>
      <c r="B168" s="286"/>
      <c r="C168" s="287"/>
      <c r="D168" s="287"/>
      <c r="E168" s="287" t="s">
        <v>141</v>
      </c>
      <c r="F168" s="287"/>
      <c r="G168" s="287"/>
      <c r="H168" s="287"/>
      <c r="I168" s="287"/>
      <c r="J168" s="287"/>
      <c r="K168" s="287"/>
      <c r="L168" s="288"/>
      <c r="M168" s="272" t="s">
        <v>390</v>
      </c>
      <c r="N168" s="71"/>
      <c r="O168" s="71"/>
      <c r="P168" s="286"/>
      <c r="Q168" s="286"/>
      <c r="R168" s="287"/>
      <c r="S168" s="287"/>
      <c r="T168" s="287" t="s">
        <v>142</v>
      </c>
      <c r="U168" s="287"/>
      <c r="V168" s="287"/>
      <c r="W168" s="287"/>
      <c r="X168" s="287"/>
      <c r="Y168" s="287"/>
      <c r="Z168" s="287"/>
      <c r="AA168" s="287"/>
      <c r="AB168" s="287"/>
      <c r="AC168" s="287"/>
      <c r="AD168" s="287"/>
      <c r="AE168" s="287"/>
      <c r="AF168" s="287"/>
      <c r="AG168" s="287"/>
      <c r="AH168" s="287"/>
      <c r="AI168" s="287"/>
      <c r="AJ168" s="287"/>
      <c r="AK168" s="287"/>
      <c r="AL168" s="287"/>
      <c r="AM168" s="287"/>
      <c r="AN168" s="288"/>
    </row>
    <row r="169" spans="1:41" ht="15.75">
      <c r="A169" s="293"/>
      <c r="B169" s="294"/>
      <c r="C169" s="295"/>
      <c r="D169" s="295"/>
      <c r="E169" s="295"/>
      <c r="F169" s="295"/>
      <c r="G169" s="295"/>
      <c r="H169" s="295"/>
      <c r="I169" s="295"/>
      <c r="J169" s="295"/>
      <c r="K169" s="295"/>
      <c r="L169" s="296"/>
      <c r="M169" s="272" t="s">
        <v>392</v>
      </c>
      <c r="N169" s="71"/>
      <c r="O169" s="71"/>
      <c r="P169" s="293"/>
      <c r="Q169" s="294"/>
      <c r="R169" s="295"/>
      <c r="S169" s="295"/>
      <c r="T169" s="295"/>
      <c r="U169" s="295"/>
      <c r="V169" s="295"/>
      <c r="W169" s="295"/>
      <c r="X169" s="295"/>
      <c r="Y169" s="295"/>
      <c r="Z169" s="295"/>
      <c r="AA169" s="295"/>
      <c r="AB169" s="295"/>
      <c r="AC169" s="295"/>
      <c r="AD169" s="295"/>
      <c r="AE169" s="295"/>
      <c r="AF169" s="295"/>
      <c r="AG169" s="295"/>
      <c r="AH169" s="295"/>
      <c r="AI169" s="295"/>
      <c r="AJ169" s="295"/>
      <c r="AK169" s="295"/>
      <c r="AL169" s="295"/>
      <c r="AM169" s="295"/>
      <c r="AN169" s="296"/>
    </row>
    <row r="170" spans="1:41" ht="15.75">
      <c r="A170" s="293"/>
      <c r="B170" s="293" t="s">
        <v>143</v>
      </c>
      <c r="C170" s="298"/>
      <c r="D170" s="286" t="s">
        <v>369</v>
      </c>
      <c r="E170" s="298"/>
      <c r="F170" s="292"/>
      <c r="G170" s="305" t="s">
        <v>361</v>
      </c>
      <c r="H170" s="315"/>
      <c r="I170" s="292"/>
      <c r="J170" s="292"/>
      <c r="K170" s="288"/>
      <c r="L170" s="316" t="s">
        <v>370</v>
      </c>
      <c r="M170" s="71"/>
      <c r="N170" s="71"/>
      <c r="O170" s="71"/>
      <c r="P170" s="293"/>
      <c r="Q170" s="293"/>
      <c r="R170" s="292"/>
      <c r="S170" s="292" t="s">
        <v>145</v>
      </c>
      <c r="T170" s="292"/>
      <c r="U170" s="292"/>
      <c r="V170" s="292"/>
      <c r="W170" s="293"/>
      <c r="X170" s="292" t="s">
        <v>146</v>
      </c>
      <c r="Y170" s="292"/>
      <c r="Z170" s="292"/>
      <c r="AA170" s="292"/>
      <c r="AB170" s="292"/>
      <c r="AC170" s="293"/>
      <c r="AD170" s="292" t="s">
        <v>147</v>
      </c>
      <c r="AE170" s="292"/>
      <c r="AF170" s="292"/>
      <c r="AG170" s="292"/>
      <c r="AH170" s="292"/>
      <c r="AI170" s="293"/>
      <c r="AJ170" s="292" t="s">
        <v>148</v>
      </c>
      <c r="AK170" s="292"/>
      <c r="AL170" s="292"/>
      <c r="AM170" s="292"/>
      <c r="AN170" s="302"/>
    </row>
    <row r="171" spans="1:41" ht="15.75">
      <c r="A171" s="293" t="s">
        <v>78</v>
      </c>
      <c r="B171" s="51" t="s">
        <v>219</v>
      </c>
      <c r="C171" s="303" t="s">
        <v>84</v>
      </c>
      <c r="D171" s="305" t="s">
        <v>4</v>
      </c>
      <c r="E171" s="299" t="s">
        <v>6</v>
      </c>
      <c r="F171" s="303" t="s">
        <v>7</v>
      </c>
      <c r="G171" s="305" t="s">
        <v>371</v>
      </c>
      <c r="H171" s="317" t="s">
        <v>150</v>
      </c>
      <c r="I171" s="318" t="s">
        <v>151</v>
      </c>
      <c r="J171" s="318" t="s">
        <v>152</v>
      </c>
      <c r="K171" s="319" t="s">
        <v>153</v>
      </c>
      <c r="L171" s="319" t="s">
        <v>371</v>
      </c>
      <c r="M171" s="90" t="s">
        <v>393</v>
      </c>
      <c r="N171" s="303" t="s">
        <v>394</v>
      </c>
      <c r="O171" s="71"/>
      <c r="P171" s="293" t="s">
        <v>3</v>
      </c>
      <c r="Q171" s="293"/>
      <c r="R171" s="292" t="s">
        <v>154</v>
      </c>
      <c r="S171" s="292"/>
      <c r="T171" s="293"/>
      <c r="U171" s="292" t="s">
        <v>155</v>
      </c>
      <c r="V171" s="292"/>
      <c r="W171" s="293"/>
      <c r="X171" s="292" t="s">
        <v>154</v>
      </c>
      <c r="Y171" s="292"/>
      <c r="Z171" s="293"/>
      <c r="AA171" s="292" t="s">
        <v>155</v>
      </c>
      <c r="AB171" s="292"/>
      <c r="AC171" s="293"/>
      <c r="AD171" s="292" t="s">
        <v>154</v>
      </c>
      <c r="AE171" s="292"/>
      <c r="AF171" s="293"/>
      <c r="AG171" s="292" t="s">
        <v>155</v>
      </c>
      <c r="AH171" s="292"/>
      <c r="AI171" s="293"/>
      <c r="AJ171" s="292" t="s">
        <v>154</v>
      </c>
      <c r="AK171" s="292"/>
      <c r="AL171" s="293"/>
      <c r="AM171" s="292" t="s">
        <v>155</v>
      </c>
      <c r="AN171" s="302"/>
    </row>
    <row r="172" spans="1:41" ht="15.75">
      <c r="A172" s="294"/>
      <c r="B172" s="306" t="s">
        <v>156</v>
      </c>
      <c r="C172" s="307" t="s">
        <v>156</v>
      </c>
      <c r="D172" s="52" t="s">
        <v>224</v>
      </c>
      <c r="E172" s="52" t="s">
        <v>224</v>
      </c>
      <c r="F172" s="53" t="s">
        <v>224</v>
      </c>
      <c r="G172" s="306" t="s">
        <v>157</v>
      </c>
      <c r="H172" s="320"/>
      <c r="I172" s="53" t="s">
        <v>222</v>
      </c>
      <c r="J172" s="53" t="s">
        <v>222</v>
      </c>
      <c r="K172" s="54" t="s">
        <v>222</v>
      </c>
      <c r="L172" s="321" t="s">
        <v>22</v>
      </c>
      <c r="M172" s="90" t="s">
        <v>22</v>
      </c>
      <c r="N172" s="303" t="s">
        <v>397</v>
      </c>
      <c r="O172" s="71"/>
      <c r="P172" s="294"/>
      <c r="Q172" s="306" t="s">
        <v>86</v>
      </c>
      <c r="R172" s="307" t="s">
        <v>77</v>
      </c>
      <c r="S172" s="307" t="s">
        <v>78</v>
      </c>
      <c r="T172" s="306" t="s">
        <v>86</v>
      </c>
      <c r="U172" s="307" t="s">
        <v>77</v>
      </c>
      <c r="V172" s="307" t="s">
        <v>78</v>
      </c>
      <c r="W172" s="472" t="s">
        <v>29</v>
      </c>
      <c r="X172" s="307" t="s">
        <v>77</v>
      </c>
      <c r="Y172" s="307" t="s">
        <v>78</v>
      </c>
      <c r="Z172" s="472" t="s">
        <v>29</v>
      </c>
      <c r="AA172" s="307" t="s">
        <v>77</v>
      </c>
      <c r="AB172" s="307" t="s">
        <v>78</v>
      </c>
      <c r="AC172" s="306" t="s">
        <v>30</v>
      </c>
      <c r="AD172" s="307" t="s">
        <v>77</v>
      </c>
      <c r="AE172" s="307" t="s">
        <v>78</v>
      </c>
      <c r="AF172" s="306" t="s">
        <v>30</v>
      </c>
      <c r="AG172" s="307" t="s">
        <v>77</v>
      </c>
      <c r="AH172" s="307" t="s">
        <v>78</v>
      </c>
      <c r="AI172" s="306" t="s">
        <v>158</v>
      </c>
      <c r="AJ172" s="307" t="s">
        <v>77</v>
      </c>
      <c r="AK172" s="307" t="s">
        <v>78</v>
      </c>
      <c r="AL172" s="306" t="s">
        <v>158</v>
      </c>
      <c r="AM172" s="307" t="s">
        <v>77</v>
      </c>
      <c r="AN172" s="308" t="s">
        <v>78</v>
      </c>
    </row>
    <row r="173" spans="1:41" ht="15.75">
      <c r="A173" s="293" t="s">
        <v>159</v>
      </c>
      <c r="B173" s="74">
        <v>2131</v>
      </c>
      <c r="C173" s="60">
        <v>237</v>
      </c>
      <c r="D173" s="74">
        <v>25742</v>
      </c>
      <c r="E173" s="292"/>
      <c r="F173" s="60">
        <v>5657</v>
      </c>
      <c r="G173" s="93">
        <v>9.4000000000000004E-3</v>
      </c>
      <c r="H173" s="94">
        <f>D173*0.2931/B173</f>
        <v>3.5405819802909435</v>
      </c>
      <c r="I173" s="104">
        <v>64</v>
      </c>
      <c r="J173" s="104">
        <v>74.900000000000006</v>
      </c>
      <c r="K173" s="694">
        <f>K89/100*180+32</f>
        <v>63.212000000000003</v>
      </c>
      <c r="L173" s="277">
        <v>1.14E-2</v>
      </c>
      <c r="M173" s="277">
        <v>9.7000000000000003E-3</v>
      </c>
      <c r="N173" s="322">
        <v>29.9</v>
      </c>
      <c r="O173" s="292"/>
      <c r="P173" s="293" t="s">
        <v>91</v>
      </c>
      <c r="Q173" s="77">
        <v>3.8570000000000002</v>
      </c>
      <c r="R173" s="80">
        <v>37376</v>
      </c>
      <c r="S173" s="76">
        <v>16</v>
      </c>
      <c r="T173" s="77">
        <v>2.8010000000000002</v>
      </c>
      <c r="U173" s="80">
        <v>37956</v>
      </c>
      <c r="V173" s="76">
        <v>12</v>
      </c>
      <c r="W173" s="62">
        <v>25.11</v>
      </c>
      <c r="X173" s="80">
        <v>37368</v>
      </c>
      <c r="Y173" s="60">
        <v>15</v>
      </c>
      <c r="Z173" s="62">
        <v>8.83</v>
      </c>
      <c r="AA173" s="80">
        <v>36897</v>
      </c>
      <c r="AB173" s="60">
        <v>6</v>
      </c>
      <c r="AC173" s="74">
        <v>1.37E-2</v>
      </c>
      <c r="AD173" s="80">
        <v>37941</v>
      </c>
      <c r="AE173" s="60">
        <v>16</v>
      </c>
      <c r="AF173" s="74">
        <v>1.6999999999999999E-3</v>
      </c>
      <c r="AG173" s="80">
        <v>36895</v>
      </c>
      <c r="AH173" s="60">
        <v>24</v>
      </c>
      <c r="AI173" s="62">
        <v>68.849999999999994</v>
      </c>
      <c r="AJ173" s="80">
        <v>37941</v>
      </c>
      <c r="AK173" s="60">
        <v>16</v>
      </c>
      <c r="AL173" s="62">
        <v>11.97</v>
      </c>
      <c r="AM173" s="80">
        <v>37566</v>
      </c>
      <c r="AN173" s="278">
        <v>4</v>
      </c>
      <c r="AO173" s="293" t="s">
        <v>91</v>
      </c>
    </row>
    <row r="174" spans="1:41" ht="15.75">
      <c r="A174" s="293" t="s">
        <v>166</v>
      </c>
      <c r="B174" s="74">
        <v>2182</v>
      </c>
      <c r="C174" s="60">
        <v>241</v>
      </c>
      <c r="D174" s="74">
        <v>26022</v>
      </c>
      <c r="E174" s="292"/>
      <c r="F174" s="60">
        <v>5322</v>
      </c>
      <c r="G174" s="93">
        <v>9.2999999999999992E-3</v>
      </c>
      <c r="H174" s="94">
        <f t="shared" ref="H174:H196" si="28">D174*0.2931/B174</f>
        <v>3.4954391384051333</v>
      </c>
      <c r="I174" s="104">
        <v>65</v>
      </c>
      <c r="J174" s="104">
        <v>75.099999999999994</v>
      </c>
      <c r="K174" s="323" t="s">
        <v>398</v>
      </c>
      <c r="L174" s="279">
        <v>1.12E-2</v>
      </c>
      <c r="M174" s="279">
        <v>9.5999999999999992E-3</v>
      </c>
      <c r="N174" s="322">
        <v>29.9</v>
      </c>
      <c r="O174" s="292"/>
      <c r="P174" s="293" t="s">
        <v>96</v>
      </c>
      <c r="Q174" s="77">
        <v>4.1280000000000001</v>
      </c>
      <c r="R174" s="80">
        <v>37376</v>
      </c>
      <c r="S174" s="76">
        <v>16</v>
      </c>
      <c r="T174" s="77">
        <v>2.851</v>
      </c>
      <c r="U174" s="80">
        <v>37591</v>
      </c>
      <c r="V174" s="76">
        <v>12</v>
      </c>
      <c r="W174" s="62">
        <v>26.72</v>
      </c>
      <c r="X174" s="80">
        <v>37457</v>
      </c>
      <c r="Y174" s="60">
        <v>16</v>
      </c>
      <c r="Z174" s="62">
        <v>8.83</v>
      </c>
      <c r="AA174" s="80">
        <v>36897</v>
      </c>
      <c r="AB174" s="60">
        <v>6</v>
      </c>
      <c r="AC174" s="74">
        <v>1.89E-2</v>
      </c>
      <c r="AD174" s="80">
        <v>37544</v>
      </c>
      <c r="AE174" s="60">
        <v>9</v>
      </c>
      <c r="AF174" s="74">
        <v>1.6999999999999999E-3</v>
      </c>
      <c r="AG174" s="80">
        <v>36895</v>
      </c>
      <c r="AH174" s="60">
        <v>24</v>
      </c>
      <c r="AI174" s="62">
        <v>100.7</v>
      </c>
      <c r="AJ174" s="80">
        <v>37544</v>
      </c>
      <c r="AK174" s="76">
        <v>9</v>
      </c>
      <c r="AL174" s="62">
        <v>11.97</v>
      </c>
      <c r="AM174" s="80">
        <v>37566</v>
      </c>
      <c r="AN174" s="278">
        <v>4</v>
      </c>
      <c r="AO174" s="293" t="s">
        <v>96</v>
      </c>
    </row>
    <row r="175" spans="1:41" ht="15.75">
      <c r="A175" s="293" t="s">
        <v>169</v>
      </c>
      <c r="B175" s="74">
        <v>2131</v>
      </c>
      <c r="C175" s="60">
        <v>237</v>
      </c>
      <c r="D175" s="74">
        <v>25746</v>
      </c>
      <c r="E175" s="292"/>
      <c r="F175" s="60">
        <v>5691</v>
      </c>
      <c r="G175" s="93">
        <v>9.4000000000000004E-3</v>
      </c>
      <c r="H175" s="94">
        <f t="shared" si="28"/>
        <v>3.541132144533083</v>
      </c>
      <c r="I175" s="104">
        <v>64</v>
      </c>
      <c r="J175" s="104">
        <v>74.900000000000006</v>
      </c>
      <c r="K175" s="323" t="s">
        <v>396</v>
      </c>
      <c r="L175" s="279">
        <v>1.14E-2</v>
      </c>
      <c r="M175" s="279">
        <v>9.7000000000000003E-3</v>
      </c>
      <c r="N175" s="322">
        <v>30</v>
      </c>
      <c r="O175" s="292"/>
      <c r="P175" s="293" t="s">
        <v>98</v>
      </c>
      <c r="Q175" s="77">
        <v>4.9669999999999996</v>
      </c>
      <c r="R175" s="80">
        <v>37531</v>
      </c>
      <c r="S175" s="76">
        <v>9</v>
      </c>
      <c r="T175" s="77">
        <v>2.8050000000000002</v>
      </c>
      <c r="U175" s="80">
        <v>37956</v>
      </c>
      <c r="V175" s="76">
        <v>15</v>
      </c>
      <c r="W175" s="62">
        <v>31.5</v>
      </c>
      <c r="X175" s="80">
        <v>37810</v>
      </c>
      <c r="Y175" s="60">
        <v>16</v>
      </c>
      <c r="Z175" s="62">
        <v>10.78</v>
      </c>
      <c r="AA175" s="80">
        <v>36897</v>
      </c>
      <c r="AB175" s="60">
        <v>7</v>
      </c>
      <c r="AC175" s="93">
        <v>1.7600000000000001E-2</v>
      </c>
      <c r="AD175" s="80">
        <v>37447</v>
      </c>
      <c r="AE175" s="60">
        <v>12</v>
      </c>
      <c r="AF175" s="74">
        <v>1.6999999999999999E-3</v>
      </c>
      <c r="AG175" s="80">
        <v>36895</v>
      </c>
      <c r="AH175" s="60">
        <v>24</v>
      </c>
      <c r="AI175" s="62">
        <v>83.67</v>
      </c>
      <c r="AJ175" s="80">
        <v>37733</v>
      </c>
      <c r="AK175" s="278">
        <v>18</v>
      </c>
      <c r="AL175" s="62">
        <v>11.97</v>
      </c>
      <c r="AM175" s="80">
        <v>37566</v>
      </c>
      <c r="AN175" s="278">
        <v>4</v>
      </c>
      <c r="AO175" s="293" t="s">
        <v>98</v>
      </c>
    </row>
    <row r="176" spans="1:41" ht="15.75">
      <c r="A176" s="293" t="s">
        <v>171</v>
      </c>
      <c r="B176" s="74">
        <v>2126</v>
      </c>
      <c r="C176" s="60">
        <v>236</v>
      </c>
      <c r="D176" s="74">
        <v>25685</v>
      </c>
      <c r="E176" s="292"/>
      <c r="F176" s="60">
        <v>5646</v>
      </c>
      <c r="G176" s="93">
        <v>9.4000000000000004E-3</v>
      </c>
      <c r="H176" s="94">
        <f t="shared" si="28"/>
        <v>3.5410505644402641</v>
      </c>
      <c r="I176" s="104">
        <v>64</v>
      </c>
      <c r="J176" s="104">
        <v>74.900000000000006</v>
      </c>
      <c r="K176" s="478"/>
      <c r="L176" s="279">
        <v>1.14E-2</v>
      </c>
      <c r="M176" s="279">
        <v>9.7000000000000003E-3</v>
      </c>
      <c r="N176" s="322">
        <v>30</v>
      </c>
      <c r="O176" s="292"/>
      <c r="P176" s="293" t="s">
        <v>102</v>
      </c>
      <c r="Q176" s="77">
        <v>5.5949999999999998</v>
      </c>
      <c r="R176" s="80">
        <v>37531</v>
      </c>
      <c r="S176" s="76">
        <v>9</v>
      </c>
      <c r="T176" s="77">
        <v>2.8010000000000002</v>
      </c>
      <c r="U176" s="80">
        <v>37956</v>
      </c>
      <c r="V176" s="76">
        <v>12</v>
      </c>
      <c r="W176" s="62">
        <v>32</v>
      </c>
      <c r="X176" s="80">
        <v>37822</v>
      </c>
      <c r="Y176" s="60">
        <v>16</v>
      </c>
      <c r="Z176" s="62">
        <v>8.83</v>
      </c>
      <c r="AA176" s="80">
        <v>36897</v>
      </c>
      <c r="AB176" s="60">
        <v>6</v>
      </c>
      <c r="AC176" s="93">
        <v>1.77E-2</v>
      </c>
      <c r="AD176" s="80">
        <v>37447</v>
      </c>
      <c r="AE176" s="60">
        <v>13</v>
      </c>
      <c r="AF176" s="74">
        <v>1.6999999999999999E-3</v>
      </c>
      <c r="AG176" s="80">
        <v>36895</v>
      </c>
      <c r="AH176" s="60">
        <v>24</v>
      </c>
      <c r="AI176" s="62">
        <v>77.94</v>
      </c>
      <c r="AJ176" s="80">
        <v>37882</v>
      </c>
      <c r="AK176" s="76">
        <v>9</v>
      </c>
      <c r="AL176" s="62">
        <v>11.97</v>
      </c>
      <c r="AM176" s="80">
        <v>37566</v>
      </c>
      <c r="AN176" s="278">
        <v>4</v>
      </c>
      <c r="AO176" s="293" t="s">
        <v>102</v>
      </c>
    </row>
    <row r="177" spans="1:41" ht="15.75">
      <c r="A177" s="293" t="s">
        <v>173</v>
      </c>
      <c r="B177" s="74">
        <v>1909</v>
      </c>
      <c r="C177" s="60">
        <v>215</v>
      </c>
      <c r="D177" s="74">
        <v>23040</v>
      </c>
      <c r="E177" s="292"/>
      <c r="F177" s="60">
        <v>3689</v>
      </c>
      <c r="G177" s="93">
        <v>8.9999999999999993E-3</v>
      </c>
      <c r="H177" s="94">
        <f t="shared" si="28"/>
        <v>3.5374667365112624</v>
      </c>
      <c r="I177" s="104">
        <v>63</v>
      </c>
      <c r="J177" s="104">
        <v>74.8</v>
      </c>
      <c r="K177" s="478"/>
      <c r="L177" s="279">
        <v>1.03E-2</v>
      </c>
      <c r="M177" s="279">
        <v>9.1999999999999998E-3</v>
      </c>
      <c r="N177" s="322">
        <v>30</v>
      </c>
      <c r="O177" s="292"/>
      <c r="P177" s="293" t="s">
        <v>356</v>
      </c>
      <c r="Q177" s="77">
        <v>5.3390000000000004</v>
      </c>
      <c r="R177" s="80">
        <v>37531</v>
      </c>
      <c r="S177" s="76">
        <v>9</v>
      </c>
      <c r="T177" s="77">
        <v>2.8010000000000002</v>
      </c>
      <c r="U177" s="80">
        <v>37956</v>
      </c>
      <c r="V177" s="76">
        <v>12</v>
      </c>
      <c r="W177" s="276">
        <v>31.56</v>
      </c>
      <c r="X177" s="80">
        <v>37810</v>
      </c>
      <c r="Y177" s="60">
        <v>16</v>
      </c>
      <c r="Z177" s="276">
        <v>8.83</v>
      </c>
      <c r="AA177" s="80">
        <v>36897</v>
      </c>
      <c r="AB177" s="60">
        <v>6</v>
      </c>
      <c r="AC177" s="432">
        <v>1.7399999999999999E-2</v>
      </c>
      <c r="AD177" s="80">
        <v>37447</v>
      </c>
      <c r="AE177" s="60">
        <v>12</v>
      </c>
      <c r="AF177" s="74">
        <v>1.6999999999999999E-3</v>
      </c>
      <c r="AG177" s="80">
        <v>36895</v>
      </c>
      <c r="AH177" s="60">
        <v>24</v>
      </c>
      <c r="AI177" s="62">
        <v>81.260000000000005</v>
      </c>
      <c r="AJ177" s="80">
        <v>37733</v>
      </c>
      <c r="AK177" s="278">
        <v>18</v>
      </c>
      <c r="AL177" s="62">
        <v>11.97</v>
      </c>
      <c r="AM177" s="80">
        <v>37566</v>
      </c>
      <c r="AN177" s="278">
        <v>4</v>
      </c>
      <c r="AO177" s="293" t="s">
        <v>356</v>
      </c>
    </row>
    <row r="178" spans="1:41" ht="15.75">
      <c r="A178" s="293" t="s">
        <v>174</v>
      </c>
      <c r="B178" s="74">
        <v>2392</v>
      </c>
      <c r="C178" s="60">
        <v>259</v>
      </c>
      <c r="D178" s="74">
        <v>27926</v>
      </c>
      <c r="E178" s="292"/>
      <c r="F178" s="60">
        <v>5959</v>
      </c>
      <c r="G178" s="93">
        <v>9.1999999999999998E-3</v>
      </c>
      <c r="H178" s="94">
        <f t="shared" si="28"/>
        <v>3.4218689799331106</v>
      </c>
      <c r="I178" s="104">
        <v>67</v>
      </c>
      <c r="J178" s="104">
        <v>75.400000000000006</v>
      </c>
      <c r="K178" s="478"/>
      <c r="L178" s="279">
        <v>1.1299999999999999E-2</v>
      </c>
      <c r="M178" s="279">
        <v>9.4999999999999998E-3</v>
      </c>
      <c r="N178" s="322">
        <v>30</v>
      </c>
      <c r="O178" s="292"/>
      <c r="P178" s="293" t="s">
        <v>105</v>
      </c>
      <c r="Q178" s="77">
        <v>3.863</v>
      </c>
      <c r="R178" s="80">
        <v>38265</v>
      </c>
      <c r="S178" s="76">
        <v>3</v>
      </c>
      <c r="T178" s="77">
        <v>2.8010000000000002</v>
      </c>
      <c r="U178" s="80">
        <v>37956</v>
      </c>
      <c r="V178" s="76">
        <v>12</v>
      </c>
      <c r="W178" s="62">
        <v>34.94</v>
      </c>
      <c r="X178" s="80">
        <v>38162</v>
      </c>
      <c r="Y178" s="60">
        <v>24</v>
      </c>
      <c r="Z178" s="62">
        <v>8.83</v>
      </c>
      <c r="AA178" s="80">
        <v>36897</v>
      </c>
      <c r="AB178" s="60">
        <v>6</v>
      </c>
      <c r="AC178" s="93">
        <v>1.9900000000000001E-2</v>
      </c>
      <c r="AD178" s="80">
        <v>37470</v>
      </c>
      <c r="AE178" s="60">
        <v>22</v>
      </c>
      <c r="AF178" s="74">
        <v>1.6999999999999999E-3</v>
      </c>
      <c r="AG178" s="80">
        <v>36895</v>
      </c>
      <c r="AH178" s="60">
        <v>24</v>
      </c>
      <c r="AI178" s="62">
        <v>81.12</v>
      </c>
      <c r="AJ178" s="80">
        <v>37840</v>
      </c>
      <c r="AK178" s="76">
        <v>21</v>
      </c>
      <c r="AL178" s="62">
        <v>11.97</v>
      </c>
      <c r="AM178" s="80">
        <v>37566</v>
      </c>
      <c r="AN178" s="278">
        <v>4</v>
      </c>
      <c r="AO178" s="293" t="s">
        <v>105</v>
      </c>
    </row>
    <row r="179" spans="1:41" ht="15.75">
      <c r="A179" s="293" t="s">
        <v>176</v>
      </c>
      <c r="B179" s="74">
        <v>3576</v>
      </c>
      <c r="C179" s="60">
        <v>353</v>
      </c>
      <c r="D179" s="74">
        <v>38324</v>
      </c>
      <c r="E179" s="292"/>
      <c r="F179" s="60">
        <v>9843</v>
      </c>
      <c r="G179" s="93">
        <v>9.7999999999999997E-3</v>
      </c>
      <c r="H179" s="94">
        <f t="shared" si="28"/>
        <v>3.1411533557046987</v>
      </c>
      <c r="I179" s="104">
        <v>77</v>
      </c>
      <c r="J179" s="104">
        <v>76.900000000000006</v>
      </c>
      <c r="K179" s="478"/>
      <c r="L179" s="279">
        <v>1.3299999999999999E-2</v>
      </c>
      <c r="M179" s="279">
        <v>1.03E-2</v>
      </c>
      <c r="N179" s="322">
        <v>30</v>
      </c>
      <c r="O179" s="292"/>
      <c r="P179" s="293" t="s">
        <v>108</v>
      </c>
      <c r="Q179" s="77">
        <v>4.4269999999999996</v>
      </c>
      <c r="R179" s="80">
        <v>37533</v>
      </c>
      <c r="S179" s="76">
        <v>24</v>
      </c>
      <c r="T179" s="77">
        <v>2.8010000000000002</v>
      </c>
      <c r="U179" s="80">
        <v>37956</v>
      </c>
      <c r="V179" s="76">
        <v>12</v>
      </c>
      <c r="W179" s="62">
        <v>32.56</v>
      </c>
      <c r="X179" s="80">
        <v>38188</v>
      </c>
      <c r="Y179" s="60">
        <v>16</v>
      </c>
      <c r="Z179" s="62">
        <v>8.83</v>
      </c>
      <c r="AA179" s="80">
        <v>36897</v>
      </c>
      <c r="AB179" s="60">
        <v>6</v>
      </c>
      <c r="AC179" s="93">
        <v>1.37E-2</v>
      </c>
      <c r="AD179" s="80">
        <v>37941</v>
      </c>
      <c r="AE179" s="60">
        <v>16</v>
      </c>
      <c r="AF179" s="74">
        <v>1.6999999999999999E-3</v>
      </c>
      <c r="AG179" s="80">
        <v>36895</v>
      </c>
      <c r="AH179" s="60">
        <v>24</v>
      </c>
      <c r="AI179" s="62">
        <v>68.849999999999994</v>
      </c>
      <c r="AJ179" s="80">
        <v>37941</v>
      </c>
      <c r="AK179" s="76">
        <v>16</v>
      </c>
      <c r="AL179" s="62">
        <v>11.97</v>
      </c>
      <c r="AM179" s="80">
        <v>37566</v>
      </c>
      <c r="AN179" s="278">
        <v>4</v>
      </c>
      <c r="AO179" s="293" t="s">
        <v>108</v>
      </c>
    </row>
    <row r="180" spans="1:41" ht="15.75">
      <c r="A180" s="293" t="s">
        <v>178</v>
      </c>
      <c r="B180" s="74">
        <v>3480</v>
      </c>
      <c r="C180" s="60">
        <v>335</v>
      </c>
      <c r="D180" s="74">
        <v>35045</v>
      </c>
      <c r="E180" s="292"/>
      <c r="F180" s="60">
        <v>4103</v>
      </c>
      <c r="G180" s="93">
        <v>9.4000000000000004E-3</v>
      </c>
      <c r="H180" s="94">
        <f t="shared" si="28"/>
        <v>2.9516349137931037</v>
      </c>
      <c r="I180" s="104">
        <v>81</v>
      </c>
      <c r="J180" s="104">
        <v>77.5</v>
      </c>
      <c r="K180" s="478"/>
      <c r="L180" s="279">
        <v>1.09E-2</v>
      </c>
      <c r="M180" s="279">
        <v>9.5999999999999992E-3</v>
      </c>
      <c r="N180" s="322">
        <v>30</v>
      </c>
      <c r="O180" s="292"/>
      <c r="P180" s="293" t="s">
        <v>109</v>
      </c>
      <c r="Q180" s="77">
        <v>4.7759999999999998</v>
      </c>
      <c r="R180" s="80">
        <v>37882</v>
      </c>
      <c r="S180" s="76">
        <v>15</v>
      </c>
      <c r="T180" s="77">
        <v>2.7349999999999999</v>
      </c>
      <c r="U180" s="80">
        <v>37958</v>
      </c>
      <c r="V180" s="76">
        <v>13</v>
      </c>
      <c r="W180" s="62">
        <v>28.83</v>
      </c>
      <c r="X180" s="80">
        <v>37517</v>
      </c>
      <c r="Y180" s="60">
        <v>16</v>
      </c>
      <c r="Z180" s="62">
        <v>8.83</v>
      </c>
      <c r="AA180" s="80">
        <v>36897</v>
      </c>
      <c r="AB180" s="60">
        <v>6</v>
      </c>
      <c r="AC180" s="93">
        <v>1.7000000000000001E-2</v>
      </c>
      <c r="AD180" s="80">
        <v>37716</v>
      </c>
      <c r="AE180" s="60">
        <v>21</v>
      </c>
      <c r="AF180" s="74">
        <v>1.6999999999999999E-3</v>
      </c>
      <c r="AG180" s="80">
        <v>36895</v>
      </c>
      <c r="AH180" s="60">
        <v>24</v>
      </c>
      <c r="AI180" s="62">
        <v>85.57</v>
      </c>
      <c r="AJ180" s="80">
        <v>37716</v>
      </c>
      <c r="AK180" s="76">
        <v>21</v>
      </c>
      <c r="AL180" s="62">
        <v>11.97</v>
      </c>
      <c r="AM180" s="80">
        <v>37566</v>
      </c>
      <c r="AN180" s="278">
        <v>4</v>
      </c>
      <c r="AO180" s="293" t="s">
        <v>109</v>
      </c>
    </row>
    <row r="181" spans="1:41" ht="15.75">
      <c r="A181" s="293" t="s">
        <v>180</v>
      </c>
      <c r="B181" s="74">
        <v>4993</v>
      </c>
      <c r="C181" s="60">
        <v>467</v>
      </c>
      <c r="D181" s="74">
        <v>50645</v>
      </c>
      <c r="E181" s="292"/>
      <c r="F181" s="60">
        <v>10129</v>
      </c>
      <c r="G181" s="93">
        <v>9.9000000000000008E-3</v>
      </c>
      <c r="H181" s="94">
        <f t="shared" si="28"/>
        <v>2.9729720608852395</v>
      </c>
      <c r="I181" s="104">
        <v>84</v>
      </c>
      <c r="J181" s="104">
        <v>78</v>
      </c>
      <c r="K181" s="478"/>
      <c r="L181" s="279">
        <v>1.17E-2</v>
      </c>
      <c r="M181" s="279">
        <v>1.01E-2</v>
      </c>
      <c r="N181" s="322">
        <v>30</v>
      </c>
      <c r="O181" s="292"/>
      <c r="P181" s="293" t="s">
        <v>111</v>
      </c>
      <c r="Q181" s="77">
        <v>3.855</v>
      </c>
      <c r="R181" s="80">
        <v>37376</v>
      </c>
      <c r="S181" s="76">
        <v>16</v>
      </c>
      <c r="T181" s="77">
        <v>2.8010000000000002</v>
      </c>
      <c r="U181" s="80">
        <v>37956</v>
      </c>
      <c r="V181" s="76">
        <v>12</v>
      </c>
      <c r="W181" s="62">
        <v>25.11</v>
      </c>
      <c r="X181" s="80">
        <v>37368</v>
      </c>
      <c r="Y181" s="60">
        <v>15</v>
      </c>
      <c r="Z181" s="62">
        <v>8.83</v>
      </c>
      <c r="AA181" s="80">
        <v>36897</v>
      </c>
      <c r="AB181" s="60">
        <v>6</v>
      </c>
      <c r="AC181" s="93">
        <v>1.6899999999999998E-2</v>
      </c>
      <c r="AD181" s="80">
        <v>37348</v>
      </c>
      <c r="AE181" s="60">
        <v>5</v>
      </c>
      <c r="AF181" s="74">
        <v>1.6999999999999999E-3</v>
      </c>
      <c r="AG181" s="80">
        <v>36895</v>
      </c>
      <c r="AH181" s="60">
        <v>24</v>
      </c>
      <c r="AI181" s="62">
        <v>84.79</v>
      </c>
      <c r="AJ181" s="80">
        <v>37348</v>
      </c>
      <c r="AK181" s="76">
        <v>5</v>
      </c>
      <c r="AL181" s="62">
        <v>11.97</v>
      </c>
      <c r="AM181" s="80">
        <v>37566</v>
      </c>
      <c r="AN181" s="278">
        <v>4</v>
      </c>
      <c r="AO181" s="293" t="s">
        <v>111</v>
      </c>
    </row>
    <row r="182" spans="1:41" ht="15.75">
      <c r="A182" s="293" t="s">
        <v>183</v>
      </c>
      <c r="B182" s="74">
        <v>5133</v>
      </c>
      <c r="C182" s="60">
        <v>478</v>
      </c>
      <c r="D182" s="74">
        <v>52517</v>
      </c>
      <c r="E182" s="292"/>
      <c r="F182" s="60">
        <v>11435</v>
      </c>
      <c r="G182" s="93">
        <v>1.0200000000000001E-2</v>
      </c>
      <c r="H182" s="94">
        <f t="shared" si="28"/>
        <v>2.9987790181180602</v>
      </c>
      <c r="I182" s="104">
        <v>84</v>
      </c>
      <c r="J182" s="104">
        <v>78</v>
      </c>
      <c r="K182" s="478"/>
      <c r="L182" s="279">
        <v>1.2500000000000001E-2</v>
      </c>
      <c r="M182" s="279">
        <v>1.0500000000000001E-2</v>
      </c>
      <c r="N182" s="322">
        <v>30</v>
      </c>
      <c r="O182" s="292"/>
      <c r="P182" s="293" t="s">
        <v>112</v>
      </c>
      <c r="Q182" s="77">
        <v>3.7589999999999999</v>
      </c>
      <c r="R182" s="80">
        <v>37891</v>
      </c>
      <c r="S182" s="76">
        <v>15</v>
      </c>
      <c r="T182" s="77">
        <v>2.8010000000000002</v>
      </c>
      <c r="U182" s="80">
        <v>37956</v>
      </c>
      <c r="V182" s="76">
        <v>12</v>
      </c>
      <c r="W182" s="62">
        <v>25.11</v>
      </c>
      <c r="X182" s="80">
        <v>37368</v>
      </c>
      <c r="Y182" s="60">
        <v>15</v>
      </c>
      <c r="Z182" s="62">
        <v>8.83</v>
      </c>
      <c r="AA182" s="80">
        <v>36897</v>
      </c>
      <c r="AB182" s="60">
        <v>6</v>
      </c>
      <c r="AC182" s="93">
        <v>1.41E-2</v>
      </c>
      <c r="AD182" s="80">
        <v>37363</v>
      </c>
      <c r="AE182" s="60">
        <v>3</v>
      </c>
      <c r="AF182" s="74">
        <v>1.6999999999999999E-3</v>
      </c>
      <c r="AG182" s="80">
        <v>36895</v>
      </c>
      <c r="AH182" s="60">
        <v>24</v>
      </c>
      <c r="AI182" s="62">
        <v>71.53</v>
      </c>
      <c r="AJ182" s="80">
        <v>37363</v>
      </c>
      <c r="AK182" s="76">
        <v>3</v>
      </c>
      <c r="AL182" s="62">
        <v>11.97</v>
      </c>
      <c r="AM182" s="80">
        <v>37566</v>
      </c>
      <c r="AN182" s="278">
        <v>4</v>
      </c>
      <c r="AO182" s="293" t="s">
        <v>112</v>
      </c>
    </row>
    <row r="183" spans="1:41" ht="15.75">
      <c r="A183" s="293" t="s">
        <v>186</v>
      </c>
      <c r="B183" s="74">
        <v>5992</v>
      </c>
      <c r="C183" s="60">
        <v>536</v>
      </c>
      <c r="D183" s="74">
        <v>60065</v>
      </c>
      <c r="E183" s="292"/>
      <c r="F183" s="60">
        <v>16334</v>
      </c>
      <c r="G183" s="93">
        <v>1.0699999999999999E-2</v>
      </c>
      <c r="H183" s="94">
        <f t="shared" si="28"/>
        <v>2.9380927069425904</v>
      </c>
      <c r="I183" s="104">
        <v>88</v>
      </c>
      <c r="J183" s="104">
        <v>78.599999999999994</v>
      </c>
      <c r="K183" s="478"/>
      <c r="L183" s="279">
        <v>1.4800000000000001E-2</v>
      </c>
      <c r="M183" s="279">
        <v>1.1299999999999999E-2</v>
      </c>
      <c r="N183" s="322">
        <v>30</v>
      </c>
      <c r="O183" s="292"/>
      <c r="P183" s="293" t="s">
        <v>113</v>
      </c>
      <c r="Q183" s="77">
        <v>3.7589999999999999</v>
      </c>
      <c r="R183" s="80">
        <v>37891</v>
      </c>
      <c r="S183" s="76">
        <v>15</v>
      </c>
      <c r="T183" s="77">
        <v>2.7349999999999999</v>
      </c>
      <c r="U183" s="80">
        <v>37958</v>
      </c>
      <c r="V183" s="76">
        <v>13</v>
      </c>
      <c r="W183" s="62">
        <v>25.11</v>
      </c>
      <c r="X183" s="80">
        <v>37368</v>
      </c>
      <c r="Y183" s="60">
        <v>15</v>
      </c>
      <c r="Z183" s="62">
        <v>8.83</v>
      </c>
      <c r="AA183" s="80">
        <v>36897</v>
      </c>
      <c r="AB183" s="60">
        <v>6</v>
      </c>
      <c r="AC183" s="93">
        <v>1.5599999999999999E-2</v>
      </c>
      <c r="AD183" s="80">
        <v>37713</v>
      </c>
      <c r="AE183" s="60">
        <v>4</v>
      </c>
      <c r="AF183" s="74">
        <v>1.6999999999999999E-3</v>
      </c>
      <c r="AG183" s="80">
        <v>36895</v>
      </c>
      <c r="AH183" s="60">
        <v>24</v>
      </c>
      <c r="AI183" s="62">
        <v>78.430000000000007</v>
      </c>
      <c r="AJ183" s="80">
        <v>37713</v>
      </c>
      <c r="AK183" s="76">
        <v>4</v>
      </c>
      <c r="AL183" s="62">
        <v>11.97</v>
      </c>
      <c r="AM183" s="80">
        <v>37566</v>
      </c>
      <c r="AN183" s="278">
        <v>4</v>
      </c>
      <c r="AO183" s="293" t="s">
        <v>113</v>
      </c>
    </row>
    <row r="184" spans="1:41" ht="15.75">
      <c r="A184" s="293" t="s">
        <v>187</v>
      </c>
      <c r="B184" s="74">
        <v>5513</v>
      </c>
      <c r="C184" s="60">
        <v>498</v>
      </c>
      <c r="D184" s="74">
        <v>55229</v>
      </c>
      <c r="E184" s="292"/>
      <c r="F184" s="60">
        <v>12203</v>
      </c>
      <c r="G184" s="93">
        <v>1.0800000000000001E-2</v>
      </c>
      <c r="H184" s="94">
        <f t="shared" si="28"/>
        <v>2.9362633593324872</v>
      </c>
      <c r="I184" s="104">
        <v>87</v>
      </c>
      <c r="J184" s="104">
        <v>78.5</v>
      </c>
      <c r="K184" s="478"/>
      <c r="L184" s="279">
        <v>1.34E-2</v>
      </c>
      <c r="M184" s="279">
        <v>1.12E-2</v>
      </c>
      <c r="N184" s="322">
        <v>30</v>
      </c>
      <c r="O184" s="292"/>
      <c r="P184" s="293" t="s">
        <v>114</v>
      </c>
      <c r="Q184" s="86">
        <v>3.7589999999999999</v>
      </c>
      <c r="R184" s="82">
        <v>37526</v>
      </c>
      <c r="S184" s="85">
        <v>15</v>
      </c>
      <c r="T184" s="77">
        <v>2.7349999999999999</v>
      </c>
      <c r="U184" s="80">
        <v>37958</v>
      </c>
      <c r="V184" s="76">
        <v>13</v>
      </c>
      <c r="W184" s="62">
        <v>25.11</v>
      </c>
      <c r="X184" s="80">
        <v>37368</v>
      </c>
      <c r="Y184" s="60">
        <v>15</v>
      </c>
      <c r="Z184" s="62">
        <v>8.83</v>
      </c>
      <c r="AA184" s="80">
        <v>36897</v>
      </c>
      <c r="AB184" s="60">
        <v>6</v>
      </c>
      <c r="AC184" s="93">
        <v>1.37E-2</v>
      </c>
      <c r="AD184" s="80">
        <v>37941</v>
      </c>
      <c r="AE184" s="60">
        <v>16</v>
      </c>
      <c r="AF184" s="74">
        <v>1.6999999999999999E-3</v>
      </c>
      <c r="AG184" s="80">
        <v>36895</v>
      </c>
      <c r="AH184" s="60">
        <v>24</v>
      </c>
      <c r="AI184" s="66">
        <v>68.849999999999994</v>
      </c>
      <c r="AJ184" s="82">
        <v>37941</v>
      </c>
      <c r="AK184" s="85">
        <v>16</v>
      </c>
      <c r="AL184" s="66">
        <v>11.97</v>
      </c>
      <c r="AM184" s="82">
        <v>37566</v>
      </c>
      <c r="AN184" s="117">
        <v>4</v>
      </c>
      <c r="AO184" s="293" t="s">
        <v>114</v>
      </c>
    </row>
    <row r="185" spans="1:41" ht="15.75">
      <c r="A185" s="293" t="s">
        <v>191</v>
      </c>
      <c r="B185" s="74">
        <v>6636</v>
      </c>
      <c r="C185" s="60">
        <v>600</v>
      </c>
      <c r="D185" s="74">
        <v>66943</v>
      </c>
      <c r="E185" s="292"/>
      <c r="F185" s="60">
        <v>8481</v>
      </c>
      <c r="G185" s="93">
        <v>1.0200000000000001E-2</v>
      </c>
      <c r="H185" s="94">
        <f t="shared" si="28"/>
        <v>2.9567500452079569</v>
      </c>
      <c r="I185" s="104">
        <v>88</v>
      </c>
      <c r="J185" s="104">
        <v>78.7</v>
      </c>
      <c r="K185" s="478"/>
      <c r="L185" s="279">
        <v>1.15E-2</v>
      </c>
      <c r="M185" s="279">
        <v>1.04E-2</v>
      </c>
      <c r="N185" s="322">
        <v>30</v>
      </c>
      <c r="O185" s="292"/>
      <c r="P185" s="293" t="s">
        <v>116</v>
      </c>
      <c r="Q185" s="77">
        <v>5.3010000000000002</v>
      </c>
      <c r="R185" s="80">
        <v>38273</v>
      </c>
      <c r="S185" s="76">
        <v>9</v>
      </c>
      <c r="T185" s="77">
        <v>2.6520000000000001</v>
      </c>
      <c r="U185" s="80">
        <v>38076</v>
      </c>
      <c r="V185" s="76">
        <v>17</v>
      </c>
      <c r="W185" s="62">
        <v>25.11</v>
      </c>
      <c r="X185" s="80">
        <v>37002</v>
      </c>
      <c r="Y185" s="60">
        <v>16</v>
      </c>
      <c r="Z185" s="62">
        <v>7.94</v>
      </c>
      <c r="AA185" s="80">
        <v>37975</v>
      </c>
      <c r="AB185" s="60">
        <v>11</v>
      </c>
      <c r="AC185" s="93">
        <v>1.18E-2</v>
      </c>
      <c r="AD185" s="80">
        <v>38083</v>
      </c>
      <c r="AE185" s="60">
        <v>10</v>
      </c>
      <c r="AF185" s="74" t="s">
        <v>226</v>
      </c>
      <c r="AG185" s="60"/>
      <c r="AH185" s="60"/>
      <c r="AI185" s="74" t="s">
        <v>226</v>
      </c>
      <c r="AJ185" s="80"/>
      <c r="AK185" s="278"/>
      <c r="AL185" s="74" t="s">
        <v>226</v>
      </c>
      <c r="AM185" s="80">
        <f t="shared" ref="AM185:AN192" si="29">AM269</f>
        <v>0</v>
      </c>
      <c r="AN185" s="278">
        <f t="shared" si="29"/>
        <v>0</v>
      </c>
      <c r="AO185" s="293" t="s">
        <v>116</v>
      </c>
    </row>
    <row r="186" spans="1:41" ht="15.75">
      <c r="A186" s="293" t="s">
        <v>194</v>
      </c>
      <c r="B186" s="74">
        <v>7064</v>
      </c>
      <c r="C186" s="60">
        <v>635</v>
      </c>
      <c r="D186" s="74">
        <v>71031</v>
      </c>
      <c r="E186" s="292"/>
      <c r="F186" s="60">
        <v>10850</v>
      </c>
      <c r="G186" s="93">
        <v>0.01</v>
      </c>
      <c r="H186" s="94">
        <f t="shared" si="28"/>
        <v>2.9472234003397513</v>
      </c>
      <c r="I186" s="104">
        <v>89</v>
      </c>
      <c r="J186" s="104">
        <v>78.900000000000006</v>
      </c>
      <c r="K186" s="478"/>
      <c r="L186" s="279">
        <v>1.21E-2</v>
      </c>
      <c r="M186" s="279">
        <v>1.03E-2</v>
      </c>
      <c r="N186" s="322">
        <v>30</v>
      </c>
      <c r="O186" s="292"/>
      <c r="P186" s="293" t="s">
        <v>121</v>
      </c>
      <c r="Q186" s="77">
        <v>5.3010000000000002</v>
      </c>
      <c r="R186" s="80">
        <v>38273</v>
      </c>
      <c r="S186" s="76">
        <v>9</v>
      </c>
      <c r="T186" s="77">
        <v>2.6520000000000001</v>
      </c>
      <c r="U186" s="80">
        <v>38076</v>
      </c>
      <c r="V186" s="76">
        <v>17</v>
      </c>
      <c r="W186" s="62">
        <v>25.11</v>
      </c>
      <c r="X186" s="80">
        <v>37002</v>
      </c>
      <c r="Y186" s="60">
        <v>3</v>
      </c>
      <c r="Z186" s="62">
        <v>7.94</v>
      </c>
      <c r="AA186" s="80">
        <v>37975</v>
      </c>
      <c r="AB186" s="60">
        <v>11</v>
      </c>
      <c r="AC186" s="93">
        <v>1.1900000000000001E-2</v>
      </c>
      <c r="AD186" s="80">
        <v>37092</v>
      </c>
      <c r="AE186" s="60">
        <v>15</v>
      </c>
      <c r="AF186" s="74" t="s">
        <v>226</v>
      </c>
      <c r="AG186" s="60"/>
      <c r="AH186" s="60"/>
      <c r="AI186" s="74" t="s">
        <v>226</v>
      </c>
      <c r="AJ186" s="80"/>
      <c r="AK186" s="278"/>
      <c r="AL186" s="74" t="s">
        <v>226</v>
      </c>
      <c r="AM186" s="80">
        <f t="shared" si="29"/>
        <v>0</v>
      </c>
      <c r="AN186" s="278">
        <f t="shared" si="29"/>
        <v>0</v>
      </c>
      <c r="AO186" s="293" t="s">
        <v>121</v>
      </c>
    </row>
    <row r="187" spans="1:41" ht="15.75">
      <c r="A187" s="293" t="s">
        <v>79</v>
      </c>
      <c r="B187" s="74">
        <v>8437</v>
      </c>
      <c r="C187" s="60">
        <v>754</v>
      </c>
      <c r="D187" s="74">
        <v>86635</v>
      </c>
      <c r="E187" s="292"/>
      <c r="F187" s="60">
        <v>10904</v>
      </c>
      <c r="G187" s="93">
        <v>9.7999999999999997E-3</v>
      </c>
      <c r="H187" s="94">
        <f t="shared" si="28"/>
        <v>3.0096857295247128</v>
      </c>
      <c r="I187" s="104">
        <v>90</v>
      </c>
      <c r="J187" s="104">
        <v>79</v>
      </c>
      <c r="K187" s="261"/>
      <c r="L187" s="279">
        <v>1.1900000000000001E-2</v>
      </c>
      <c r="M187" s="279">
        <v>1.01E-2</v>
      </c>
      <c r="N187" s="322">
        <v>30</v>
      </c>
      <c r="O187" s="292"/>
      <c r="P187" s="293" t="s">
        <v>125</v>
      </c>
      <c r="Q187" s="77">
        <v>4.6520000000000001</v>
      </c>
      <c r="R187" s="80">
        <v>37696</v>
      </c>
      <c r="S187" s="76">
        <v>10</v>
      </c>
      <c r="T187" s="77">
        <v>2.3940000000000001</v>
      </c>
      <c r="U187" s="80">
        <v>38082</v>
      </c>
      <c r="V187" s="76">
        <v>17</v>
      </c>
      <c r="W187" s="62">
        <v>15.94</v>
      </c>
      <c r="X187" s="80">
        <v>38178</v>
      </c>
      <c r="Y187" s="60">
        <v>16</v>
      </c>
      <c r="Z187" s="62">
        <v>7.89</v>
      </c>
      <c r="AA187" s="80">
        <v>37975</v>
      </c>
      <c r="AB187" s="60">
        <v>12</v>
      </c>
      <c r="AC187" s="93">
        <v>7.7999999999999996E-3</v>
      </c>
      <c r="AD187" s="105">
        <v>38075</v>
      </c>
      <c r="AE187" s="60">
        <v>10</v>
      </c>
      <c r="AF187" s="74" t="s">
        <v>226</v>
      </c>
      <c r="AG187" s="60"/>
      <c r="AH187" s="60"/>
      <c r="AI187" s="74" t="s">
        <v>226</v>
      </c>
      <c r="AJ187" s="80"/>
      <c r="AK187" s="278"/>
      <c r="AL187" s="74" t="s">
        <v>226</v>
      </c>
      <c r="AM187" s="80">
        <f t="shared" si="29"/>
        <v>0</v>
      </c>
      <c r="AN187" s="278">
        <f t="shared" si="29"/>
        <v>0</v>
      </c>
      <c r="AO187" s="293" t="s">
        <v>125</v>
      </c>
    </row>
    <row r="188" spans="1:41" ht="15.75">
      <c r="A188" s="293" t="s">
        <v>198</v>
      </c>
      <c r="B188" s="74">
        <v>9025</v>
      </c>
      <c r="C188" s="60">
        <v>803</v>
      </c>
      <c r="D188" s="74">
        <v>94579</v>
      </c>
      <c r="E188" s="292"/>
      <c r="F188" s="60">
        <v>17700</v>
      </c>
      <c r="G188" s="93">
        <v>9.7999999999999997E-3</v>
      </c>
      <c r="H188" s="94">
        <f t="shared" si="28"/>
        <v>3.0715905706371194</v>
      </c>
      <c r="I188" s="104">
        <v>90</v>
      </c>
      <c r="J188" s="104">
        <v>79.099999999999994</v>
      </c>
      <c r="K188" s="261"/>
      <c r="L188" s="279">
        <v>1.44E-2</v>
      </c>
      <c r="M188" s="279">
        <v>1.0500000000000001E-2</v>
      </c>
      <c r="N188" s="322">
        <v>29.9</v>
      </c>
      <c r="O188" s="292"/>
      <c r="P188" s="293" t="s">
        <v>127</v>
      </c>
      <c r="Q188" s="77">
        <v>5.6779999999999999</v>
      </c>
      <c r="R188" s="80">
        <v>38057</v>
      </c>
      <c r="S188" s="76">
        <v>10</v>
      </c>
      <c r="T188" s="77">
        <v>2.5619999999999998</v>
      </c>
      <c r="U188" s="80">
        <v>38077</v>
      </c>
      <c r="V188" s="76">
        <v>17</v>
      </c>
      <c r="W188" s="62">
        <v>20.11</v>
      </c>
      <c r="X188" s="80">
        <v>37732</v>
      </c>
      <c r="Y188" s="60">
        <v>15</v>
      </c>
      <c r="Z188" s="62">
        <v>7.94</v>
      </c>
      <c r="AA188" s="80">
        <v>37975</v>
      </c>
      <c r="AB188" s="60">
        <v>11</v>
      </c>
      <c r="AC188" s="93">
        <v>1.38E-2</v>
      </c>
      <c r="AD188" s="80">
        <v>38083</v>
      </c>
      <c r="AE188" s="60">
        <v>10</v>
      </c>
      <c r="AF188" s="74" t="s">
        <v>226</v>
      </c>
      <c r="AG188" s="97"/>
      <c r="AH188" s="97"/>
      <c r="AI188" s="74" t="s">
        <v>226</v>
      </c>
      <c r="AJ188" s="80"/>
      <c r="AK188" s="278"/>
      <c r="AL188" s="74" t="s">
        <v>226</v>
      </c>
      <c r="AM188" s="80">
        <f t="shared" si="29"/>
        <v>0</v>
      </c>
      <c r="AN188" s="278">
        <f t="shared" si="29"/>
        <v>0</v>
      </c>
      <c r="AO188" s="293" t="s">
        <v>127</v>
      </c>
    </row>
    <row r="189" spans="1:41" ht="15.75">
      <c r="A189" s="293" t="s">
        <v>201</v>
      </c>
      <c r="B189" s="74">
        <v>6252</v>
      </c>
      <c r="C189" s="60">
        <v>556</v>
      </c>
      <c r="D189" s="74">
        <v>62247</v>
      </c>
      <c r="E189" s="292"/>
      <c r="F189" s="60">
        <v>15846</v>
      </c>
      <c r="G189" s="93">
        <v>1.0699999999999999E-2</v>
      </c>
      <c r="H189" s="94">
        <f t="shared" si="28"/>
        <v>2.9182014875239926</v>
      </c>
      <c r="I189" s="104">
        <v>89</v>
      </c>
      <c r="J189" s="104">
        <v>78.900000000000006</v>
      </c>
      <c r="K189" s="261"/>
      <c r="L189" s="279">
        <v>1.46E-2</v>
      </c>
      <c r="M189" s="279">
        <v>1.1299999999999999E-2</v>
      </c>
      <c r="N189" s="322">
        <v>29.9</v>
      </c>
      <c r="O189" s="292"/>
      <c r="P189" s="293" t="s">
        <v>130</v>
      </c>
      <c r="Q189" s="77">
        <v>6.0309999999999997</v>
      </c>
      <c r="R189" s="80">
        <v>38062</v>
      </c>
      <c r="S189" s="76">
        <v>10</v>
      </c>
      <c r="T189" s="77">
        <v>2.8140000000000001</v>
      </c>
      <c r="U189" s="80">
        <v>38077</v>
      </c>
      <c r="V189" s="76">
        <v>17</v>
      </c>
      <c r="W189" s="62">
        <v>35.06</v>
      </c>
      <c r="X189" s="105">
        <v>37732</v>
      </c>
      <c r="Y189" s="97">
        <v>16</v>
      </c>
      <c r="Z189" s="62">
        <v>7.94</v>
      </c>
      <c r="AA189" s="80">
        <v>37975</v>
      </c>
      <c r="AB189" s="60">
        <v>12</v>
      </c>
      <c r="AC189" s="93">
        <v>1.7999999999999999E-2</v>
      </c>
      <c r="AD189" s="80">
        <v>37457</v>
      </c>
      <c r="AE189" s="60">
        <v>15</v>
      </c>
      <c r="AF189" s="74" t="s">
        <v>226</v>
      </c>
      <c r="AG189" s="97"/>
      <c r="AH189" s="97"/>
      <c r="AI189" s="74" t="s">
        <v>226</v>
      </c>
      <c r="AJ189" s="80"/>
      <c r="AK189" s="278"/>
      <c r="AL189" s="74" t="s">
        <v>226</v>
      </c>
      <c r="AM189" s="80">
        <f t="shared" si="29"/>
        <v>0</v>
      </c>
      <c r="AN189" s="278">
        <f t="shared" si="29"/>
        <v>0</v>
      </c>
      <c r="AO189" s="293" t="s">
        <v>130</v>
      </c>
    </row>
    <row r="190" spans="1:41" ht="15.75">
      <c r="A190" s="293" t="s">
        <v>204</v>
      </c>
      <c r="B190" s="74">
        <v>6072</v>
      </c>
      <c r="C190" s="60">
        <v>541</v>
      </c>
      <c r="D190" s="74">
        <v>61337</v>
      </c>
      <c r="E190" s="292"/>
      <c r="F190" s="60">
        <v>17558</v>
      </c>
      <c r="G190" s="93">
        <v>1.12E-2</v>
      </c>
      <c r="H190" s="94">
        <f t="shared" si="28"/>
        <v>2.9607830533596839</v>
      </c>
      <c r="I190" s="104">
        <v>88</v>
      </c>
      <c r="J190" s="104">
        <v>78.7</v>
      </c>
      <c r="K190" s="261"/>
      <c r="L190" s="279">
        <v>1.5699999999999999E-2</v>
      </c>
      <c r="M190" s="279">
        <v>1.18E-2</v>
      </c>
      <c r="N190" s="322">
        <v>29.9</v>
      </c>
      <c r="O190" s="292"/>
      <c r="P190" s="293" t="s">
        <v>132</v>
      </c>
      <c r="Q190" s="77">
        <v>3.85</v>
      </c>
      <c r="R190" s="80">
        <v>38273</v>
      </c>
      <c r="S190" s="76">
        <v>9</v>
      </c>
      <c r="T190" s="77">
        <v>2.4980000000000002</v>
      </c>
      <c r="U190" s="80">
        <v>37466</v>
      </c>
      <c r="V190" s="76">
        <v>12</v>
      </c>
      <c r="W190" s="643">
        <v>25.06</v>
      </c>
      <c r="X190" s="80">
        <v>37002</v>
      </c>
      <c r="Y190" s="60">
        <v>16</v>
      </c>
      <c r="Z190" s="62">
        <v>7.94</v>
      </c>
      <c r="AA190" s="80">
        <v>37975</v>
      </c>
      <c r="AB190" s="60">
        <v>11</v>
      </c>
      <c r="AC190" s="644">
        <v>8.0999999999999996E-3</v>
      </c>
      <c r="AD190" s="80">
        <v>38188</v>
      </c>
      <c r="AE190" s="60">
        <v>15</v>
      </c>
      <c r="AF190" s="74" t="s">
        <v>226</v>
      </c>
      <c r="AG190" s="292"/>
      <c r="AH190" s="292"/>
      <c r="AI190" s="74" t="s">
        <v>226</v>
      </c>
      <c r="AJ190" s="80"/>
      <c r="AK190" s="278"/>
      <c r="AL190" s="74" t="s">
        <v>226</v>
      </c>
      <c r="AM190" s="80">
        <f t="shared" si="29"/>
        <v>0</v>
      </c>
      <c r="AN190" s="278">
        <f t="shared" si="29"/>
        <v>0</v>
      </c>
      <c r="AO190" s="293" t="s">
        <v>132</v>
      </c>
    </row>
    <row r="191" spans="1:41" ht="15.75">
      <c r="A191" s="293" t="s">
        <v>206</v>
      </c>
      <c r="B191" s="74">
        <v>5168</v>
      </c>
      <c r="C191" s="60">
        <v>479</v>
      </c>
      <c r="D191" s="74">
        <v>54297</v>
      </c>
      <c r="E191" s="292"/>
      <c r="F191" s="60">
        <v>13795</v>
      </c>
      <c r="G191" s="93">
        <v>1.11E-2</v>
      </c>
      <c r="H191" s="94">
        <f t="shared" si="28"/>
        <v>3.0794215750773994</v>
      </c>
      <c r="I191" s="104">
        <v>83</v>
      </c>
      <c r="J191" s="104">
        <v>77.900000000000006</v>
      </c>
      <c r="K191" s="478"/>
      <c r="L191" s="279">
        <v>1.43E-2</v>
      </c>
      <c r="M191" s="279">
        <v>1.1599999999999999E-2</v>
      </c>
      <c r="N191" s="322">
        <v>29.9</v>
      </c>
      <c r="O191" s="292"/>
      <c r="P191" s="293" t="s">
        <v>135</v>
      </c>
      <c r="Q191" s="77">
        <v>3.4550000000000001</v>
      </c>
      <c r="R191" s="80">
        <v>38107</v>
      </c>
      <c r="S191" s="76">
        <v>16</v>
      </c>
      <c r="T191" s="77">
        <v>2.262</v>
      </c>
      <c r="U191" s="105">
        <v>41120</v>
      </c>
      <c r="V191" s="693">
        <v>12</v>
      </c>
      <c r="W191" s="643">
        <v>15.11</v>
      </c>
      <c r="X191" s="80">
        <v>38138</v>
      </c>
      <c r="Y191" s="60">
        <v>16</v>
      </c>
      <c r="Z191" s="62">
        <v>7.89</v>
      </c>
      <c r="AA191" s="80">
        <v>37975</v>
      </c>
      <c r="AB191" s="60">
        <v>12</v>
      </c>
      <c r="AC191" s="644">
        <v>6.3E-3</v>
      </c>
      <c r="AD191" s="80">
        <v>38085</v>
      </c>
      <c r="AE191" s="60">
        <v>8</v>
      </c>
      <c r="AF191" s="74" t="s">
        <v>226</v>
      </c>
      <c r="AG191" s="292"/>
      <c r="AH191" s="292"/>
      <c r="AI191" s="74" t="s">
        <v>226</v>
      </c>
      <c r="AJ191" s="80"/>
      <c r="AK191" s="278"/>
      <c r="AL191" s="74" t="s">
        <v>226</v>
      </c>
      <c r="AM191" s="80">
        <f t="shared" si="29"/>
        <v>0</v>
      </c>
      <c r="AN191" s="278">
        <f t="shared" si="29"/>
        <v>0</v>
      </c>
      <c r="AO191" s="293" t="s">
        <v>135</v>
      </c>
    </row>
    <row r="192" spans="1:41" ht="15.75">
      <c r="A192" s="293" t="s">
        <v>207</v>
      </c>
      <c r="B192" s="74">
        <v>5358</v>
      </c>
      <c r="C192" s="60">
        <v>503</v>
      </c>
      <c r="D192" s="74">
        <v>58411</v>
      </c>
      <c r="E192" s="292"/>
      <c r="F192" s="60">
        <v>19059</v>
      </c>
      <c r="G192" s="93">
        <v>1.1299999999999999E-2</v>
      </c>
      <c r="H192" s="94">
        <f t="shared" si="28"/>
        <v>3.1952713885778277</v>
      </c>
      <c r="I192" s="104">
        <v>81</v>
      </c>
      <c r="J192" s="104">
        <v>77.599999999999994</v>
      </c>
      <c r="K192" s="478"/>
      <c r="L192" s="279">
        <v>1.6400000000000001E-2</v>
      </c>
      <c r="M192" s="279">
        <v>1.21E-2</v>
      </c>
      <c r="N192" s="322">
        <v>30</v>
      </c>
      <c r="O192" s="292"/>
      <c r="P192" s="294" t="s">
        <v>138</v>
      </c>
      <c r="Q192" s="86">
        <v>4.4279999999999999</v>
      </c>
      <c r="R192" s="82">
        <v>38062</v>
      </c>
      <c r="S192" s="85">
        <v>10</v>
      </c>
      <c r="T192" s="86">
        <v>2.722</v>
      </c>
      <c r="U192" s="82">
        <v>37467</v>
      </c>
      <c r="V192" s="85">
        <v>12</v>
      </c>
      <c r="W192" s="645">
        <v>35</v>
      </c>
      <c r="X192" s="646">
        <v>38098</v>
      </c>
      <c r="Y192" s="647">
        <v>15</v>
      </c>
      <c r="Z192" s="62">
        <v>7.94</v>
      </c>
      <c r="AA192" s="80">
        <v>37975</v>
      </c>
      <c r="AB192" s="60">
        <v>12</v>
      </c>
      <c r="AC192" s="648">
        <v>1.2200000000000001E-2</v>
      </c>
      <c r="AD192" s="646">
        <v>38188</v>
      </c>
      <c r="AE192" s="647">
        <v>15</v>
      </c>
      <c r="AF192" s="81" t="s">
        <v>226</v>
      </c>
      <c r="AG192" s="325"/>
      <c r="AH192" s="325"/>
      <c r="AI192" s="81" t="s">
        <v>226</v>
      </c>
      <c r="AJ192" s="82"/>
      <c r="AK192" s="117"/>
      <c r="AL192" s="81" t="s">
        <v>226</v>
      </c>
      <c r="AM192" s="82">
        <f t="shared" si="29"/>
        <v>0</v>
      </c>
      <c r="AN192" s="117">
        <f t="shared" si="29"/>
        <v>0</v>
      </c>
      <c r="AO192" s="294" t="s">
        <v>138</v>
      </c>
    </row>
    <row r="193" spans="1:40" ht="15.75">
      <c r="A193" s="293" t="s">
        <v>208</v>
      </c>
      <c r="B193" s="74">
        <v>4324</v>
      </c>
      <c r="C193" s="60">
        <v>406</v>
      </c>
      <c r="D193" s="74">
        <v>45872</v>
      </c>
      <c r="E193" s="292"/>
      <c r="F193" s="60">
        <v>14133</v>
      </c>
      <c r="G193" s="93">
        <v>1.1299999999999999E-2</v>
      </c>
      <c r="H193" s="94">
        <f t="shared" si="28"/>
        <v>3.1094086956521743</v>
      </c>
      <c r="I193" s="104">
        <v>81</v>
      </c>
      <c r="J193" s="104">
        <v>77.599999999999994</v>
      </c>
      <c r="K193" s="478"/>
      <c r="L193" s="279">
        <v>1.6400000000000001E-2</v>
      </c>
      <c r="M193" s="279">
        <v>1.21E-2</v>
      </c>
      <c r="N193" s="322">
        <v>30</v>
      </c>
      <c r="O193" s="292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t="s">
        <v>480</v>
      </c>
      <c r="AJ193" s="71"/>
      <c r="AK193" s="71"/>
      <c r="AL193" s="71"/>
      <c r="AM193" s="71"/>
      <c r="AN193" s="71"/>
    </row>
    <row r="194" spans="1:40" ht="15.75">
      <c r="A194" s="293" t="s">
        <v>209</v>
      </c>
      <c r="B194" s="74">
        <v>4222</v>
      </c>
      <c r="C194" s="60">
        <v>399</v>
      </c>
      <c r="D194" s="74">
        <v>45326</v>
      </c>
      <c r="E194" s="292"/>
      <c r="F194" s="60">
        <v>14709</v>
      </c>
      <c r="G194" s="93">
        <v>1.14E-2</v>
      </c>
      <c r="H194" s="94">
        <f t="shared" si="28"/>
        <v>3.1466249644718145</v>
      </c>
      <c r="I194" s="104">
        <v>80</v>
      </c>
      <c r="J194" s="104">
        <v>77.400000000000006</v>
      </c>
      <c r="K194" s="478"/>
      <c r="L194" s="279">
        <v>1.67E-2</v>
      </c>
      <c r="M194" s="279">
        <v>1.2200000000000001E-2</v>
      </c>
      <c r="N194" s="322">
        <v>30</v>
      </c>
      <c r="O194" s="292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</row>
    <row r="195" spans="1:40" ht="15.75">
      <c r="A195" s="293" t="s">
        <v>210</v>
      </c>
      <c r="B195" s="74">
        <v>4142</v>
      </c>
      <c r="C195" s="60">
        <v>394</v>
      </c>
      <c r="D195" s="74">
        <v>45009</v>
      </c>
      <c r="E195" s="292"/>
      <c r="F195" s="60">
        <v>15028</v>
      </c>
      <c r="G195" s="93">
        <v>1.15E-2</v>
      </c>
      <c r="H195" s="94">
        <f t="shared" si="28"/>
        <v>3.1849681071945923</v>
      </c>
      <c r="I195" s="104">
        <v>79</v>
      </c>
      <c r="J195" s="104">
        <v>77.2</v>
      </c>
      <c r="K195" s="478"/>
      <c r="L195" s="279">
        <v>1.6899999999999998E-2</v>
      </c>
      <c r="M195" s="279">
        <v>1.23E-2</v>
      </c>
      <c r="N195" s="322">
        <v>30</v>
      </c>
      <c r="O195" s="292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</row>
    <row r="196" spans="1:40" ht="15.75">
      <c r="A196" s="294" t="s">
        <v>211</v>
      </c>
      <c r="B196" s="81">
        <v>4287</v>
      </c>
      <c r="C196" s="64">
        <v>407</v>
      </c>
      <c r="D196" s="81">
        <v>46927</v>
      </c>
      <c r="E196" s="71"/>
      <c r="F196" s="64">
        <v>16904</v>
      </c>
      <c r="G196" s="98">
        <v>1.17E-2</v>
      </c>
      <c r="H196" s="94">
        <f t="shared" si="28"/>
        <v>3.2083750174947516</v>
      </c>
      <c r="I196" s="649">
        <v>79</v>
      </c>
      <c r="J196" s="467">
        <v>77.2</v>
      </c>
      <c r="K196" s="479"/>
      <c r="L196" s="279">
        <v>1.78E-2</v>
      </c>
      <c r="M196" s="279">
        <v>1.26E-2</v>
      </c>
      <c r="N196" s="322">
        <v>30</v>
      </c>
      <c r="O196" s="292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</row>
    <row r="197" spans="1:40" ht="15.75">
      <c r="A197" s="292"/>
      <c r="B197" s="292"/>
      <c r="C197" s="292"/>
      <c r="D197" s="292"/>
      <c r="E197" s="292"/>
      <c r="F197" s="292"/>
      <c r="G197" s="292"/>
      <c r="H197" s="292"/>
      <c r="I197" s="292"/>
      <c r="J197" s="292"/>
      <c r="K197" s="292"/>
      <c r="L197" s="292"/>
      <c r="M197" s="71"/>
      <c r="N197" s="292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</row>
    <row r="198" spans="1:40" ht="15.75">
      <c r="A198" s="292"/>
      <c r="B198" s="292"/>
      <c r="C198" s="292"/>
      <c r="D198" s="292"/>
      <c r="E198" s="292"/>
      <c r="F198" s="292"/>
      <c r="G198" s="292"/>
      <c r="H198" s="292"/>
      <c r="I198" s="292"/>
      <c r="J198" s="292"/>
      <c r="K198" s="292"/>
      <c r="L198" s="292"/>
      <c r="M198" s="71"/>
      <c r="N198" s="292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</row>
    <row r="199" spans="1:40" ht="15.75">
      <c r="A199" s="286"/>
      <c r="B199" s="286" t="s">
        <v>212</v>
      </c>
      <c r="C199" s="287"/>
      <c r="D199" s="287"/>
      <c r="E199" s="287"/>
      <c r="F199" s="287"/>
      <c r="G199" s="287"/>
      <c r="H199" s="287"/>
      <c r="I199" s="287"/>
      <c r="J199" s="287"/>
      <c r="K199" s="287"/>
      <c r="L199" s="288"/>
      <c r="M199" s="71"/>
      <c r="N199" s="292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</row>
    <row r="200" spans="1:40" ht="15.75">
      <c r="A200" s="293"/>
      <c r="B200" s="294"/>
      <c r="C200" s="295"/>
      <c r="D200" s="295"/>
      <c r="E200" s="295"/>
      <c r="F200" s="295"/>
      <c r="G200" s="295"/>
      <c r="H200" s="295"/>
      <c r="I200" s="295"/>
      <c r="J200" s="295"/>
      <c r="K200" s="295"/>
      <c r="L200" s="296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</row>
    <row r="201" spans="1:40" ht="15.75">
      <c r="A201" s="293"/>
      <c r="B201" s="744" t="s">
        <v>143</v>
      </c>
      <c r="C201" s="745"/>
      <c r="D201" s="745"/>
      <c r="E201" s="746"/>
      <c r="F201" s="293" t="s">
        <v>144</v>
      </c>
      <c r="G201" s="298"/>
      <c r="H201" s="292"/>
      <c r="I201" s="305" t="s">
        <v>361</v>
      </c>
      <c r="J201" s="315"/>
      <c r="K201" s="286"/>
      <c r="L201" s="288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</row>
    <row r="202" spans="1:40" ht="15.75">
      <c r="A202" s="293" t="s">
        <v>213</v>
      </c>
      <c r="B202" s="305" t="s">
        <v>4</v>
      </c>
      <c r="C202" s="51" t="s">
        <v>219</v>
      </c>
      <c r="D202" s="49" t="s">
        <v>84</v>
      </c>
      <c r="E202" s="49" t="s">
        <v>85</v>
      </c>
      <c r="F202" s="51" t="s">
        <v>220</v>
      </c>
      <c r="G202" s="299" t="s">
        <v>6</v>
      </c>
      <c r="H202" s="303" t="s">
        <v>7</v>
      </c>
      <c r="I202" s="305" t="s">
        <v>372</v>
      </c>
      <c r="J202" s="317" t="s">
        <v>150</v>
      </c>
      <c r="K202" s="326" t="s">
        <v>151</v>
      </c>
      <c r="L202" s="319" t="s">
        <v>152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</row>
    <row r="203" spans="1:40" ht="15.75">
      <c r="A203" s="294"/>
      <c r="B203" s="306" t="s">
        <v>156</v>
      </c>
      <c r="C203" s="52" t="s">
        <v>156</v>
      </c>
      <c r="D203" s="53" t="s">
        <v>156</v>
      </c>
      <c r="E203" s="53" t="s">
        <v>156</v>
      </c>
      <c r="F203" s="52" t="s">
        <v>221</v>
      </c>
      <c r="G203" s="52" t="s">
        <v>221</v>
      </c>
      <c r="H203" s="52" t="s">
        <v>221</v>
      </c>
      <c r="I203" s="306" t="s">
        <v>157</v>
      </c>
      <c r="J203" s="320"/>
      <c r="K203" s="306" t="s">
        <v>222</v>
      </c>
      <c r="L203" s="308" t="s">
        <v>222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</row>
    <row r="204" spans="1:40" ht="15.75">
      <c r="A204" s="327" t="s">
        <v>214</v>
      </c>
      <c r="B204" s="313"/>
      <c r="C204" s="74">
        <v>84210</v>
      </c>
      <c r="D204" s="60">
        <v>9338</v>
      </c>
      <c r="E204" s="292">
        <v>11194</v>
      </c>
      <c r="F204" s="74">
        <v>1124496</v>
      </c>
      <c r="G204" s="97"/>
      <c r="H204" s="60">
        <v>311802</v>
      </c>
      <c r="I204" s="93">
        <v>1.0999999999999999E-2</v>
      </c>
      <c r="J204" s="94">
        <f>F204*0.2931/C204</f>
        <v>3.9139030708941935</v>
      </c>
      <c r="K204" s="292">
        <v>62.3</v>
      </c>
      <c r="L204" s="292">
        <v>76.900000000000006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</row>
    <row r="205" spans="1:40" ht="15.75">
      <c r="A205" s="328" t="s">
        <v>215</v>
      </c>
      <c r="B205" s="480"/>
      <c r="C205" s="81">
        <v>112554</v>
      </c>
      <c r="D205" s="64">
        <v>10232</v>
      </c>
      <c r="E205" s="295">
        <v>12344</v>
      </c>
      <c r="F205" s="81">
        <v>1133051</v>
      </c>
      <c r="G205" s="64"/>
      <c r="H205" s="64">
        <v>315766</v>
      </c>
      <c r="I205" s="81">
        <v>1.15E-2</v>
      </c>
      <c r="J205" s="94">
        <f>F205*0.2931/C205</f>
        <v>2.9505592702169627</v>
      </c>
      <c r="K205" s="103">
        <v>85.1</v>
      </c>
      <c r="L205" s="104">
        <v>77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</row>
    <row r="206" spans="1:40" ht="15.75">
      <c r="A206" s="29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</row>
    <row r="207" spans="1:40" ht="15.75">
      <c r="A207" s="29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</row>
    <row r="208" spans="1:40" ht="15.75">
      <c r="A208" s="286"/>
      <c r="B208" s="286" t="s">
        <v>216</v>
      </c>
      <c r="C208" s="287"/>
      <c r="D208" s="287"/>
      <c r="E208" s="287"/>
      <c r="F208" s="287"/>
      <c r="G208" s="287"/>
      <c r="H208" s="287"/>
      <c r="I208" s="287"/>
      <c r="J208" s="287"/>
      <c r="K208" s="287"/>
      <c r="L208" s="288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</row>
    <row r="209" spans="1:40" ht="15.75">
      <c r="A209" s="293"/>
      <c r="B209" s="294"/>
      <c r="C209" s="295"/>
      <c r="D209" s="295"/>
      <c r="E209" s="295"/>
      <c r="F209" s="295"/>
      <c r="G209" s="295"/>
      <c r="H209" s="295"/>
      <c r="I209" s="295"/>
      <c r="J209" s="295"/>
      <c r="K209" s="295"/>
      <c r="L209" s="296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</row>
    <row r="210" spans="1:40" ht="15.75">
      <c r="A210" s="293"/>
      <c r="B210" s="744" t="s">
        <v>143</v>
      </c>
      <c r="C210" s="745"/>
      <c r="D210" s="745"/>
      <c r="E210" s="746"/>
      <c r="F210" s="293" t="s">
        <v>144</v>
      </c>
      <c r="G210" s="298"/>
      <c r="H210" s="292"/>
      <c r="I210" s="305" t="s">
        <v>361</v>
      </c>
      <c r="J210" s="315"/>
      <c r="K210" s="286"/>
      <c r="L210" s="288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</row>
    <row r="211" spans="1:40" ht="15.75">
      <c r="A211" s="293" t="s">
        <v>213</v>
      </c>
      <c r="B211" s="305" t="s">
        <v>4</v>
      </c>
      <c r="C211" s="305" t="s">
        <v>219</v>
      </c>
      <c r="D211" s="303" t="s">
        <v>84</v>
      </c>
      <c r="E211" s="303" t="s">
        <v>85</v>
      </c>
      <c r="F211" s="305" t="s">
        <v>220</v>
      </c>
      <c r="G211" s="299" t="s">
        <v>6</v>
      </c>
      <c r="H211" s="303" t="s">
        <v>7</v>
      </c>
      <c r="I211" s="305" t="s">
        <v>372</v>
      </c>
      <c r="J211" s="317" t="s">
        <v>150</v>
      </c>
      <c r="K211" s="326" t="s">
        <v>151</v>
      </c>
      <c r="L211" s="319" t="s">
        <v>152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</row>
    <row r="212" spans="1:40" ht="15.75">
      <c r="A212" s="294"/>
      <c r="B212" s="306" t="s">
        <v>156</v>
      </c>
      <c r="C212" s="306" t="s">
        <v>156</v>
      </c>
      <c r="D212" s="307" t="s">
        <v>156</v>
      </c>
      <c r="E212" s="307" t="s">
        <v>156</v>
      </c>
      <c r="F212" s="306" t="s">
        <v>221</v>
      </c>
      <c r="G212" s="306" t="s">
        <v>221</v>
      </c>
      <c r="H212" s="306" t="s">
        <v>221</v>
      </c>
      <c r="I212" s="306" t="s">
        <v>157</v>
      </c>
      <c r="J212" s="320"/>
      <c r="K212" s="306" t="s">
        <v>222</v>
      </c>
      <c r="L212" s="308" t="s">
        <v>222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</row>
    <row r="213" spans="1:40" ht="15.75">
      <c r="A213" s="327" t="s">
        <v>214</v>
      </c>
      <c r="B213" s="313"/>
      <c r="C213" s="74">
        <v>64825</v>
      </c>
      <c r="D213" s="60">
        <v>7467</v>
      </c>
      <c r="E213" s="292">
        <v>8658</v>
      </c>
      <c r="F213" s="74">
        <v>796020</v>
      </c>
      <c r="G213" s="97"/>
      <c r="H213" s="60">
        <v>0</v>
      </c>
      <c r="I213" s="74">
        <v>7.1000000000000004E-3</v>
      </c>
      <c r="J213" s="94">
        <f>F213*0.2931/C213</f>
        <v>3.5991278364828387</v>
      </c>
      <c r="K213" s="292">
        <f>K204</f>
        <v>62.3</v>
      </c>
      <c r="L213" s="292">
        <v>76.400000000000006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</row>
    <row r="214" spans="1:40" ht="15.75">
      <c r="A214" s="328" t="s">
        <v>215</v>
      </c>
      <c r="B214" s="480"/>
      <c r="C214" s="81">
        <v>85982</v>
      </c>
      <c r="D214" s="64">
        <v>8151</v>
      </c>
      <c r="E214" s="295">
        <v>9492</v>
      </c>
      <c r="F214" s="81">
        <v>799238</v>
      </c>
      <c r="G214" s="64"/>
      <c r="H214" s="64">
        <v>2</v>
      </c>
      <c r="I214" s="81">
        <v>7.7999999999999996E-3</v>
      </c>
      <c r="J214" s="94">
        <f>F214*0.2931/C214</f>
        <v>2.7244848665999863</v>
      </c>
      <c r="K214" s="103">
        <f>K205</f>
        <v>85.1</v>
      </c>
      <c r="L214" s="104">
        <v>76.900000000000006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4"/>
  <sheetViews>
    <sheetView tabSelected="1" topLeftCell="B53" zoomScale="75" workbookViewId="0">
      <selection activeCell="AA63" sqref="AA63"/>
    </sheetView>
  </sheetViews>
  <sheetFormatPr defaultColWidth="9.77734375" defaultRowHeight="15"/>
  <cols>
    <col min="1" max="1" width="12.33203125" customWidth="1"/>
    <col min="2" max="3" width="8.77734375" customWidth="1"/>
    <col min="4" max="4" width="9.109375" customWidth="1"/>
    <col min="5" max="5" width="9.33203125" customWidth="1"/>
    <col min="6" max="6" width="7.88671875" customWidth="1"/>
    <col min="8" max="8" width="7.88671875" customWidth="1"/>
    <col min="9" max="9" width="7.77734375" customWidth="1"/>
    <col min="10" max="10" width="6.88671875" customWidth="1"/>
    <col min="11" max="11" width="7.6640625" customWidth="1"/>
    <col min="12" max="12" width="8.44140625" customWidth="1"/>
    <col min="13" max="13" width="6.44140625" customWidth="1"/>
    <col min="14" max="14" width="8.109375" customWidth="1"/>
    <col min="15" max="15" width="1.5546875" customWidth="1"/>
    <col min="16" max="16" width="7" customWidth="1"/>
    <col min="17" max="17" width="6.77734375" customWidth="1"/>
    <col min="18" max="18" width="7.77734375" customWidth="1"/>
    <col min="19" max="19" width="6.44140625" customWidth="1"/>
    <col min="20" max="20" width="6.77734375" customWidth="1"/>
    <col min="21" max="21" width="7.77734375" customWidth="1"/>
    <col min="22" max="22" width="5.88671875" customWidth="1"/>
    <col min="23" max="23" width="6.77734375" customWidth="1"/>
    <col min="24" max="24" width="7.77734375" customWidth="1"/>
    <col min="25" max="25" width="5.77734375" customWidth="1"/>
    <col min="26" max="26" width="6.77734375" customWidth="1"/>
    <col min="27" max="27" width="7.77734375" customWidth="1"/>
    <col min="28" max="28" width="6.21875" customWidth="1"/>
    <col min="29" max="29" width="6.77734375" customWidth="1"/>
    <col min="30" max="30" width="7.77734375" customWidth="1"/>
    <col min="31" max="31" width="5.6640625" customWidth="1"/>
    <col min="32" max="32" width="6.77734375" customWidth="1"/>
    <col min="33" max="33" width="7.77734375" customWidth="1"/>
    <col min="34" max="34" width="5.88671875" customWidth="1"/>
    <col min="35" max="35" width="6.77734375" customWidth="1"/>
    <col min="36" max="36" width="7.77734375" customWidth="1"/>
    <col min="37" max="37" width="5.6640625" customWidth="1"/>
    <col min="38" max="38" width="6.77734375" customWidth="1"/>
    <col min="39" max="39" width="7.77734375" customWidth="1"/>
    <col min="40" max="40" width="5.6640625" customWidth="1"/>
    <col min="41" max="41" width="6.44140625" customWidth="1"/>
    <col min="42" max="42" width="6.77734375" customWidth="1"/>
    <col min="43" max="43" width="7.77734375" customWidth="1"/>
    <col min="44" max="44" width="4.77734375" customWidth="1"/>
    <col min="45" max="47" width="5.77734375" customWidth="1"/>
    <col min="48" max="53" width="7.77734375" customWidth="1"/>
  </cols>
  <sheetData>
    <row r="1" spans="1:4">
      <c r="A1" t="s">
        <v>399</v>
      </c>
    </row>
    <row r="2" spans="1:4">
      <c r="A2" t="s">
        <v>32</v>
      </c>
    </row>
    <row r="3" spans="1:4" ht="15.75">
      <c r="A3" s="71"/>
    </row>
    <row r="4" spans="1:4">
      <c r="A4" t="s">
        <v>0</v>
      </c>
    </row>
    <row r="6" spans="1:4">
      <c r="A6" t="s">
        <v>21</v>
      </c>
    </row>
    <row r="8" spans="1:4">
      <c r="A8" t="s">
        <v>33</v>
      </c>
    </row>
    <row r="10" spans="1:4">
      <c r="B10" s="49" t="s">
        <v>377</v>
      </c>
      <c r="C10" s="49"/>
      <c r="D10" t="s">
        <v>34</v>
      </c>
    </row>
    <row r="11" spans="1:4">
      <c r="B11" s="49" t="s">
        <v>378</v>
      </c>
      <c r="C11" s="49"/>
      <c r="D11" t="s">
        <v>379</v>
      </c>
    </row>
    <row r="12" spans="1:4">
      <c r="B12" s="49" t="s">
        <v>380</v>
      </c>
      <c r="C12" s="49"/>
      <c r="D12" t="s">
        <v>35</v>
      </c>
    </row>
    <row r="13" spans="1:4">
      <c r="B13" s="49" t="s">
        <v>381</v>
      </c>
      <c r="C13" s="49"/>
      <c r="D13" t="s">
        <v>36</v>
      </c>
    </row>
    <row r="14" spans="1:4">
      <c r="B14" s="49" t="s">
        <v>382</v>
      </c>
      <c r="C14" s="49"/>
      <c r="D14" t="s">
        <v>37</v>
      </c>
    </row>
    <row r="15" spans="1:4">
      <c r="B15" s="49" t="s">
        <v>383</v>
      </c>
      <c r="C15" s="49"/>
      <c r="D15" t="s">
        <v>38</v>
      </c>
    </row>
    <row r="16" spans="1:4">
      <c r="B16" s="49" t="s">
        <v>384</v>
      </c>
      <c r="C16" s="49"/>
      <c r="D16" t="s">
        <v>385</v>
      </c>
    </row>
    <row r="17" spans="1:4">
      <c r="B17" s="49" t="s">
        <v>386</v>
      </c>
      <c r="C17" s="49"/>
      <c r="D17" t="s">
        <v>39</v>
      </c>
    </row>
    <row r="18" spans="1:4">
      <c r="B18" s="49"/>
      <c r="C18" s="49"/>
    </row>
    <row r="19" spans="1:4">
      <c r="A19" t="s">
        <v>40</v>
      </c>
    </row>
    <row r="20" spans="1:4">
      <c r="A20" t="s">
        <v>41</v>
      </c>
    </row>
    <row r="21" spans="1:4">
      <c r="A21" t="s">
        <v>42</v>
      </c>
    </row>
    <row r="22" spans="1:4">
      <c r="A22" t="s">
        <v>43</v>
      </c>
    </row>
    <row r="24" spans="1:4">
      <c r="A24" t="s">
        <v>44</v>
      </c>
    </row>
    <row r="25" spans="1:4">
      <c r="A25" t="s">
        <v>45</v>
      </c>
    </row>
    <row r="27" spans="1:4">
      <c r="A27" t="s">
        <v>46</v>
      </c>
    </row>
    <row r="28" spans="1:4">
      <c r="A28" t="s">
        <v>47</v>
      </c>
    </row>
    <row r="30" spans="1:4">
      <c r="A30" t="s">
        <v>48</v>
      </c>
    </row>
    <row r="32" spans="1:4">
      <c r="B32" t="s">
        <v>49</v>
      </c>
      <c r="D32" s="72" t="s">
        <v>50</v>
      </c>
    </row>
    <row r="34" spans="1:4">
      <c r="B34" t="s">
        <v>51</v>
      </c>
      <c r="D34" s="72" t="s">
        <v>52</v>
      </c>
    </row>
    <row r="35" spans="1:4">
      <c r="B35" t="s">
        <v>53</v>
      </c>
      <c r="D35" s="72" t="s">
        <v>54</v>
      </c>
    </row>
    <row r="36" spans="1:4">
      <c r="B36" t="s">
        <v>55</v>
      </c>
      <c r="D36" s="72" t="s">
        <v>56</v>
      </c>
    </row>
    <row r="37" spans="1:4">
      <c r="B37" t="s">
        <v>57</v>
      </c>
      <c r="D37" s="72" t="s">
        <v>58</v>
      </c>
    </row>
    <row r="38" spans="1:4">
      <c r="B38" t="s">
        <v>59</v>
      </c>
      <c r="D38" s="72" t="s">
        <v>60</v>
      </c>
    </row>
    <row r="39" spans="1:4">
      <c r="B39" t="s">
        <v>61</v>
      </c>
      <c r="D39" s="72" t="s">
        <v>62</v>
      </c>
    </row>
    <row r="40" spans="1:4">
      <c r="B40" t="s">
        <v>63</v>
      </c>
      <c r="D40" s="72" t="s">
        <v>64</v>
      </c>
    </row>
    <row r="41" spans="1:4">
      <c r="B41" t="s">
        <v>65</v>
      </c>
      <c r="D41" s="72" t="s">
        <v>66</v>
      </c>
    </row>
    <row r="42" spans="1:4">
      <c r="B42" t="s">
        <v>67</v>
      </c>
      <c r="D42" s="72" t="s">
        <v>68</v>
      </c>
    </row>
    <row r="43" spans="1:4">
      <c r="B43" t="s">
        <v>69</v>
      </c>
      <c r="D43" s="72" t="s">
        <v>70</v>
      </c>
    </row>
    <row r="44" spans="1:4">
      <c r="B44" t="s">
        <v>71</v>
      </c>
      <c r="D44" s="72" t="s">
        <v>72</v>
      </c>
    </row>
    <row r="45" spans="1:4">
      <c r="B45" t="s">
        <v>73</v>
      </c>
      <c r="D45" s="72" t="s">
        <v>74</v>
      </c>
    </row>
    <row r="47" spans="1:4">
      <c r="A47" t="s">
        <v>75</v>
      </c>
    </row>
    <row r="48" spans="1:4">
      <c r="A48" t="s">
        <v>76</v>
      </c>
    </row>
    <row r="49" spans="1:34">
      <c r="B49" s="49" t="s">
        <v>77</v>
      </c>
      <c r="C49" s="49"/>
      <c r="D49" s="72" t="s">
        <v>78</v>
      </c>
      <c r="AC49">
        <v>7</v>
      </c>
    </row>
    <row r="51" spans="1:34">
      <c r="B51" s="73">
        <v>36388</v>
      </c>
      <c r="C51" s="73"/>
      <c r="D51" s="72" t="s">
        <v>79</v>
      </c>
    </row>
    <row r="53" spans="1:34" ht="15.75">
      <c r="A53" s="466"/>
    </row>
    <row r="54" spans="1:34" ht="15.75">
      <c r="A54" s="466" t="s">
        <v>616</v>
      </c>
    </row>
    <row r="56" spans="1:34">
      <c r="A56" s="41"/>
      <c r="B56" s="41"/>
      <c r="C56" s="42"/>
      <c r="D56" s="42" t="s">
        <v>607</v>
      </c>
      <c r="E56" s="42"/>
      <c r="F56" s="42"/>
      <c r="G56" s="42"/>
      <c r="H56" s="42"/>
      <c r="I56" s="41" t="s">
        <v>608</v>
      </c>
      <c r="J56" s="42"/>
      <c r="K56" s="42"/>
      <c r="L56" s="42"/>
      <c r="M56" s="41" t="s">
        <v>357</v>
      </c>
      <c r="N56" s="43"/>
      <c r="O56" s="42"/>
      <c r="P56" s="41"/>
      <c r="Q56" s="804" t="s">
        <v>609</v>
      </c>
      <c r="R56" s="805"/>
      <c r="S56" s="805"/>
      <c r="T56" s="805"/>
      <c r="U56" s="805"/>
      <c r="V56" s="805"/>
      <c r="W56" s="805"/>
      <c r="X56" s="805"/>
      <c r="Y56" s="805"/>
      <c r="Z56" s="805"/>
      <c r="AA56" s="805"/>
      <c r="AB56" s="803"/>
      <c r="AC56" s="741" t="s">
        <v>359</v>
      </c>
      <c r="AD56" s="742"/>
      <c r="AE56" s="742"/>
      <c r="AF56" s="742"/>
      <c r="AG56" s="742"/>
      <c r="AH56" s="743"/>
    </row>
    <row r="57" spans="1:34">
      <c r="A57" s="44"/>
      <c r="B57" s="45"/>
      <c r="C57" s="46"/>
      <c r="D57" s="46"/>
      <c r="E57" s="46"/>
      <c r="F57" s="46"/>
      <c r="G57" s="46"/>
      <c r="H57" s="46"/>
      <c r="I57" s="45"/>
      <c r="J57" s="46"/>
      <c r="K57" s="46"/>
      <c r="L57" s="46"/>
      <c r="M57" s="45" t="s">
        <v>360</v>
      </c>
      <c r="N57" s="47"/>
      <c r="O57" s="120"/>
      <c r="P57" s="44"/>
      <c r="Q57" s="45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7"/>
      <c r="AC57" s="45"/>
      <c r="AD57" s="46"/>
      <c r="AE57" s="46"/>
      <c r="AF57" s="46"/>
      <c r="AG57" s="46"/>
      <c r="AH57" s="47"/>
    </row>
    <row r="58" spans="1:34">
      <c r="A58" s="44"/>
      <c r="B58" s="44"/>
      <c r="C58" s="120"/>
      <c r="D58" s="120"/>
      <c r="E58" s="120"/>
      <c r="F58" s="120"/>
      <c r="G58" s="120"/>
      <c r="H58" s="120"/>
      <c r="I58" s="44"/>
      <c r="J58" s="120"/>
      <c r="K58" s="252" t="s">
        <v>361</v>
      </c>
      <c r="L58" s="252" t="s">
        <v>361</v>
      </c>
      <c r="M58" s="44"/>
      <c r="N58" s="50" t="s">
        <v>362</v>
      </c>
      <c r="O58" s="49"/>
      <c r="P58" s="44"/>
      <c r="Q58" s="41"/>
      <c r="R58" s="42"/>
      <c r="S58" s="43"/>
      <c r="T58" s="120"/>
      <c r="U58" s="120"/>
      <c r="V58" s="120"/>
      <c r="W58" s="120"/>
      <c r="X58" s="120"/>
      <c r="Y58" s="120"/>
      <c r="Z58" s="120"/>
      <c r="AA58" s="120"/>
      <c r="AB58" s="48"/>
      <c r="AC58" s="741" t="s">
        <v>611</v>
      </c>
      <c r="AD58" s="742"/>
      <c r="AE58" s="742"/>
      <c r="AF58" s="742"/>
      <c r="AG58" s="742"/>
      <c r="AH58" s="743"/>
    </row>
    <row r="59" spans="1:34">
      <c r="A59" s="44"/>
      <c r="B59" s="44" t="s">
        <v>364</v>
      </c>
      <c r="C59" s="120"/>
      <c r="F59" s="44" t="s">
        <v>365</v>
      </c>
      <c r="G59" s="120"/>
      <c r="I59" s="44"/>
      <c r="K59" s="49" t="s">
        <v>2</v>
      </c>
      <c r="L59" s="49" t="s">
        <v>82</v>
      </c>
      <c r="M59" s="44"/>
      <c r="N59" s="50" t="s">
        <v>2</v>
      </c>
      <c r="O59" s="49"/>
      <c r="P59" s="44"/>
      <c r="Q59" s="253" t="s">
        <v>366</v>
      </c>
      <c r="R59" s="120"/>
      <c r="S59" s="48"/>
      <c r="T59" s="802" t="s">
        <v>610</v>
      </c>
      <c r="U59" s="801"/>
      <c r="V59" s="801"/>
      <c r="W59" s="801"/>
      <c r="X59" s="801"/>
      <c r="Y59" s="801"/>
      <c r="Z59" s="801"/>
      <c r="AA59" s="801"/>
      <c r="AB59" s="803"/>
      <c r="AE59" s="48"/>
      <c r="AH59" s="48"/>
    </row>
    <row r="60" spans="1:34">
      <c r="A60" s="44" t="s">
        <v>3</v>
      </c>
      <c r="B60" s="51" t="s">
        <v>4</v>
      </c>
      <c r="C60" s="252" t="s">
        <v>5</v>
      </c>
      <c r="D60" s="49" t="s">
        <v>84</v>
      </c>
      <c r="E60" s="49" t="s">
        <v>85</v>
      </c>
      <c r="F60" s="51" t="s">
        <v>4</v>
      </c>
      <c r="G60" s="252" t="s">
        <v>6</v>
      </c>
      <c r="H60" s="49" t="s">
        <v>7</v>
      </c>
      <c r="I60" s="51" t="s">
        <v>86</v>
      </c>
      <c r="J60" s="49" t="s">
        <v>8</v>
      </c>
      <c r="K60" s="49" t="s">
        <v>9</v>
      </c>
      <c r="L60" s="49" t="s">
        <v>2</v>
      </c>
      <c r="M60" s="51" t="s">
        <v>151</v>
      </c>
      <c r="N60" s="50" t="s">
        <v>9</v>
      </c>
      <c r="O60" s="49"/>
      <c r="P60" s="44" t="s">
        <v>3</v>
      </c>
      <c r="Q60" s="44" t="s">
        <v>87</v>
      </c>
      <c r="T60" s="44"/>
      <c r="U60" s="49" t="s">
        <v>6</v>
      </c>
      <c r="W60" s="44"/>
      <c r="X60" s="49" t="s">
        <v>7</v>
      </c>
      <c r="Z60" s="44" t="s">
        <v>88</v>
      </c>
      <c r="AB60" s="48"/>
      <c r="AD60" t="s">
        <v>367</v>
      </c>
      <c r="AE60" s="48"/>
      <c r="AF60" s="802" t="s">
        <v>368</v>
      </c>
      <c r="AG60" s="801"/>
      <c r="AH60" s="803"/>
    </row>
    <row r="61" spans="1:34">
      <c r="A61" s="45"/>
      <c r="B61" s="52" t="s">
        <v>10</v>
      </c>
      <c r="C61" s="53" t="s">
        <v>10</v>
      </c>
      <c r="D61" s="53" t="s">
        <v>10</v>
      </c>
      <c r="E61" s="53" t="s">
        <v>10</v>
      </c>
      <c r="F61" s="52" t="s">
        <v>10</v>
      </c>
      <c r="G61" s="53" t="s">
        <v>10</v>
      </c>
      <c r="H61" s="53" t="s">
        <v>10</v>
      </c>
      <c r="I61" s="45"/>
      <c r="J61" s="53" t="s">
        <v>11</v>
      </c>
      <c r="K61" s="53" t="s">
        <v>22</v>
      </c>
      <c r="L61" s="53" t="s">
        <v>89</v>
      </c>
      <c r="M61" s="52" t="s">
        <v>11</v>
      </c>
      <c r="N61" s="54" t="s">
        <v>22</v>
      </c>
      <c r="O61" s="53"/>
      <c r="P61" s="45"/>
      <c r="Q61" s="52" t="s">
        <v>90</v>
      </c>
      <c r="R61" s="53" t="s">
        <v>77</v>
      </c>
      <c r="S61" s="53" t="s">
        <v>78</v>
      </c>
      <c r="T61" s="52" t="s">
        <v>90</v>
      </c>
      <c r="U61" s="53" t="s">
        <v>77</v>
      </c>
      <c r="V61" s="53" t="s">
        <v>78</v>
      </c>
      <c r="W61" s="52" t="s">
        <v>90</v>
      </c>
      <c r="X61" s="53" t="s">
        <v>77</v>
      </c>
      <c r="Y61" s="53" t="s">
        <v>78</v>
      </c>
      <c r="Z61" s="52" t="s">
        <v>90</v>
      </c>
      <c r="AA61" s="53" t="s">
        <v>77</v>
      </c>
      <c r="AB61" s="54" t="s">
        <v>78</v>
      </c>
      <c r="AC61" s="52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34" ht="15.75">
      <c r="A62" s="44" t="s">
        <v>584</v>
      </c>
      <c r="B62" s="750">
        <f>C62+E62</f>
        <v>35023.729818476299</v>
      </c>
      <c r="C62" s="751">
        <f>SUM([1]CaseCE300!$R$2:$R$8761)/1000</f>
        <v>24161.637889516063</v>
      </c>
      <c r="D62" s="752" t="s">
        <v>458</v>
      </c>
      <c r="E62" s="753">
        <f>SUM([1]CaseCE300!$V$2:$V$8761)/1000</f>
        <v>10862.091928960235</v>
      </c>
      <c r="F62" s="750">
        <f>SUM([1]CaseCE300!$M$2:$M$8761)/3600/1000</f>
        <v>78329.997540555065</v>
      </c>
      <c r="G62" s="751">
        <f>SUM([1]CaseCE300!$O$2:$O$8761)/3600/1000</f>
        <v>55166.063457298224</v>
      </c>
      <c r="H62" s="753">
        <f>SUM([1]CaseCE300!$Q$2:$Q$8761)/3600/1000</f>
        <v>23163.934083256911</v>
      </c>
      <c r="I62" s="754">
        <f>F62/C62</f>
        <v>3.2419158791607874</v>
      </c>
      <c r="J62" s="755">
        <f>AVERAGE([1]CaseCE300!$I$2:$I$8761)</f>
        <v>24.089100588595329</v>
      </c>
      <c r="K62" s="756">
        <f>AVERAGE([1]CaseCE300!$J$2:$J$8761)</f>
        <v>9.1653821331974944E-3</v>
      </c>
      <c r="L62" s="757">
        <f>AVERAGE([1]CaseCE300!$K$2:$K$8761)</f>
        <v>47.944742213612329</v>
      </c>
      <c r="M62" s="758">
        <f>AVERAGE([1]CaseCE300!$B$2:$B$8761)</f>
        <v>19.914143835616347</v>
      </c>
      <c r="N62" s="759">
        <f>AVERAGE([1]CaseCE300!$C$2:$C$8761)</f>
        <v>1.1607902527993211E-2</v>
      </c>
      <c r="O62" s="97"/>
      <c r="P62" s="44" t="s">
        <v>584</v>
      </c>
      <c r="Q62" s="750">
        <f>MAX([1]CaseCE300!$R$2:$R$8761)+[1]CaseCE300!$V$2</f>
        <v>11995.70893824355</v>
      </c>
      <c r="R62" s="752" t="str">
        <f>MID(INDEX([1]CaseCE300!$A$2:$A$8761,MATCH(MAX([1]CaseCE300!$R$2:$R$8761),[1]CaseCE300!$R$2:$R$8761,0)),2,5)</f>
        <v>07/20</v>
      </c>
      <c r="S62" s="760" t="str">
        <f>MID(INDEX([1]CaseCE300!$A$2:$A$8761,MATCH(MAX([1]CaseCE300!$R$2:$R$8761),[1]CaseCE300!$R$2:$R$8761,0)),9,5)</f>
        <v>15:00</v>
      </c>
      <c r="T62" s="750">
        <f>MAX([1]CaseCE300!$O$2:$O$8761)/3600</f>
        <v>23463.175508715332</v>
      </c>
      <c r="U62" s="752" t="str">
        <f>MID(INDEX([1]CaseCE300!$A$2:$A$8761,MATCH(MAX([1]CaseCE300!$O$2:$O$8761),[1]CaseCE300!$O$2:$O$8761,0)),2,5)</f>
        <v>07/20</v>
      </c>
      <c r="V62" s="760" t="str">
        <f>MID(INDEX([1]CaseCE300!$A$2:$A$8761,MATCH(MAX([1]CaseCE300!$O$2:$O$8761),[1]CaseCE300!$O$2:$O$8761,0)),9,5)</f>
        <v>15:00</v>
      </c>
      <c r="W62" s="750">
        <f>MAX([1]CaseCE300!$Q$2:$Q$8761)/3600</f>
        <v>10595.085021236</v>
      </c>
      <c r="X62" s="752" t="str">
        <f>MID(INDEX([1]CaseCE300!$A$2:$A$8761,MATCH(MAX([1]CaseCE300!$Q$2:$Q$8761),[1]CaseCE300!$Q$2:$Q$8761,0)),2,5)</f>
        <v>07/10</v>
      </c>
      <c r="Y62" s="760" t="str">
        <f>MID(INDEX([1]CaseCE300!$A$2:$A$8761,MATCH(MAX([1]CaseCE300!$Q$2:$Q$8761),[1]CaseCE300!$Q$2:$Q$8761,0)),9,5)</f>
        <v>13:00</v>
      </c>
      <c r="Z62" s="750">
        <f>MAX([1]CaseCE300!$M$2:$M$8761)/3600</f>
        <v>33057.473802984721</v>
      </c>
      <c r="AA62" s="752" t="str">
        <f>MID(INDEX([1]CaseCE300!$A$2:$A$8761,MATCH(MAX([1]CaseCE300!$M$2:$M$8761),[1]CaseCE300!$M$2:$M$8761,0)),2,5)</f>
        <v>07/20</v>
      </c>
      <c r="AB62" s="761" t="str">
        <f>MID(INDEX([1]CaseCE300!$A$2:$A$8761,MATCH(MAX([1]CaseCE300!$M$2:$M$8761),[1]CaseCE300!$M$2:$M$8761,0)),9,5)</f>
        <v>15:00</v>
      </c>
      <c r="AC62" s="762">
        <f>MAX([1]CaseCE300!$B$2:$B$8761)</f>
        <v>34.774999999999999</v>
      </c>
      <c r="AD62" s="763" t="str">
        <f>MID(INDEX([1]CaseCE300!$A$2:$A$8761,MATCH(AC62,[1]CaseCE300!$B$2:$B$8761,0)),2,5)</f>
        <v>07/20</v>
      </c>
      <c r="AE62" s="764" t="str">
        <f>MID(INDEX([1]CaseCE300!$A$2:$A$8761,MATCH(AC62,[1]CaseCE300!$B$2:$B$8761,0)),9,5)</f>
        <v>15:00</v>
      </c>
      <c r="AF62" s="765">
        <f>MAX([1]CaseCE300!$C$2:$C$8761)</f>
        <v>2.1867908064606201E-2</v>
      </c>
      <c r="AG62" s="763" t="str">
        <f>MID(INDEX([1]CaseCE300!$A$2:$A$8761,MATCH(AF62,[1]CaseCE300!$C$2:$C$8761,0)),2,5)</f>
        <v>10/02</v>
      </c>
      <c r="AH62" s="764" t="str">
        <f>MID(INDEX([1]CaseCE300!$A$2:$A$8761,MATCH(AF62,[1]CaseCE300!$C$2:$C$8761,0)),9,5)</f>
        <v>09:00</v>
      </c>
    </row>
    <row r="63" spans="1:34" ht="15.75">
      <c r="A63" s="44" t="s">
        <v>585</v>
      </c>
      <c r="B63" s="750">
        <f t="shared" ref="B63:B82" si="0">C63+E63</f>
        <v>39434.164607727085</v>
      </c>
      <c r="C63" s="751">
        <f>SUM([2]CaseCE310!$R$2:$R$8761)/1000</f>
        <v>28572.07267876685</v>
      </c>
      <c r="D63" s="752" t="s">
        <v>458</v>
      </c>
      <c r="E63" s="753">
        <f>SUM([2]CaseCE310!$V$2:$V$8761)/1000</f>
        <v>10862.091928960235</v>
      </c>
      <c r="F63" s="750">
        <f>SUM([2]CaseCE310!$M$2:$M$8761)/3600/1000</f>
        <v>97347.66090722708</v>
      </c>
      <c r="G63" s="751">
        <f>SUM([2]CaseCE310!$O$2:$O$8761)/3600/1000</f>
        <v>55065.627854736507</v>
      </c>
      <c r="H63" s="753">
        <f>SUM([2]CaseCE310!$Q$2:$Q$8761)/3600/1000</f>
        <v>42282.033052490835</v>
      </c>
      <c r="I63" s="754">
        <f t="shared" ref="I63:I71" si="1">F63/C63</f>
        <v>3.4070913231146287</v>
      </c>
      <c r="J63" s="755">
        <f>AVERAGE([2]CaseCE310!$I$2:$I$8761)</f>
        <v>24.091465255790009</v>
      </c>
      <c r="K63" s="756">
        <f>AVERAGE([2]CaseCE310!$J$2:$J$8761)</f>
        <v>1.1153501222074636E-2</v>
      </c>
      <c r="L63" s="757">
        <f>AVERAGE([2]CaseCE310!$K$2:$K$8761)</f>
        <v>57.961046186027652</v>
      </c>
      <c r="M63" s="766"/>
      <c r="N63" s="767"/>
      <c r="O63" s="60"/>
      <c r="P63" s="44" t="s">
        <v>585</v>
      </c>
      <c r="Q63" s="750">
        <f>MAX([2]CaseCE310!$R$2:$R$8761)+[2]CaseCE310!$V$2</f>
        <v>12572.07933649695</v>
      </c>
      <c r="R63" s="752" t="str">
        <f>MID(INDEX([2]CaseCE310!$A$2:$A$8761,MATCH(MAX([2]CaseCE310!$R$2:$R$8761),[2]CaseCE310!$R$2:$R$8761,0)),2,5)</f>
        <v>07/20</v>
      </c>
      <c r="S63" s="760" t="str">
        <f>MID(INDEX([2]CaseCE310!$A$2:$A$8761,MATCH(MAX([2]CaseCE310!$R$2:$R$8761),[2]CaseCE310!$R$2:$R$8761,0)),9,5)</f>
        <v>15:00</v>
      </c>
      <c r="T63" s="750">
        <f>MAX([2]CaseCE310!$O$2:$O$8761)/3600</f>
        <v>23145.065142337222</v>
      </c>
      <c r="U63" s="752" t="str">
        <f>MID(INDEX([2]CaseCE310!$A$2:$A$8761,MATCH(MAX([2]CaseCE310!$O$2:$O$8761),[2]CaseCE310!$O$2:$O$8761,0)),2,5)</f>
        <v>07/11</v>
      </c>
      <c r="V63" s="760" t="str">
        <f>MID(INDEX([2]CaseCE310!$A$2:$A$8761,MATCH(MAX([2]CaseCE310!$O$2:$O$8761),[2]CaseCE310!$O$2:$O$8761,0)),9,5)</f>
        <v>16:00</v>
      </c>
      <c r="W63" s="750">
        <f>MAX([2]CaseCE310!$Q$2:$Q$8761)/3600</f>
        <v>16644.30725183864</v>
      </c>
      <c r="X63" s="752" t="str">
        <f>MID(INDEX([2]CaseCE310!$A$2:$A$8761,MATCH(MAX([2]CaseCE310!$Q$2:$Q$8761),[2]CaseCE310!$Q$2:$Q$8761,0)),2,5)</f>
        <v>08/04</v>
      </c>
      <c r="Y63" s="760" t="str">
        <f>MID(INDEX([2]CaseCE310!$A$2:$A$8761,MATCH(MAX([2]CaseCE310!$Q$2:$Q$8761),[2]CaseCE310!$Q$2:$Q$8761,0)),9,5)</f>
        <v>15:00</v>
      </c>
      <c r="Z63" s="750">
        <f>MAX([2]CaseCE310!$M$2:$M$8761)/3600</f>
        <v>37372.520867808336</v>
      </c>
      <c r="AA63" s="752" t="str">
        <f>MID(INDEX([2]CaseCE310!$A$2:$A$8761,MATCH(MAX([2]CaseCE310!$M$2:$M$8761),[2]CaseCE310!$M$2:$M$8761,0)),2,5)</f>
        <v>09/17</v>
      </c>
      <c r="AB63" s="768" t="str">
        <f>MID(INDEX([2]CaseCE310!$A$2:$A$8761,MATCH(MAX([2]CaseCE310!$M$2:$M$8761),[2]CaseCE310!$M$2:$M$8761,0)),9,5)</f>
        <v>15:00</v>
      </c>
      <c r="AC63" s="292"/>
      <c r="AD63" s="292"/>
      <c r="AE63" s="292"/>
      <c r="AF63" s="292"/>
      <c r="AG63" s="292"/>
      <c r="AH63" s="292"/>
    </row>
    <row r="64" spans="1:34" ht="15.75">
      <c r="A64" s="44" t="s">
        <v>586</v>
      </c>
      <c r="B64" s="750">
        <f t="shared" si="0"/>
        <v>39375.03481243331</v>
      </c>
      <c r="C64" s="751">
        <f>SUM([3]CaseCE320!$R$2:$R$8761)/1000</f>
        <v>28512.942883473075</v>
      </c>
      <c r="D64" s="752" t="s">
        <v>458</v>
      </c>
      <c r="E64" s="753">
        <f>SUM([3]CaseCE320!$V$2:$V$8761)/1000</f>
        <v>10862.091928960235</v>
      </c>
      <c r="F64" s="750">
        <f>SUM([3]CaseCE320!$M$2:$M$8761)/3600/1000</f>
        <v>97434.838325451346</v>
      </c>
      <c r="G64" s="751">
        <f>SUM([3]CaseCE320!$O$2:$O$8761)/3600/1000</f>
        <v>61751.654819920572</v>
      </c>
      <c r="H64" s="753">
        <f>SUM([3]CaseCE320!$Q$2:$Q$8761)/3600/1000</f>
        <v>35683.183505530906</v>
      </c>
      <c r="I64" s="754">
        <f t="shared" si="1"/>
        <v>3.4172143760694511</v>
      </c>
      <c r="J64" s="755">
        <f>AVERAGE([3]CaseCE320!$I$2:$I$8761)</f>
        <v>24.232151722430519</v>
      </c>
      <c r="K64" s="756">
        <f>AVERAGE([3]CaseCE320!$J$2:$J$8761)</f>
        <v>1.0036880698076376E-2</v>
      </c>
      <c r="L64" s="757">
        <f>AVERAGE([3]CaseCE320!$K$2:$K$8761)</f>
        <v>51.453078413480725</v>
      </c>
      <c r="M64" s="766"/>
      <c r="N64" s="767"/>
      <c r="O64" s="60"/>
      <c r="P64" s="44" t="s">
        <v>586</v>
      </c>
      <c r="Q64" s="750">
        <f>MAX([3]CaseCE320!$R$2:$R$8761)+[3]CaseCE320!$V$2</f>
        <v>12988.83919341615</v>
      </c>
      <c r="R64" s="752" t="str">
        <f>MID(INDEX([3]CaseCE320!$A$2:$A$8761,MATCH(MAX([3]CaseCE320!$R$2:$R$8761),[3]CaseCE320!$R$2:$R$8761,0)),2,5)</f>
        <v>07/20</v>
      </c>
      <c r="S64" s="760" t="str">
        <f>MID(INDEX([3]CaseCE320!$A$2:$A$8761,MATCH(MAX([3]CaseCE320!$R$2:$R$8761),[3]CaseCE320!$R$2:$R$8761,0)),9,5)</f>
        <v>15:00</v>
      </c>
      <c r="T64" s="750">
        <f>MAX([3]CaseCE320!$O$2:$O$8761)/3600</f>
        <v>31528.725409228056</v>
      </c>
      <c r="U64" s="752" t="str">
        <f>MID(INDEX([3]CaseCE320!$A$2:$A$8761,MATCH(MAX([3]CaseCE320!$O$2:$O$8761),[3]CaseCE320!$O$2:$O$8761,0)),2,5)</f>
        <v>04/24</v>
      </c>
      <c r="V64" s="760" t="str">
        <f>MID(INDEX([3]CaseCE320!$A$2:$A$8761,MATCH(MAX([3]CaseCE320!$O$2:$O$8761),[3]CaseCE320!$O$2:$O$8761,0)),9,5)</f>
        <v>15:00</v>
      </c>
      <c r="W64" s="750">
        <f>MAX([3]CaseCE320!$Q$2:$Q$8761)/3600</f>
        <v>22756.174991940276</v>
      </c>
      <c r="X64" s="752" t="str">
        <f>MID(INDEX([3]CaseCE320!$A$2:$A$8761,MATCH(MAX([3]CaseCE320!$Q$2:$Q$8761),[3]CaseCE320!$Q$2:$Q$8761,0)),2,5)</f>
        <v>10/02</v>
      </c>
      <c r="Y64" s="760" t="str">
        <f>MID(INDEX([3]CaseCE320!$A$2:$A$8761,MATCH(MAX([3]CaseCE320!$Q$2:$Q$8761),[3]CaseCE320!$Q$2:$Q$8761,0)),9,5)</f>
        <v>10:00</v>
      </c>
      <c r="Z64" s="750">
        <f>MAX([3]CaseCE320!$M$2:$M$8761)/3600</f>
        <v>40097.015442985277</v>
      </c>
      <c r="AA64" s="752" t="str">
        <f>MID(INDEX([3]CaseCE320!$A$2:$A$8761,MATCH(MAX([3]CaseCE320!$M$2:$M$8761),[3]CaseCE320!$M$2:$M$8761,0)),2,5)</f>
        <v>10/02</v>
      </c>
      <c r="AB64" s="768" t="str">
        <f>MID(INDEX([3]CaseCE320!$A$2:$A$8761,MATCH(MAX([3]CaseCE320!$M$2:$M$8761),[3]CaseCE320!$M$2:$M$8761,0)),9,5)</f>
        <v>10:00</v>
      </c>
      <c r="AC64" s="292"/>
      <c r="AD64" s="292"/>
      <c r="AE64" s="292"/>
      <c r="AF64" s="292"/>
      <c r="AG64" s="292"/>
      <c r="AH64" s="292"/>
    </row>
    <row r="65" spans="1:34" ht="15.75">
      <c r="A65" s="44" t="s">
        <v>587</v>
      </c>
      <c r="B65" s="750">
        <f t="shared" si="0"/>
        <v>40468.794822146912</v>
      </c>
      <c r="C65" s="751">
        <f>SUM([4]CaseCE330!$R$2:$R$8761)/1000</f>
        <v>29606.702893186677</v>
      </c>
      <c r="D65" s="752" t="s">
        <v>458</v>
      </c>
      <c r="E65" s="753">
        <f>SUM([4]CaseCE330!$V$2:$V$8761)/1000</f>
        <v>10862.091928960235</v>
      </c>
      <c r="F65" s="750">
        <f>SUM([4]CaseCE330!$M$2:$M$8761)/3600/1000</f>
        <v>103810.92900120793</v>
      </c>
      <c r="G65" s="751">
        <f>SUM([4]CaseCE330!$O$2:$O$8761)/3600/1000</f>
        <v>63074.075770542782</v>
      </c>
      <c r="H65" s="753">
        <f>SUM([4]CaseCE330!$Q$2:$Q$8761)/3600/1000</f>
        <v>40736.853230665321</v>
      </c>
      <c r="I65" s="754">
        <f t="shared" si="1"/>
        <v>3.50633197407124</v>
      </c>
      <c r="J65" s="755">
        <f>AVERAGE([4]CaseCE330!$I$2:$I$8761)</f>
        <v>24.295252404737674</v>
      </c>
      <c r="K65" s="756">
        <f>AVERAGE([4]CaseCE330!$J$2:$J$8761)</f>
        <v>9.8805750640062039E-3</v>
      </c>
      <c r="L65" s="757">
        <f>AVERAGE([4]CaseCE330!$K$2:$K$8761)</f>
        <v>50.606484961362192</v>
      </c>
      <c r="M65" s="766"/>
      <c r="N65" s="767"/>
      <c r="O65" s="60"/>
      <c r="P65" s="44" t="s">
        <v>587</v>
      </c>
      <c r="Q65" s="750">
        <f>MAX([4]CaseCE330!$R$2:$R$8761)+[4]CaseCE330!$V$2</f>
        <v>13356.234896114151</v>
      </c>
      <c r="R65" s="752" t="str">
        <f>MID(INDEX([4]CaseCE330!$A$2:$A$8761,MATCH(MAX([4]CaseCE330!$R$2:$R$8761),[4]CaseCE330!$R$2:$R$8761,0)),2,5)</f>
        <v>07/20</v>
      </c>
      <c r="S65" s="760" t="str">
        <f>MID(INDEX([4]CaseCE330!$A$2:$A$8761,MATCH(MAX([4]CaseCE330!$R$2:$R$8761),[4]CaseCE330!$R$2:$R$8761,0)),9,5)</f>
        <v>15:00</v>
      </c>
      <c r="T65" s="750">
        <f>MAX([4]CaseCE330!$O$2:$O$8761)/3600</f>
        <v>34692.193139345552</v>
      </c>
      <c r="U65" s="752" t="str">
        <f>MID(INDEX([4]CaseCE330!$A$2:$A$8761,MATCH(MAX([4]CaseCE330!$O$2:$O$8761),[4]CaseCE330!$O$2:$O$8761,0)),2,5)</f>
        <v>06/14</v>
      </c>
      <c r="V65" s="760" t="str">
        <f>MID(INDEX([4]CaseCE330!$A$2:$A$8761,MATCH(MAX([4]CaseCE330!$O$2:$O$8761),[4]CaseCE330!$O$2:$O$8761,0)),9,5)</f>
        <v>14:00</v>
      </c>
      <c r="W65" s="750">
        <f>MAX([4]CaseCE330!$Q$2:$Q$8761)/3600</f>
        <v>27596.700484402721</v>
      </c>
      <c r="X65" s="752" t="str">
        <f>MID(INDEX([4]CaseCE330!$A$2:$A$8761,MATCH(MAX([4]CaseCE330!$Q$2:$Q$8761),[4]CaseCE330!$Q$2:$Q$8761,0)),2,5)</f>
        <v>09/18</v>
      </c>
      <c r="Y65" s="760" t="str">
        <f>MID(INDEX([4]CaseCE330!$A$2:$A$8761,MATCH(MAX([4]CaseCE330!$Q$2:$Q$8761),[4]CaseCE330!$Q$2:$Q$8761,0)),9,5)</f>
        <v>16:00</v>
      </c>
      <c r="Z65" s="750">
        <f>MAX([4]CaseCE330!$M$2:$M$8761)/3600</f>
        <v>43597.944904315278</v>
      </c>
      <c r="AA65" s="752" t="str">
        <f>MID(INDEX([4]CaseCE330!$A$2:$A$8761,MATCH(MAX([4]CaseCE330!$M$2:$M$8761),[4]CaseCE330!$M$2:$M$8761,0)),2,5)</f>
        <v>10/02</v>
      </c>
      <c r="AB65" s="768" t="str">
        <f>MID(INDEX([4]CaseCE330!$A$2:$A$8761,MATCH(MAX([4]CaseCE330!$M$2:$M$8761),[4]CaseCE330!$M$2:$M$8761,0)),9,5)</f>
        <v>09:00</v>
      </c>
      <c r="AC65" s="292"/>
      <c r="AD65" s="292"/>
      <c r="AE65" s="292"/>
      <c r="AF65" s="292"/>
      <c r="AG65" s="292"/>
      <c r="AH65" s="292"/>
    </row>
    <row r="66" spans="1:34" ht="15.75">
      <c r="A66" s="44" t="s">
        <v>588</v>
      </c>
      <c r="B66" s="750">
        <f t="shared" si="0"/>
        <v>40071.420592405018</v>
      </c>
      <c r="C66" s="751">
        <f>SUM([5]CaseCE340!$R$2:$R$8761)/1000</f>
        <v>29209.328663444787</v>
      </c>
      <c r="D66" s="752" t="s">
        <v>458</v>
      </c>
      <c r="E66" s="753">
        <f>SUM([5]CaseCE340!$V$2:$V$8761)/1000</f>
        <v>10862.091928960235</v>
      </c>
      <c r="F66" s="750">
        <f>SUM([5]CaseCE340!$M$2:$M$8761)/3600/1000</f>
        <v>101133.52775017772</v>
      </c>
      <c r="G66" s="751">
        <f>SUM([5]CaseCE340!$O$2:$O$8761)/3600/1000</f>
        <v>62391.380396752473</v>
      </c>
      <c r="H66" s="753">
        <f>SUM([5]CaseCE340!$Q$2:$Q$8761)/3600/1000</f>
        <v>38742.147353425389</v>
      </c>
      <c r="I66" s="754">
        <f t="shared" si="1"/>
        <v>3.46237083759975</v>
      </c>
      <c r="J66" s="755">
        <f>AVERAGE([5]CaseCE340!$I$2:$I$8761)</f>
        <v>24.31049385776663</v>
      </c>
      <c r="K66" s="756">
        <f>AVERAGE([5]CaseCE340!$J$2:$J$8761)</f>
        <v>9.9021303434107723E-3</v>
      </c>
      <c r="L66" s="757">
        <f>AVERAGE([5]CaseCE340!$K$2:$K$8761)</f>
        <v>50.64738437733039</v>
      </c>
      <c r="M66" s="766"/>
      <c r="N66" s="767"/>
      <c r="O66" s="60"/>
      <c r="P66" s="44" t="s">
        <v>588</v>
      </c>
      <c r="Q66" s="750">
        <f>MAX([5]CaseCE340!$R$2:$R$8761)+[5]CaseCE340!$V$2</f>
        <v>13174.92580781395</v>
      </c>
      <c r="R66" s="752" t="str">
        <f>MID(INDEX([5]CaseCE340!$A$2:$A$8761,MATCH(MAX([5]CaseCE340!$R$2:$R$8761),[5]CaseCE340!$R$2:$R$8761,0)),2,5)</f>
        <v>07/20</v>
      </c>
      <c r="S66" s="760" t="str">
        <f>MID(INDEX([5]CaseCE340!$A$2:$A$8761,MATCH(MAX([5]CaseCE340!$R$2:$R$8761),[5]CaseCE340!$R$2:$R$8761,0)),9,5)</f>
        <v>15:00</v>
      </c>
      <c r="T66" s="750">
        <f>MAX([5]CaseCE340!$O$2:$O$8761)/3600</f>
        <v>32737.101095173057</v>
      </c>
      <c r="U66" s="752" t="str">
        <f>MID(INDEX([5]CaseCE340!$A$2:$A$8761,MATCH(MAX([5]CaseCE340!$O$2:$O$8761),[5]CaseCE340!$O$2:$O$8761,0)),2,5)</f>
        <v>04/24</v>
      </c>
      <c r="V66" s="760" t="str">
        <f>MID(INDEX([5]CaseCE340!$A$2:$A$8761,MATCH(MAX([5]CaseCE340!$O$2:$O$8761),[5]CaseCE340!$O$2:$O$8761,0)),9,5)</f>
        <v>15:00</v>
      </c>
      <c r="W66" s="750">
        <f>MAX([5]CaseCE340!$Q$2:$Q$8761)/3600</f>
        <v>24435.765246347612</v>
      </c>
      <c r="X66" s="752" t="str">
        <f>MID(INDEX([5]CaseCE340!$A$2:$A$8761,MATCH(MAX([5]CaseCE340!$Q$2:$Q$8761),[5]CaseCE340!$Q$2:$Q$8761,0)),2,5)</f>
        <v>10/02</v>
      </c>
      <c r="Y66" s="760" t="str">
        <f>MID(INDEX([5]CaseCE340!$A$2:$A$8761,MATCH(MAX([5]CaseCE340!$Q$2:$Q$8761),[5]CaseCE340!$Q$2:$Q$8761,0)),9,5)</f>
        <v>10:00</v>
      </c>
      <c r="Z66" s="750">
        <f>MAX([5]CaseCE340!$M$2:$M$8761)/3600</f>
        <v>41608.473712680003</v>
      </c>
      <c r="AA66" s="752" t="str">
        <f>MID(INDEX([5]CaseCE340!$A$2:$A$8761,MATCH(MAX([5]CaseCE340!$M$2:$M$8761),[5]CaseCE340!$M$2:$M$8761,0)),2,5)</f>
        <v>10/02</v>
      </c>
      <c r="AB66" s="768" t="str">
        <f>MID(INDEX([5]CaseCE340!$A$2:$A$8761,MATCH(MAX([5]CaseCE340!$M$2:$M$8761),[5]CaseCE340!$M$2:$M$8761,0)),9,5)</f>
        <v>10:00</v>
      </c>
      <c r="AC66" s="292"/>
      <c r="AD66" s="292"/>
      <c r="AE66" s="292"/>
      <c r="AF66" s="292"/>
      <c r="AG66" s="292"/>
      <c r="AH66" s="292"/>
    </row>
    <row r="67" spans="1:34" ht="15.75">
      <c r="A67" s="44" t="s">
        <v>589</v>
      </c>
      <c r="B67" s="750">
        <f t="shared" si="0"/>
        <v>31376.20652912368</v>
      </c>
      <c r="C67" s="751">
        <f>SUM([6]CaseCE350!$R$2:$R$8761)/1000</f>
        <v>20514.114600163444</v>
      </c>
      <c r="D67" s="752" t="s">
        <v>458</v>
      </c>
      <c r="E67" s="753">
        <f>SUM([6]CaseCE350!$V$2:$V$8761)/1000</f>
        <v>10862.091928960235</v>
      </c>
      <c r="F67" s="750">
        <f>SUM([6]CaseCE350!$M$2:$M$8761)/3600/1000</f>
        <v>66594.547200499786</v>
      </c>
      <c r="G67" s="751">
        <f>SUM([6]CaseCE350!$O$2:$O$8761)/3600/1000</f>
        <v>48335.589054318843</v>
      </c>
      <c r="H67" s="753">
        <f>SUM([6]CaseCE350!$Q$2:$Q$8761)/3600/1000</f>
        <v>18258.95814618079</v>
      </c>
      <c r="I67" s="754">
        <f t="shared" si="1"/>
        <v>3.2462793787828992</v>
      </c>
      <c r="J67" s="755">
        <f>AVERAGE([6]CaseCE350!$I$2:$I$8761)</f>
        <v>26.236826283362589</v>
      </c>
      <c r="K67" s="756">
        <f>AVERAGE([6]CaseCE350!$J$2:$J$8761)</f>
        <v>9.7963736705359641E-3</v>
      </c>
      <c r="L67" s="757">
        <f>AVERAGE([6]CaseCE350!$K$2:$K$8761)</f>
        <v>44.59421052922886</v>
      </c>
      <c r="M67" s="766"/>
      <c r="N67" s="767"/>
      <c r="O67" s="60"/>
      <c r="P67" s="44" t="s">
        <v>589</v>
      </c>
      <c r="Q67" s="750">
        <f>MAX([6]CaseCE350!$R$2:$R$8761)+[6]CaseCE350!$V$2</f>
        <v>11995.70169639605</v>
      </c>
      <c r="R67" s="752" t="str">
        <f>MID(INDEX([6]CaseCE350!$A$2:$A$8761,MATCH(MAX([6]CaseCE350!$R$2:$R$8761),[6]CaseCE350!$R$2:$R$8761,0)),2,5)</f>
        <v>07/20</v>
      </c>
      <c r="S67" s="760" t="str">
        <f>MID(INDEX([6]CaseCE350!$A$2:$A$8761,MATCH(MAX([6]CaseCE350!$R$2:$R$8761),[6]CaseCE350!$R$2:$R$8761,0)),9,5)</f>
        <v>15:00</v>
      </c>
      <c r="T67" s="750">
        <f>MAX([6]CaseCE350!$O$2:$O$8761)/3600</f>
        <v>23463.135987177277</v>
      </c>
      <c r="U67" s="752" t="str">
        <f>MID(INDEX([6]CaseCE350!$A$2:$A$8761,MATCH(MAX([6]CaseCE350!$O$2:$O$8761),[6]CaseCE350!$O$2:$O$8761,0)),2,5)</f>
        <v>07/20</v>
      </c>
      <c r="V67" s="760" t="str">
        <f>MID(INDEX([6]CaseCE350!$A$2:$A$8761,MATCH(MAX([6]CaseCE350!$O$2:$O$8761),[6]CaseCE350!$O$2:$O$8761,0)),9,5)</f>
        <v>15:00</v>
      </c>
      <c r="W67" s="750">
        <f>MAX([6]CaseCE350!$Q$2:$Q$8761)/3600</f>
        <v>10595.642610246778</v>
      </c>
      <c r="X67" s="752" t="str">
        <f>MID(INDEX([6]CaseCE350!$A$2:$A$8761,MATCH(MAX([6]CaseCE350!$Q$2:$Q$8761),[6]CaseCE350!$Q$2:$Q$8761,0)),2,5)</f>
        <v>07/10</v>
      </c>
      <c r="Y67" s="760" t="str">
        <f>MID(INDEX([6]CaseCE350!$A$2:$A$8761,MATCH(MAX([6]CaseCE350!$Q$2:$Q$8761),[6]CaseCE350!$Q$2:$Q$8761,0)),9,5)</f>
        <v>13:00</v>
      </c>
      <c r="Z67" s="750">
        <f>MAX([6]CaseCE350!$M$2:$M$8761)/3600</f>
        <v>33057.448725815004</v>
      </c>
      <c r="AA67" s="752" t="str">
        <f>MID(INDEX([6]CaseCE350!$A$2:$A$8761,MATCH(MAX([6]CaseCE350!$M$2:$M$8761),[6]CaseCE350!$M$2:$M$8761,0)),2,5)</f>
        <v>07/20</v>
      </c>
      <c r="AB67" s="768" t="str">
        <f>MID(INDEX([6]CaseCE350!$A$2:$A$8761,MATCH(MAX([6]CaseCE350!$M$2:$M$8761),[6]CaseCE350!$M$2:$M$8761,0)),9,5)</f>
        <v>15:00</v>
      </c>
      <c r="AC67" s="292"/>
      <c r="AD67" s="292"/>
      <c r="AE67" s="292"/>
      <c r="AF67" s="292"/>
      <c r="AG67" s="292"/>
      <c r="AH67" s="292"/>
    </row>
    <row r="68" spans="1:34" ht="15.75">
      <c r="A68" s="45" t="s">
        <v>590</v>
      </c>
      <c r="B68" s="769">
        <f t="shared" si="0"/>
        <v>54944.250192986554</v>
      </c>
      <c r="C68" s="770">
        <f>SUM([7]CaseCE360!$R$2:$R$8761)/1000</f>
        <v>44082.158264026322</v>
      </c>
      <c r="D68" s="771" t="s">
        <v>458</v>
      </c>
      <c r="E68" s="770">
        <f>SUM([7]CaseCE360!$V$2:$V$8761)/1000</f>
        <v>10862.091928960235</v>
      </c>
      <c r="F68" s="769">
        <f>SUM([7]CaseCE360!$M$2:$M$8761)/3600/1000</f>
        <v>162207.68653318047</v>
      </c>
      <c r="G68" s="770">
        <f>SUM([7]CaseCE360!$O$2:$O$8761)/3600/1000</f>
        <v>134711.11686674133</v>
      </c>
      <c r="H68" s="770">
        <f>SUM([7]CaseCE360!$Q$2:$Q$8761)/3600/1000</f>
        <v>27496.569666439973</v>
      </c>
      <c r="I68" s="772">
        <f t="shared" si="1"/>
        <v>3.6796675326478208</v>
      </c>
      <c r="J68" s="773">
        <f>AVERAGE([7]CaseCE360!$I$2:$I$8761)</f>
        <v>25.431118171998271</v>
      </c>
      <c r="K68" s="774">
        <f>AVERAGE([7]CaseCE360!$J$2:$J$8761)</f>
        <v>8.6062916094321474E-3</v>
      </c>
      <c r="L68" s="775">
        <f>AVERAGE([7]CaseCE360!$K$2:$K$8761)</f>
        <v>41.363700199361176</v>
      </c>
      <c r="M68" s="766"/>
      <c r="N68" s="767"/>
      <c r="O68" s="60"/>
      <c r="P68" s="45" t="s">
        <v>590</v>
      </c>
      <c r="Q68" s="769">
        <f>MAX([7]CaseCE360!$R$2:$R$8761)+[7]CaseCE360!$V$2</f>
        <v>12776.42848399295</v>
      </c>
      <c r="R68" s="771" t="str">
        <f>MID(INDEX([7]CaseCE360!$A$2:$A$8761,MATCH(MAX([7]CaseCE360!$R$2:$R$8761),[7]CaseCE360!$R$2:$R$8761,0)),2,5)</f>
        <v>07/20</v>
      </c>
      <c r="S68" s="776" t="str">
        <f>MID(INDEX([7]CaseCE360!$A$2:$A$8761,MATCH(MAX([7]CaseCE360!$R$2:$R$8761),[7]CaseCE360!$R$2:$R$8761,0)),9,5)</f>
        <v>15:00</v>
      </c>
      <c r="T68" s="769">
        <f>MAX([7]CaseCE360!$O$2:$O$8761)/3600</f>
        <v>32409.297602015555</v>
      </c>
      <c r="U68" s="771" t="str">
        <f>MID(INDEX([7]CaseCE360!$A$2:$A$8761,MATCH(MAX([7]CaseCE360!$O$2:$O$8761),[7]CaseCE360!$O$2:$O$8761,0)),2,5)</f>
        <v>04/24</v>
      </c>
      <c r="V68" s="776" t="str">
        <f>MID(INDEX([7]CaseCE360!$A$2:$A$8761,MATCH(MAX([7]CaseCE360!$O$2:$O$8761),[7]CaseCE360!$O$2:$O$8761,0)),9,5)</f>
        <v>16:00</v>
      </c>
      <c r="W68" s="769">
        <f>MAX([7]CaseCE360!$Q$2:$Q$8761)/3600</f>
        <v>8907.2199211284442</v>
      </c>
      <c r="X68" s="771" t="str">
        <f>MID(INDEX([7]CaseCE360!$A$2:$A$8761,MATCH(MAX([7]CaseCE360!$Q$2:$Q$8761),[7]CaseCE360!$Q$2:$Q$8761,0)),2,5)</f>
        <v>10/02</v>
      </c>
      <c r="Y68" s="776" t="str">
        <f>MID(INDEX([7]CaseCE360!$A$2:$A$8761,MATCH(MAX([7]CaseCE360!$Q$2:$Q$8761),[7]CaseCE360!$Q$2:$Q$8761,0)),9,5)</f>
        <v>10:00</v>
      </c>
      <c r="Z68" s="769">
        <f>MAX([7]CaseCE360!$M$2:$M$8761)/3600</f>
        <v>38691.48626768306</v>
      </c>
      <c r="AA68" s="771" t="str">
        <f>MID(INDEX([7]CaseCE360!$A$2:$A$8761,MATCH(MAX([7]CaseCE360!$M$2:$M$8761),[7]CaseCE360!$M$2:$M$8761,0)),2,5)</f>
        <v>10/02</v>
      </c>
      <c r="AB68" s="777" t="str">
        <f>MID(INDEX([7]CaseCE360!$A$2:$A$8761,MATCH(MAX([7]CaseCE360!$M$2:$M$8761),[7]CaseCE360!$M$2:$M$8761,0)),9,5)</f>
        <v>11:00</v>
      </c>
      <c r="AC68" s="292"/>
      <c r="AD68" s="292"/>
      <c r="AE68" s="292"/>
      <c r="AF68" s="292"/>
      <c r="AG68" s="292"/>
      <c r="AH68" s="292"/>
    </row>
    <row r="69" spans="1:34" ht="15.75">
      <c r="A69" s="44" t="s">
        <v>591</v>
      </c>
      <c r="B69" s="750">
        <f t="shared" si="0"/>
        <v>31265.643283038276</v>
      </c>
      <c r="C69" s="751">
        <f>SUM([8]CaseCE400!$R$2:$R$8761)/1000</f>
        <v>20403.551354078041</v>
      </c>
      <c r="D69" s="752" t="s">
        <v>458</v>
      </c>
      <c r="E69" s="753">
        <f>SUM([8]CaseCE400!$V$2:$V$8761)/1000</f>
        <v>10862.091928960235</v>
      </c>
      <c r="F69" s="750">
        <f>SUM([8]CaseCE400!$M$2:$M$8761)/3600/1000</f>
        <v>66490.499195532233</v>
      </c>
      <c r="G69" s="751">
        <f>SUM([8]CaseCE400!$O$2:$O$8761)/3600/1000</f>
        <v>40599.219218286213</v>
      </c>
      <c r="H69" s="753">
        <f>SUM([8]CaseCE400!$Q$2:$Q$8761)/3600/1000</f>
        <v>25891.279977246446</v>
      </c>
      <c r="I69" s="754">
        <f t="shared" si="1"/>
        <v>3.2587708895217808</v>
      </c>
      <c r="J69" s="755">
        <f>AVERAGE([8]CaseCE400!$I$2:$I$8761)</f>
        <v>24.090459328599369</v>
      </c>
      <c r="K69" s="756">
        <f>AVERAGE([8]CaseCE400!$J$2:$J$8761)</f>
        <v>1.0041896100711798E-2</v>
      </c>
      <c r="L69" s="757">
        <f>AVERAGE([8]CaseCE400!$K$2:$K$8761)</f>
        <v>52.274581697959078</v>
      </c>
      <c r="M69" s="766"/>
      <c r="N69" s="767"/>
      <c r="O69" s="60"/>
      <c r="P69" s="44" t="s">
        <v>591</v>
      </c>
      <c r="Q69" s="750">
        <f>MAX([8]CaseCE400!$R$2:$R$8761)+[8]CaseCE400!$V$2</f>
        <v>11995.697398211951</v>
      </c>
      <c r="R69" s="752" t="str">
        <f>MID(INDEX([8]CaseCE400!$A$2:$A$8761,MATCH(MAX([8]CaseCE400!$R$2:$R$8761),[8]CaseCE400!$R$2:$R$8761,0)),2,5)</f>
        <v>07/20</v>
      </c>
      <c r="S69" s="760" t="str">
        <f>MID(INDEX([8]CaseCE400!$A$2:$A$8761,MATCH(MAX([8]CaseCE400!$R$2:$R$8761),[8]CaseCE400!$R$2:$R$8761,0)),9,5)</f>
        <v>15:00</v>
      </c>
      <c r="T69" s="750">
        <f>MAX([8]CaseCE400!$O$2:$O$8761)/3600</f>
        <v>23463.122178536581</v>
      </c>
      <c r="U69" s="752" t="str">
        <f>MID(INDEX([8]CaseCE400!$A$2:$A$8761,MATCH(MAX([8]CaseCE400!$O$2:$O$8761),[8]CaseCE400!$O$2:$O$8761,0)),2,5)</f>
        <v>07/20</v>
      </c>
      <c r="V69" s="760" t="str">
        <f>MID(INDEX([8]CaseCE400!$A$2:$A$8761,MATCH(MAX([8]CaseCE400!$O$2:$O$8761),[8]CaseCE400!$O$2:$O$8761,0)),9,5)</f>
        <v>15:00</v>
      </c>
      <c r="W69" s="750">
        <f>MAX([8]CaseCE400!$Q$2:$Q$8761)/3600</f>
        <v>26767.676668863169</v>
      </c>
      <c r="X69" s="752" t="str">
        <f>MID(INDEX([8]CaseCE400!$A$2:$A$8761,MATCH(MAX([8]CaseCE400!$Q$2:$Q$8761),[8]CaseCE400!$Q$2:$Q$8761,0)),2,5)</f>
        <v>09/16</v>
      </c>
      <c r="Y69" s="760" t="str">
        <f>MID(INDEX([8]CaseCE400!$A$2:$A$8761,MATCH(MAX([8]CaseCE400!$Q$2:$Q$8761),[8]CaseCE400!$Q$2:$Q$8761,0)),9,5)</f>
        <v>15:00</v>
      </c>
      <c r="Z69" s="750">
        <f>MAX([8]CaseCE400!$M$2:$M$8761)/3600</f>
        <v>41112.205984313332</v>
      </c>
      <c r="AA69" s="752" t="str">
        <f>MID(INDEX([8]CaseCE400!$A$2:$A$8761,MATCH(MAX([8]CaseCE400!$M$2:$M$8761),[8]CaseCE400!$M$2:$M$8761,0)),2,5)</f>
        <v>09/16</v>
      </c>
      <c r="AB69" s="768" t="str">
        <f>MID(INDEX([8]CaseCE400!$A$2:$A$8761,MATCH(MAX([8]CaseCE400!$M$2:$M$8761),[8]CaseCE400!$M$2:$M$8761,0)),9,5)</f>
        <v>15:00</v>
      </c>
      <c r="AC69" s="292"/>
      <c r="AD69" s="292"/>
      <c r="AE69" s="292"/>
      <c r="AF69" s="292"/>
      <c r="AG69" s="292"/>
      <c r="AH69" s="292"/>
    </row>
    <row r="70" spans="1:34" ht="15.75">
      <c r="A70" s="44" t="s">
        <v>592</v>
      </c>
      <c r="B70" s="750">
        <f t="shared" si="0"/>
        <v>32010.506096667465</v>
      </c>
      <c r="C70" s="751">
        <f>SUM([9]CaseCE410!$R$2:$R$8761)/1000</f>
        <v>21148.414167707229</v>
      </c>
      <c r="D70" s="752" t="s">
        <v>458</v>
      </c>
      <c r="E70" s="753">
        <f>SUM([9]CaseCE410!$V$2:$V$8761)/1000</f>
        <v>10862.091928960235</v>
      </c>
      <c r="F70" s="750">
        <f>SUM([9]CaseCE410!$M$2:$M$8761)/3600/1000</f>
        <v>68071.421886632073</v>
      </c>
      <c r="G70" s="751">
        <f>SUM([9]CaseCE410!$O$2:$O$8761)/3600/1000</f>
        <v>47103.208562697931</v>
      </c>
      <c r="H70" s="753">
        <f>SUM([9]CaseCE410!$Q$2:$Q$8761)/3600/1000</f>
        <v>20968.213323934026</v>
      </c>
      <c r="I70" s="754">
        <f>F70/C70</f>
        <v>3.2187482875465139</v>
      </c>
      <c r="J70" s="755">
        <f>AVERAGE([9]CaseCE410!$I$2:$I$8761)</f>
        <v>24.088989264750246</v>
      </c>
      <c r="K70" s="756">
        <f>AVERAGE([9]CaseCE410!$J$2:$J$8761)</f>
        <v>9.4822829454586158E-3</v>
      </c>
      <c r="L70" s="757">
        <f>AVERAGE([9]CaseCE410!$K$2:$K$8761)</f>
        <v>49.516127890351157</v>
      </c>
      <c r="M70" s="766"/>
      <c r="N70" s="767"/>
      <c r="O70" s="60"/>
      <c r="P70" s="44" t="s">
        <v>592</v>
      </c>
      <c r="Q70" s="750">
        <f>MAX([9]CaseCE410!$R$2:$R$8761)+[8]CaseCE400!$V$2</f>
        <v>11995.70893824355</v>
      </c>
      <c r="R70" s="752" t="str">
        <f>MID(INDEX([9]CaseCE410!$A$2:$A$8761,MATCH(MAX([9]CaseCE410!$R$2:$R$8761),[9]CaseCE410!$R$2:$R$8761,0)),2,5)</f>
        <v>07/20</v>
      </c>
      <c r="S70" s="760" t="str">
        <f>MID(INDEX([9]CaseCE410!$A$2:$A$8761,MATCH(MAX([9]CaseCE410!$R$2:$R$8761),[9]CaseCE410!$R$2:$R$8761,0)),9,5)</f>
        <v>15:00</v>
      </c>
      <c r="T70" s="750">
        <f>MAX([9]CaseCE410!$O$2:$O$8761)/3600</f>
        <v>23463.175508715001</v>
      </c>
      <c r="U70" s="752" t="str">
        <f>MID(INDEX([9]CaseCE410!$A$2:$A$8761,MATCH(MAX([9]CaseCE410!$O$2:$O$8761),[9]CaseCE410!$O$2:$O$8761,0)),2,5)</f>
        <v>07/20</v>
      </c>
      <c r="V70" s="760" t="str">
        <f>MID(INDEX([9]CaseCE410!$A$2:$A$8761,MATCH(MAX([9]CaseCE410!$O$2:$O$8761),[9]CaseCE410!$O$2:$O$8761,0)),9,5)</f>
        <v>15:00</v>
      </c>
      <c r="W70" s="750">
        <f>MAX([9]CaseCE410!$Q$2:$Q$8761)/3600</f>
        <v>10595.085021236055</v>
      </c>
      <c r="X70" s="752" t="str">
        <f>MID(INDEX([9]CaseCE410!$A$2:$A$8761,MATCH(MAX([9]CaseCE410!$Q$2:$Q$8761),[9]CaseCE410!$Q$2:$Q$8761,0)),2,5)</f>
        <v>07/10</v>
      </c>
      <c r="Y70" s="760" t="str">
        <f>MID(INDEX([9]CaseCE410!$A$2:$A$8761,MATCH(MAX([9]CaseCE410!$Q$2:$Q$8761),[9]CaseCE410!$Q$2:$Q$8761,0)),9,5)</f>
        <v>13:00</v>
      </c>
      <c r="Z70" s="750">
        <f>MAX([9]CaseCE410!$M$2:$M$8761)/3600</f>
        <v>33057.473802984721</v>
      </c>
      <c r="AA70" s="752" t="str">
        <f>MID(INDEX([9]CaseCE410!$A$2:$A$8761,MATCH(MAX([9]CaseCE410!$M$2:$M$8761),[9]CaseCE410!$M$2:$M$8761,0)),2,5)</f>
        <v>07/20</v>
      </c>
      <c r="AB70" s="768" t="str">
        <f>MID(INDEX([9]CaseCE410!$A$2:$A$8761,MATCH(MAX([9]CaseCE410!$M$2:$M$8761),[9]CaseCE410!$M$2:$M$8761,0)),9,5)</f>
        <v>15:00</v>
      </c>
      <c r="AC70" s="292"/>
      <c r="AD70" s="292"/>
      <c r="AE70" s="292"/>
      <c r="AF70" s="292"/>
      <c r="AG70" s="292"/>
      <c r="AH70" s="292"/>
    </row>
    <row r="71" spans="1:34" ht="15.75">
      <c r="A71" s="44" t="s">
        <v>593</v>
      </c>
      <c r="B71" s="750">
        <f t="shared" si="0"/>
        <v>32978.545256475802</v>
      </c>
      <c r="C71" s="751">
        <f>SUM([10]CaseCE420!$R$2:$R$8761)/1000</f>
        <v>22116.453327515566</v>
      </c>
      <c r="D71" s="752" t="s">
        <v>458</v>
      </c>
      <c r="E71" s="753">
        <f>SUM([10]CaseCE420!$V$2:$V$8761)/1000</f>
        <v>10862.091928960235</v>
      </c>
      <c r="F71" s="750">
        <f>SUM([10]CaseCE420!$M$2:$M$8761)/3600/1000</f>
        <v>71248.090397460735</v>
      </c>
      <c r="G71" s="751">
        <f>SUM([10]CaseCE420!$O$2:$O$8761)/3600/1000</f>
        <v>49444.639083137168</v>
      </c>
      <c r="H71" s="753">
        <f>SUM([10]CaseCE420!$Q$2:$Q$8761)/3600/1000</f>
        <v>21803.451314323509</v>
      </c>
      <c r="I71" s="754">
        <f t="shared" si="1"/>
        <v>3.2214971063565341</v>
      </c>
      <c r="J71" s="755">
        <f>AVERAGE([10]CaseCE420!$I$2:$I$8761)</f>
        <v>24.089038062089866</v>
      </c>
      <c r="K71" s="756">
        <f>AVERAGE([10]CaseCE420!$J$2:$J$8761)</f>
        <v>9.3475580551083751E-3</v>
      </c>
      <c r="L71" s="757">
        <f>AVERAGE([10]CaseCE420!$K$2:$K$8761)</f>
        <v>48.849465456848122</v>
      </c>
      <c r="M71" s="766"/>
      <c r="N71" s="767"/>
      <c r="O71" s="60"/>
      <c r="P71" s="44" t="s">
        <v>593</v>
      </c>
      <c r="Q71" s="750">
        <f>MAX([10]CaseCE420!$R$2:$R$8761)+[10]CaseCE420!$V$2</f>
        <v>11995.70893824355</v>
      </c>
      <c r="R71" s="752" t="str">
        <f>MID(INDEX([10]CaseCE420!$A$2:$A$8761,MATCH(MAX([10]CaseCE420!$R$2:$R$8761),[10]CaseCE420!$R$2:$R$8761,0)),2,5)</f>
        <v>07/20</v>
      </c>
      <c r="S71" s="760" t="str">
        <f>MID(INDEX([10]CaseCE420!$A$2:$A$8761,MATCH(MAX([10]CaseCE420!$R$2:$R$8761),[10]CaseCE420!$R$2:$R$8761,0)),9,5)</f>
        <v>15:00</v>
      </c>
      <c r="T71" s="750">
        <f>MAX([10]CaseCE420!$O$2:$O$8761)/3600</f>
        <v>23463.175508715362</v>
      </c>
      <c r="U71" s="752" t="str">
        <f>MID(INDEX([10]CaseCE420!$A$2:$A$8761,MATCH(MAX([10]CaseCE420!$O$2:$O$8761),[10]CaseCE420!$O$2:$O$8761,0)),2,5)</f>
        <v>07/20</v>
      </c>
      <c r="V71" s="760" t="str">
        <f>MID(INDEX([10]CaseCE420!$A$2:$A$8761,MATCH(MAX([10]CaseCE420!$O$2:$O$8761),[10]CaseCE420!$O$2:$O$8761,0)),9,5)</f>
        <v>15:00</v>
      </c>
      <c r="W71" s="750">
        <f>MAX([10]CaseCE420!$Q$2:$Q$8761)/3600</f>
        <v>10595.085021235862</v>
      </c>
      <c r="X71" s="752" t="str">
        <f>MID(INDEX([10]CaseCE420!$A$2:$A$8761,MATCH(MAX([10]CaseCE420!$Q$2:$Q$8761),[10]CaseCE420!$Q$2:$Q$8761,0)),2,5)</f>
        <v>07/10</v>
      </c>
      <c r="Y71" s="760" t="str">
        <f>MID(INDEX([10]CaseCE420!$A$2:$A$8761,MATCH(MAX([10]CaseCE420!$Q$2:$Q$8761),[10]CaseCE420!$Q$2:$Q$8761,0)),9,5)</f>
        <v>13:00</v>
      </c>
      <c r="Z71" s="750">
        <f>MAX([10]CaseCE420!$M$2:$M$8761)/3600</f>
        <v>33057.473802984721</v>
      </c>
      <c r="AA71" s="752" t="str">
        <f>MID(INDEX([10]CaseCE420!$A$2:$A$8761,MATCH(MAX([10]CaseCE420!$M$2:$M$8761),[10]CaseCE420!$M$2:$M$8761,0)),2,5)</f>
        <v>07/20</v>
      </c>
      <c r="AB71" s="768" t="str">
        <f>MID(INDEX([10]CaseCE420!$A$2:$A$8761,MATCH(MAX([10]CaseCE420!$M$2:$M$8761),[10]CaseCE420!$M$2:$M$8761,0)),9,5)</f>
        <v>15:00</v>
      </c>
      <c r="AC71" s="292"/>
      <c r="AD71" s="292"/>
      <c r="AE71" s="292"/>
      <c r="AF71" s="292"/>
      <c r="AG71" s="292"/>
      <c r="AH71" s="292"/>
    </row>
    <row r="72" spans="1:34" ht="15.75">
      <c r="A72" s="44" t="s">
        <v>594</v>
      </c>
      <c r="B72" s="750">
        <f t="shared" si="0"/>
        <v>32085.518026958744</v>
      </c>
      <c r="C72" s="751">
        <f>SUM([11]CaseCE430!$R$2:$R$8761)/1000</f>
        <v>21223.426097998508</v>
      </c>
      <c r="D72" s="752" t="s">
        <v>458</v>
      </c>
      <c r="E72" s="753">
        <f>SUM([11]CaseCE430!$V$2:$V$8761)/1000</f>
        <v>10862.091928960235</v>
      </c>
      <c r="F72" s="750">
        <f>SUM([11]CaseCE430!$M$2:$M$8761)/3600/1000</f>
        <v>68287.754447713814</v>
      </c>
      <c r="G72" s="751">
        <f>SUM([11]CaseCE430!$O$2:$O$8761)/3600/1000</f>
        <v>46911.710036851502</v>
      </c>
      <c r="H72" s="753">
        <f>SUM([11]CaseCE430!$Q$2:$Q$8761)/3600/1000</f>
        <v>21376.044410862422</v>
      </c>
      <c r="I72" s="754">
        <f>F72/C72</f>
        <v>3.2175650685425263</v>
      </c>
      <c r="J72" s="755">
        <f>AVERAGE([11]CaseCE430!$I$2:$I$8761)</f>
        <v>24.089030863511095</v>
      </c>
      <c r="K72" s="756">
        <f>AVERAGE([11]CaseCE430!$J$2:$J$8761)</f>
        <v>9.3870109180310014E-3</v>
      </c>
      <c r="L72" s="757">
        <f>AVERAGE([11]CaseCE430!$K$2:$K$8761)</f>
        <v>49.044422928027274</v>
      </c>
      <c r="M72" s="766"/>
      <c r="N72" s="767"/>
      <c r="O72" s="60"/>
      <c r="P72" s="44" t="s">
        <v>594</v>
      </c>
      <c r="Q72" s="750">
        <f>MAX([11]CaseCE430!$R$2:$R$8761)+[11]CaseCE430!$V$2</f>
        <v>11995.70893824365</v>
      </c>
      <c r="R72" s="752" t="str">
        <f>MID(INDEX([11]CaseCE430!$A$2:$A$8761,MATCH(MAX([11]CaseCE430!$R$2:$R$8761),[11]CaseCE430!$R$2:$R$8761,0)),2,5)</f>
        <v>07/20</v>
      </c>
      <c r="S72" s="760" t="str">
        <f>MID(INDEX([11]CaseCE430!$A$2:$A$8761,MATCH(MAX([11]CaseCE430!$R$2:$R$8761),[11]CaseCE430!$R$2:$R$8761,0)),9,5)</f>
        <v>15:00</v>
      </c>
      <c r="T72" s="750">
        <f>MAX([11]CaseCE430!$O$2:$O$8761)/3600</f>
        <v>23463.175508715834</v>
      </c>
      <c r="U72" s="752" t="str">
        <f>MID(INDEX([11]CaseCE430!$A$2:$A$8761,MATCH(MAX([11]CaseCE430!$O$2:$O$8761),[11]CaseCE430!$O$2:$O$8761,0)),2,5)</f>
        <v>07/20</v>
      </c>
      <c r="V72" s="760" t="str">
        <f>MID(INDEX([11]CaseCE430!$A$2:$A$8761,MATCH(MAX([11]CaseCE430!$O$2:$O$8761),[11]CaseCE430!$O$2:$O$8761,0)),9,5)</f>
        <v>15:00</v>
      </c>
      <c r="W72" s="750">
        <f>MAX([11]CaseCE430!$Q$2:$Q$8761)/3600</f>
        <v>11375.324837683278</v>
      </c>
      <c r="X72" s="752" t="str">
        <f>MID(INDEX([11]CaseCE430!$A$2:$A$8761,MATCH(MAX([11]CaseCE430!$Q$2:$Q$8761),[11]CaseCE430!$Q$2:$Q$8761,0)),2,5)</f>
        <v>10/24</v>
      </c>
      <c r="Y72" s="760" t="str">
        <f>MID(INDEX([11]CaseCE430!$A$2:$A$8761,MATCH(MAX([11]CaseCE430!$Q$2:$Q$8761),[11]CaseCE430!$Q$2:$Q$8761,0)),9,5)</f>
        <v>13:00</v>
      </c>
      <c r="Z72" s="750">
        <f>MAX([11]CaseCE430!$M$2:$M$8761)/3600</f>
        <v>33057.473802984998</v>
      </c>
      <c r="AA72" s="752" t="str">
        <f>MID(INDEX([11]CaseCE430!$A$2:$A$8761,MATCH(MAX([11]CaseCE430!$M$2:$M$8761),[11]CaseCE430!$M$2:$M$8761,0)),2,5)</f>
        <v>07/20</v>
      </c>
      <c r="AB72" s="768" t="str">
        <f>MID(INDEX([11]CaseCE430!$A$2:$A$8761,MATCH(MAX([11]CaseCE430!$M$2:$M$8761),[11]CaseCE430!$M$2:$M$8761,0)),9,5)</f>
        <v>15:00</v>
      </c>
      <c r="AC72" s="292"/>
      <c r="AD72" s="292"/>
      <c r="AE72" s="292"/>
      <c r="AF72" s="292"/>
      <c r="AG72" s="292"/>
      <c r="AH72" s="292"/>
    </row>
    <row r="73" spans="1:34" ht="15.75">
      <c r="A73" s="45" t="s">
        <v>595</v>
      </c>
      <c r="B73" s="769">
        <f t="shared" si="0"/>
        <v>33284.82650610905</v>
      </c>
      <c r="C73" s="770">
        <f>SUM([12]CaseCE440!$R$2:$R$8761)/1000</f>
        <v>22422.734577148814</v>
      </c>
      <c r="D73" s="771" t="s">
        <v>458</v>
      </c>
      <c r="E73" s="770">
        <f>SUM([12]CaseCE440!$V$2:$V$8761)/1000</f>
        <v>10862.091928960235</v>
      </c>
      <c r="F73" s="769">
        <f>SUM([12]CaseCE440!$M$2:$M$8761)/3600/1000</f>
        <v>72362.101155627257</v>
      </c>
      <c r="G73" s="770">
        <f>SUM([12]CaseCE440!$O$2:$O$8761)/3600/1000</f>
        <v>50001.032811128229</v>
      </c>
      <c r="H73" s="770">
        <f>SUM([12]CaseCE440!$Q$2:$Q$8761)/3600/1000</f>
        <v>22361.068344499032</v>
      </c>
      <c r="I73" s="772">
        <f>F73/C73</f>
        <v>3.2271755662385644</v>
      </c>
      <c r="J73" s="773">
        <f>AVERAGE([12]CaseCE440!$I$2:$I$8761)</f>
        <v>24.089066762619694</v>
      </c>
      <c r="K73" s="774">
        <f>AVERAGE([12]CaseCE440!$J$2:$J$8761)</f>
        <v>9.2306979115424643E-3</v>
      </c>
      <c r="L73" s="775">
        <f>AVERAGE([12]CaseCE440!$K$2:$K$8761)</f>
        <v>48.26890572015904</v>
      </c>
      <c r="M73" s="766"/>
      <c r="N73" s="767"/>
      <c r="O73" s="60"/>
      <c r="P73" s="45" t="s">
        <v>595</v>
      </c>
      <c r="Q73" s="769">
        <f>MAX([12]CaseCE440!$R$2:$R$8761)+[12]CaseCE440!$V$2</f>
        <v>11995.70893824365</v>
      </c>
      <c r="R73" s="771" t="str">
        <f>MID(INDEX([12]CaseCE440!$A$2:$A$8761,MATCH(MAX([12]CaseCE440!$R$2:$R$8761),[12]CaseCE440!$R$2:$R$8761,0)),2,5)</f>
        <v>07/20</v>
      </c>
      <c r="S73" s="776" t="str">
        <f>MID(INDEX([12]CaseCE440!$A$2:$A$8761,MATCH(MAX([12]CaseCE440!$R$2:$R$8761),[12]CaseCE440!$R$2:$R$8761,0)),9,5)</f>
        <v>15:00</v>
      </c>
      <c r="T73" s="769">
        <f>MAX([12]CaseCE440!$O$2:$O$8761)/3600</f>
        <v>23463.175508715638</v>
      </c>
      <c r="U73" s="771" t="str">
        <f>MID(INDEX([12]CaseCE440!$A$2:$A$8761,MATCH(MAX([12]CaseCE440!$O$2:$O$8761),[12]CaseCE440!$O$2:$O$8761,0)),2,5)</f>
        <v>07/20</v>
      </c>
      <c r="V73" s="776" t="str">
        <f>MID(INDEX([12]CaseCE440!$A$2:$A$8761,MATCH(MAX([12]CaseCE440!$O$2:$O$8761),[12]CaseCE440!$O$2:$O$8761,0)),9,5)</f>
        <v>15:00</v>
      </c>
      <c r="W73" s="769">
        <f>MAX([12]CaseCE440!$Q$2:$Q$8761)/3600</f>
        <v>10595.085021235916</v>
      </c>
      <c r="X73" s="771" t="str">
        <f>MID(INDEX([12]CaseCE440!$A$2:$A$8761,MATCH(MAX([12]CaseCE440!$Q$2:$Q$8761),[12]CaseCE440!$Q$2:$Q$8761,0)),2,5)</f>
        <v>07/10</v>
      </c>
      <c r="Y73" s="776" t="str">
        <f>MID(INDEX([12]CaseCE440!$A$2:$A$8761,MATCH(MAX([12]CaseCE440!$Q$2:$Q$8761),[12]CaseCE440!$Q$2:$Q$8761,0)),9,5)</f>
        <v>13:00</v>
      </c>
      <c r="Z73" s="769">
        <f>MAX([12]CaseCE440!$M$2:$M$8761)/3600</f>
        <v>33057.473802984998</v>
      </c>
      <c r="AA73" s="771" t="str">
        <f>MID(INDEX([12]CaseCE440!$A$2:$A$8761,MATCH(MAX([12]CaseCE440!$M$2:$M$8761),[12]CaseCE440!$M$2:$M$8761,0)),2,5)</f>
        <v>07/20</v>
      </c>
      <c r="AB73" s="777" t="str">
        <f>MID(INDEX([12]CaseCE440!$A$2:$A$8761,MATCH(MAX([12]CaseCE440!$M$2:$M$8761),[12]CaseCE440!$M$2:$M$8761,0)),9,5)</f>
        <v>15:00</v>
      </c>
      <c r="AC73" s="292"/>
      <c r="AD73" s="292"/>
      <c r="AE73" s="292"/>
      <c r="AF73" s="292"/>
      <c r="AG73" s="292"/>
      <c r="AH73" s="292"/>
    </row>
    <row r="74" spans="1:34" ht="15.75">
      <c r="A74" s="44" t="s">
        <v>596</v>
      </c>
      <c r="B74" s="750">
        <f t="shared" si="0"/>
        <v>23075.81966362716</v>
      </c>
      <c r="C74" s="751">
        <f>SUM([13]CaseCE500!$R$2:$R$8761)/1000</f>
        <v>20445.27668776572</v>
      </c>
      <c r="D74" s="752" t="s">
        <v>458</v>
      </c>
      <c r="E74" s="753">
        <f>SUM([13]CaseCE500!$V$2:$V$8761)/1000</f>
        <v>2630.5429758614428</v>
      </c>
      <c r="F74" s="750">
        <f>SUM([13]CaseCE500!$M$2:$M$8761)/3600/1000</f>
        <v>65589.356347818946</v>
      </c>
      <c r="G74" s="751">
        <f>SUM([13]CaseCE500!$O$2:$O$8761)/3600/1000</f>
        <v>47357.440343089511</v>
      </c>
      <c r="H74" s="753">
        <f>SUM([13]CaseCE500!$Q$2:$Q$8761)/3600/1000</f>
        <v>18231.91600472945</v>
      </c>
      <c r="I74" s="754">
        <f t="shared" ref="I74:I82" si="2">F74/C74</f>
        <v>3.208044447110225</v>
      </c>
      <c r="J74" s="755">
        <f>AVERAGE([13]CaseCE500!$I$2:$I$8761)</f>
        <v>20.40369330062828</v>
      </c>
      <c r="K74" s="756">
        <f>AVERAGE([13]CaseCE500!$J$2:$J$8761)</f>
        <v>9.1456287851062121E-3</v>
      </c>
      <c r="L74" s="757">
        <f>AVERAGE([13]CaseCE500!$K$2:$K$8761)</f>
        <v>57.93619804975993</v>
      </c>
      <c r="M74" s="766"/>
      <c r="N74" s="767"/>
      <c r="O74" s="60"/>
      <c r="P74" s="44" t="s">
        <v>605</v>
      </c>
      <c r="Q74" s="750">
        <f>MAX('[14]COP2 Calcs'!BB5:BB8764)</f>
        <v>10438.517476406219</v>
      </c>
      <c r="R74" s="752" t="str">
        <f>MID(INDEX('[14]COP2 Calcs'!$A$5:$A$8764,MATCH(Q74,'[14]COP2 Calcs'!$BB$5:$BB$8764,0)),2,5)</f>
        <v>07/20</v>
      </c>
      <c r="S74" s="760" t="str">
        <f>MID(INDEX('[14]COP2 Calcs'!$A$5:$A$8764,MATCH(Q74,'[14]COP2 Calcs'!$BB$5:$BB$8764,0)),9,5)</f>
        <v>15:00</v>
      </c>
      <c r="T74" s="750">
        <f>MAX([13]CaseCE500!$O$2:$O$8761)/3600</f>
        <v>19795.91045822786</v>
      </c>
      <c r="U74" s="752" t="str">
        <f>MID(INDEX([13]CaseCE500!$A$2:$A$8761,MATCH(MAX([13]CaseCE500!$O$2:$O$8761),[13]CaseCE500!$O$2:$O$8761,0)),2,5)</f>
        <v>07/20</v>
      </c>
      <c r="V74" s="760" t="str">
        <f>MID(INDEX([13]CaseCE500!$A$2:$A$8761,MATCH(MAX([13]CaseCE500!$O$2:$O$8761),[13]CaseCE500!$O$2:$O$8761,0)),9,5)</f>
        <v>15:00</v>
      </c>
      <c r="W74" s="750">
        <f>MAX([13]CaseCE500!$Q$2:$Q$8761)/3600</f>
        <v>7908.957215893055</v>
      </c>
      <c r="X74" s="752" t="str">
        <f>MID(INDEX([13]CaseCE500!$A$2:$A$8761,MATCH(MAX([13]CaseCE500!$Q$2:$Q$8761),[13]CaseCE500!$Q$2:$Q$8761,0)),2,5)</f>
        <v>06/29</v>
      </c>
      <c r="Y74" s="760" t="str">
        <f>MID(INDEX([13]CaseCE500!$A$2:$A$8761,MATCH(MAX([13]CaseCE500!$Q$2:$Q$8761),[13]CaseCE500!$Q$2:$Q$8761,0)),9,5)</f>
        <v>16:00</v>
      </c>
      <c r="Z74" s="750">
        <f>MAX([13]CaseCE500!$M$2:$M$8761)/3600</f>
        <v>27656.420100725223</v>
      </c>
      <c r="AA74" s="752" t="str">
        <f>MID(INDEX([13]CaseCE500!$A$2:$A$8761,MATCH(MAX([13]CaseCE500!$M$2:$M$8761),[13]CaseCE500!$M$2:$M$8761,0)),2,5)</f>
        <v>06/29</v>
      </c>
      <c r="AB74" s="768" t="str">
        <f>MID(INDEX([13]CaseCE500!$A$2:$A$8761,MATCH(MAX([13]CaseCE500!$M$2:$M$8761),[13]CaseCE500!$M$2:$M$8761,0)),9,5)</f>
        <v>16:00</v>
      </c>
      <c r="AC74" s="292"/>
      <c r="AD74" s="292"/>
      <c r="AE74" s="292"/>
      <c r="AF74" s="292"/>
      <c r="AG74" s="292"/>
      <c r="AH74" s="292"/>
    </row>
    <row r="75" spans="1:34" ht="15.75">
      <c r="A75" s="44" t="s">
        <v>597</v>
      </c>
      <c r="B75" s="750">
        <f t="shared" si="0"/>
        <v>18030.714541373109</v>
      </c>
      <c r="C75" s="751">
        <f>SUM([13]CaseCE500!$R$2882:$R$6553)/1000</f>
        <v>15999.949123256783</v>
      </c>
      <c r="D75" s="752" t="s">
        <v>458</v>
      </c>
      <c r="E75" s="753">
        <f>SUM([13]CaseCE500!$V$2882:$V$6553)/1000</f>
        <v>2030.7654181163252</v>
      </c>
      <c r="F75" s="750">
        <f>SUM([13]CaseCE500!$M$2882:$M$6553)/3600/1000</f>
        <v>50355.674104136109</v>
      </c>
      <c r="G75" s="751">
        <f>SUM([13]CaseCE500!$O$2882:$O$6553)/3600/1000</f>
        <v>36365.086563318095</v>
      </c>
      <c r="H75" s="753">
        <f>SUM([13]CaseCE500!$Q$2882:$Q$6553)/3600/1000</f>
        <v>13990.587540818167</v>
      </c>
      <c r="I75" s="754">
        <f t="shared" si="2"/>
        <v>3.1472396390899418</v>
      </c>
      <c r="J75" s="755">
        <f>AVERAGE([13]CaseCE500!$I$2882:$I$6553)</f>
        <v>24.982691668938305</v>
      </c>
      <c r="K75" s="756">
        <f>AVERAGE([13]CaseCE500!$J$2882:$J$6553)</f>
        <v>1.0999349072433219E-2</v>
      </c>
      <c r="L75" s="757">
        <f>AVERAGE([13]CaseCE500!$K$2882:$K$6553)</f>
        <v>55.660206396027817</v>
      </c>
      <c r="M75" s="766"/>
      <c r="N75" s="767"/>
      <c r="O75" s="60"/>
      <c r="P75" s="44" t="s">
        <v>606</v>
      </c>
      <c r="Q75" s="750">
        <f>MAX('[14]COP2 Calcs'!BH5:BH8764)</f>
        <v>11450.751449098989</v>
      </c>
      <c r="R75" s="752" t="str">
        <f>MID(INDEX('[14]COP2 Calcs'!$A$5:$A$8764,MATCH(Q75,'[14]COP2 Calcs'!$BH$5:$BH$8764,0)),2,5)</f>
        <v>07/20</v>
      </c>
      <c r="S75" s="760" t="str">
        <f>MID(INDEX('[14]COP2 Calcs'!$A$5:$A$8764,MATCH(Q75,'[14]COP2 Calcs'!$BH$5:$BH$8764,0)),9,5)</f>
        <v>15:00</v>
      </c>
      <c r="T75" s="750">
        <f>MAX([15]CaseCE510!$O$2:$O$8761)/3600</f>
        <v>22227.967030350082</v>
      </c>
      <c r="U75" s="752" t="str">
        <f>MID(INDEX([15]CaseCE510!$A$2:$A$8761,MATCH(MAX([15]CaseCE510!$O$2:$O$8761),[15]CaseCE510!$O$2:$O$8761,0)),2,5)</f>
        <v>07/20</v>
      </c>
      <c r="V75" s="760" t="str">
        <f>MID(INDEX([15]CaseCE510!$A$2:$A$8761,MATCH(MAX([15]CaseCE510!$O$2:$O$8761),[15]CaseCE510!$O$2:$O$8761,0)),9,5)</f>
        <v>16:00</v>
      </c>
      <c r="W75" s="750">
        <f>MAX([15]CaseCE510!$Q$2:$Q$8761)/3600</f>
        <v>9041.0375311837779</v>
      </c>
      <c r="X75" s="752" t="str">
        <f>MID(INDEX([15]CaseCE510!$A$2:$A$8761,MATCH(MAX([15]CaseCE510!$Q$2:$Q$8761),[15]CaseCE510!$Q$2:$Q$8761,0)),2,5)</f>
        <v>06/17</v>
      </c>
      <c r="Y75" s="760" t="str">
        <f>MID(INDEX([15]CaseCE510!$A$2:$A$8761,MATCH(MAX([15]CaseCE510!$Q$2:$Q$8761),[15]CaseCE510!$Q$2:$Q$8761,0)),9,5)</f>
        <v>14:00</v>
      </c>
      <c r="Z75" s="750">
        <f>MAX([15]CaseCE510!$M$2:$M$8761)/3600</f>
        <v>31194.549336175001</v>
      </c>
      <c r="AA75" s="752" t="str">
        <f>MID(INDEX([15]CaseCE510!$A$2:$A$8761,MATCH(MAX([15]CaseCE510!$M$2:$M$8761),[15]CaseCE510!$M$2:$M$8761,0)),2,5)</f>
        <v>06/17</v>
      </c>
      <c r="AB75" s="768" t="str">
        <f>MID(INDEX([15]CaseCE510!$A$2:$A$8761,MATCH(MAX([15]CaseCE510!$M$2:$M$8761),[15]CaseCE510!$M$2:$M$8761,0)),9,5)</f>
        <v>14:00</v>
      </c>
      <c r="AC75" s="292"/>
      <c r="AD75" s="292"/>
      <c r="AE75" s="292"/>
      <c r="AF75" s="292"/>
      <c r="AG75" s="292"/>
      <c r="AH75" s="292"/>
    </row>
    <row r="76" spans="1:34" ht="15.75">
      <c r="A76" s="44" t="s">
        <v>598</v>
      </c>
      <c r="B76" s="750">
        <f t="shared" si="0"/>
        <v>35791.020097479886</v>
      </c>
      <c r="C76" s="751">
        <f>SUM([15]CaseCE510!$R$2882:$R$6553)/1000</f>
        <v>31725.166632005326</v>
      </c>
      <c r="D76" s="752" t="s">
        <v>458</v>
      </c>
      <c r="E76" s="753">
        <f>SUM([15]CaseCE510!$V$2882:$V$6553)/1000</f>
        <v>4065.8534654745631</v>
      </c>
      <c r="F76" s="750">
        <f>SUM([15]CaseCE510!$M$2882:$M$6553)/3600/1000</f>
        <v>112794.87725401894</v>
      </c>
      <c r="G76" s="751">
        <f>SUM([15]CaseCE510!$O$2882:$O$6553)/3600/1000</f>
        <v>81315.442213475908</v>
      </c>
      <c r="H76" s="753">
        <f>SUM([15]CaseCE510!$Q$2882:$Q$6553)/3600/1000</f>
        <v>31479.435040542758</v>
      </c>
      <c r="I76" s="754">
        <f t="shared" si="2"/>
        <v>3.5553754078702928</v>
      </c>
      <c r="J76" s="755">
        <f>AVERAGE([15]CaseCE510!$I$2882:$I$6553)</f>
        <v>24.959722174661206</v>
      </c>
      <c r="K76" s="756">
        <f>AVERAGE([15]CaseCE510!$J$2882:$J$6553)</f>
        <v>1.1007725927302797E-2</v>
      </c>
      <c r="L76" s="757">
        <f>AVERAGE([15]CaseCE510!$K$2882:$K$6553)</f>
        <v>55.77802165729225</v>
      </c>
      <c r="M76" s="766"/>
      <c r="N76" s="767"/>
      <c r="O76" s="60"/>
      <c r="P76" s="44" t="s">
        <v>599</v>
      </c>
      <c r="Q76" s="750">
        <f>MAX('[14]COP2 Calcs'!BN5:BN8764)</f>
        <v>11261.829575676351</v>
      </c>
      <c r="R76" s="752" t="str">
        <f>MID(INDEX('[14]COP2 Calcs'!$A$5:$A$8764,MATCH(Q76,'[14]COP2 Calcs'!$BN$5:$BN$8764,0)),2,5)</f>
        <v>07/20</v>
      </c>
      <c r="S76" s="760" t="str">
        <f>MID(INDEX('[14]COP2 Calcs'!$A$5:$A$8764,MATCH(Q76,'[14]COP2 Calcs'!$BN$5:$BN$8764,0)),9,5)</f>
        <v>15:00</v>
      </c>
      <c r="T76" s="750">
        <f>MAX([16]CaseCE520!$O$2:$O$8761)/3600</f>
        <v>20012.575134381084</v>
      </c>
      <c r="U76" s="752" t="str">
        <f>MID(INDEX([16]CaseCE520!$A$2:$A$8761,MATCH(MAX([16]CaseCE520!$O$2:$O$8761),[16]CaseCE520!$O$2:$O$8761,0)),2,5)</f>
        <v>07/30</v>
      </c>
      <c r="V76" s="760" t="str">
        <f>MID(INDEX([16]CaseCE520!$A$2:$A$8761,MATCH(MAX([16]CaseCE520!$O$2:$O$8761),[16]CaseCE520!$O$2:$O$8761,0)),9,5)</f>
        <v>16:00</v>
      </c>
      <c r="W76" s="750">
        <f>MAX([16]CaseCE520!$Q$2:$Q$8761)/3600</f>
        <v>7785.2261007561392</v>
      </c>
      <c r="X76" s="752" t="str">
        <f>MID(INDEX([16]CaseCE520!$A$2:$A$8761,MATCH(MAX([16]CaseCE520!$Q$2:$Q$8761),[16]CaseCE520!$Q$2:$Q$8761,0)),2,5)</f>
        <v>06/29</v>
      </c>
      <c r="Y76" s="760" t="str">
        <f>MID(INDEX([16]CaseCE520!$A$2:$A$8761,MATCH(MAX([16]CaseCE520!$Q$2:$Q$8761),[16]CaseCE520!$Q$2:$Q$8761,0)),9,5)</f>
        <v>16:00</v>
      </c>
      <c r="Z76" s="750">
        <f>MAX([16]CaseCE520!$M$2:$M$8761)/3600</f>
        <v>27731.07105767736</v>
      </c>
      <c r="AA76" s="752" t="str">
        <f>MID(INDEX([16]CaseCE520!$A$2:$A$8761,MATCH(MAX([16]CaseCE520!$M$2:$M$8761),[16]CaseCE520!$M$2:$M$8761,0)),2,5)</f>
        <v>06/29</v>
      </c>
      <c r="AB76" s="768" t="str">
        <f>MID(INDEX([16]CaseCE520!$A$2:$A$8761,MATCH(MAX([16]CaseCE520!$M$2:$M$8761),[16]CaseCE520!$M$2:$M$8761,0)),9,5)</f>
        <v>16:00</v>
      </c>
      <c r="AC76" s="292"/>
      <c r="AD76" s="292"/>
      <c r="AE76" s="292"/>
      <c r="AF76" s="292"/>
      <c r="AG76" s="292"/>
      <c r="AH76" s="292"/>
    </row>
    <row r="77" spans="1:34" ht="15.75">
      <c r="A77" s="44" t="s">
        <v>599</v>
      </c>
      <c r="B77" s="750">
        <f t="shared" si="0"/>
        <v>25812.897251308386</v>
      </c>
      <c r="C77" s="751">
        <f>SUM([16]CaseCE520!$R$2:$R$8761)/1000</f>
        <v>22672.195364210318</v>
      </c>
      <c r="D77" s="752" t="s">
        <v>458</v>
      </c>
      <c r="E77" s="753">
        <f>SUM([16]CaseCE520!$V$2:$V$8761)/1000</f>
        <v>3140.7018870980669</v>
      </c>
      <c r="F77" s="750">
        <f>SUM([16]CaseCE520!$M$2:$M$8761)/3600/1000</f>
        <v>66213.276898262688</v>
      </c>
      <c r="G77" s="751">
        <f>SUM([16]CaseCE520!$O$2:$O$8761)/3600/1000</f>
        <v>47983.748355173033</v>
      </c>
      <c r="H77" s="753">
        <f>SUM([16]CaseCE520!$Q$2:$Q$8761)/3600/1000</f>
        <v>18229.528543089771</v>
      </c>
      <c r="I77" s="754">
        <f t="shared" si="2"/>
        <v>2.9204616418745704</v>
      </c>
      <c r="J77" s="755">
        <f>AVERAGE([16]CaseCE520!$I$2:$I$8761)</f>
        <v>13.625903662770655</v>
      </c>
      <c r="K77" s="756">
        <f>AVERAGE([16]CaseCE520!$J$2:$J$8761)</f>
        <v>6.0156927748213629E-3</v>
      </c>
      <c r="L77" s="757">
        <f>AVERAGE([16]CaseCE520!$K$2:$K$8761)</f>
        <v>60.928214382625612</v>
      </c>
      <c r="M77" s="766"/>
      <c r="N77" s="767"/>
      <c r="O77" s="60"/>
      <c r="P77" s="44" t="s">
        <v>600</v>
      </c>
      <c r="Q77" s="750">
        <f>MAX('[14]COP2 Calcs'!BT5:BT8764)</f>
        <v>10902.67497611466</v>
      </c>
      <c r="R77" s="752" t="str">
        <f>MID(INDEX('[14]COP2 Calcs'!$A$5:$A$8764,MATCH(Q77,'[14]COP2 Calcs'!$BT$5:$BT$8764,0)),2,5)</f>
        <v>07/20</v>
      </c>
      <c r="S77" s="760" t="str">
        <f>MID(INDEX('[14]COP2 Calcs'!$A$5:$A$8764,MATCH(Q77,'[14]COP2 Calcs'!$BT$5:$BT$8764,0)),9,5)</f>
        <v>15:00</v>
      </c>
      <c r="T77" s="750">
        <f>MAX([17]CaseCE522!$O$2:$O$8761)/3600</f>
        <v>19901.871442357831</v>
      </c>
      <c r="U77" s="752" t="str">
        <f>MID(INDEX([17]CaseCE522!$A$2:$A$8761,MATCH(MAX([17]CaseCE522!$O$2:$O$8761),[17]CaseCE522!$O$2:$O$8761,0)),2,5)</f>
        <v>07/20</v>
      </c>
      <c r="V77" s="760" t="str">
        <f>MID(INDEX([17]CaseCE522!$A$2:$A$8761,MATCH(MAX([17]CaseCE522!$O$2:$O$8761),[17]CaseCE522!$O$2:$O$8761,0)),9,5)</f>
        <v>15:00</v>
      </c>
      <c r="W77" s="750">
        <f>MAX([17]CaseCE522!$Q$2:$Q$8761)/3600</f>
        <v>7850.1655950411105</v>
      </c>
      <c r="X77" s="752" t="str">
        <f>MID(INDEX([17]CaseCE522!$A$2:$A$8761,MATCH(MAX([17]CaseCE522!$Q$2:$Q$8761),[17]CaseCE522!$Q$2:$Q$8761,0)),2,5)</f>
        <v>06/29</v>
      </c>
      <c r="Y77" s="760" t="str">
        <f>MID(INDEX([17]CaseCE522!$A$2:$A$8761,MATCH(MAX([17]CaseCE522!$Q$2:$Q$8761),[17]CaseCE522!$Q$2:$Q$8761,0)),9,5)</f>
        <v>16:00</v>
      </c>
      <c r="Z77" s="750">
        <f>MAX([17]CaseCE522!$M$2:$M$8761)/3600</f>
        <v>27698.162017040719</v>
      </c>
      <c r="AA77" s="752" t="str">
        <f>MID(INDEX([17]CaseCE522!$A$2:$A$8761,MATCH(MAX([17]CaseCE522!$M$2:$M$8761),[17]CaseCE522!$M$2:$M$8761,0)),2,5)</f>
        <v>06/29</v>
      </c>
      <c r="AB77" s="768" t="str">
        <f>MID(INDEX([17]CaseCE522!$A$2:$A$8761,MATCH(MAX([17]CaseCE522!$M$2:$M$8761),[17]CaseCE522!$M$2:$M$8761,0)),9,5)</f>
        <v>16:00</v>
      </c>
      <c r="AC77" s="292"/>
      <c r="AD77" s="292"/>
      <c r="AE77" s="292"/>
      <c r="AF77" s="292"/>
      <c r="AG77" s="292"/>
      <c r="AH77" s="292"/>
    </row>
    <row r="78" spans="1:34" ht="15.75">
      <c r="A78" s="44" t="s">
        <v>600</v>
      </c>
      <c r="B78" s="750">
        <f t="shared" si="0"/>
        <v>24385.540125936655</v>
      </c>
      <c r="C78" s="751">
        <f>SUM([17]CaseCE522!$R$2:$R$8761)/1000</f>
        <v>21506.675237696691</v>
      </c>
      <c r="D78" s="752" t="s">
        <v>458</v>
      </c>
      <c r="E78" s="753">
        <f>SUM([17]CaseCE522!$V$2:$V$8761)/1000</f>
        <v>2878.8648882399661</v>
      </c>
      <c r="F78" s="750">
        <f>SUM([17]CaseCE522!$M$2:$M$8761)/3600/1000</f>
        <v>65893.870640899928</v>
      </c>
      <c r="G78" s="751">
        <f>SUM([17]CaseCE522!$O$2:$O$8761)/3600/1000</f>
        <v>47663.108975250296</v>
      </c>
      <c r="H78" s="753">
        <f>SUM([17]CaseCE522!$Q$2:$Q$8761)/3600/1000</f>
        <v>18230.761665649527</v>
      </c>
      <c r="I78" s="754">
        <f t="shared" si="2"/>
        <v>3.0638799308877736</v>
      </c>
      <c r="J78" s="755">
        <f>AVERAGE([17]CaseCE522!$I$2:$I$8761)</f>
        <v>17.032731585935139</v>
      </c>
      <c r="K78" s="756">
        <f>AVERAGE([17]CaseCE522!$J$2:$J$8761)</f>
        <v>7.480528641157785E-3</v>
      </c>
      <c r="L78" s="757">
        <f>AVERAGE([17]CaseCE522!$K$2:$K$8761)</f>
        <v>59.707353189780918</v>
      </c>
      <c r="M78" s="766"/>
      <c r="N78" s="767"/>
      <c r="O78" s="60"/>
      <c r="P78" s="44" t="s">
        <v>601</v>
      </c>
      <c r="Q78" s="750">
        <f>MAX('[14]COP2 Calcs'!BZ5:BZ8764)</f>
        <v>9588.2505528908587</v>
      </c>
      <c r="R78" s="752" t="str">
        <f>MID(INDEX('[14]COP2 Calcs'!$A$5:$A$8764,MATCH(Q78,'[14]COP2 Calcs'!$BZ$5:$BZ$8764,0)),2,5)</f>
        <v>07/20</v>
      </c>
      <c r="S78" s="760" t="str">
        <f>MID(INDEX('[14]COP2 Calcs'!$A$5:$A$8764,MATCH(Q78,'[14]COP2 Calcs'!$BZ$5:$BZ$8764,0)),9,5)</f>
        <v>15:00</v>
      </c>
      <c r="T78" s="750">
        <f>MAX([18]CaseCE525!$O$2:$O$8761)/3600</f>
        <v>19599.053827255666</v>
      </c>
      <c r="U78" s="752" t="str">
        <f>MID(INDEX([18]CaseCE525!$A$2:$A$8761,MATCH(MAX([18]CaseCE525!$O$2:$O$8761),[18]CaseCE525!$O$2:$O$8761,0)),2,5)</f>
        <v>07/20</v>
      </c>
      <c r="V78" s="760" t="str">
        <f>MID(INDEX([18]CaseCE525!$A$2:$A$8761,MATCH(MAX([18]CaseCE525!$O$2:$O$8761),[18]CaseCE525!$O$2:$O$8761,0)),9,5)</f>
        <v>15:00</v>
      </c>
      <c r="W78" s="750">
        <f>MAX([18]CaseCE525!$Q$2:$Q$8761)/3600</f>
        <v>8006.3954937051394</v>
      </c>
      <c r="X78" s="752" t="str">
        <f>MID(INDEX([18]CaseCE525!$A$2:$A$8761,MATCH(MAX([18]CaseCE525!$Q$2:$Q$8761),[18]CaseCE525!$Q$2:$Q$8761,0)),2,5)</f>
        <v>06/29</v>
      </c>
      <c r="Y78" s="760" t="str">
        <f>MID(INDEX([18]CaseCE525!$A$2:$A$8761,MATCH(MAX([18]CaseCE525!$Q$2:$Q$8761),[18]CaseCE525!$Q$2:$Q$8761,0)),9,5)</f>
        <v>16:00</v>
      </c>
      <c r="Z78" s="750">
        <f>MAX([18]CaseCE525!$M$2:$M$8761)/3600</f>
        <v>27564.341467625833</v>
      </c>
      <c r="AA78" s="752" t="str">
        <f>MID(INDEX([18]CaseCE525!$A$2:$A$8761,MATCH(MAX([18]CaseCE525!$M$2:$M$8761),[18]CaseCE525!$M$2:$M$8761,0)),2,5)</f>
        <v>06/29</v>
      </c>
      <c r="AB78" s="768" t="str">
        <f>MID(INDEX([18]CaseCE525!$A$2:$A$8761,MATCH(MAX([18]CaseCE525!$M$2:$M$8761),[18]CaseCE525!$M$2:$M$8761,0)),9,5)</f>
        <v>16:00</v>
      </c>
      <c r="AC78" s="292"/>
      <c r="AD78" s="292"/>
      <c r="AE78" s="292"/>
      <c r="AF78" s="292"/>
      <c r="AG78" s="292"/>
      <c r="AH78" s="292"/>
    </row>
    <row r="79" spans="1:34" ht="15.75">
      <c r="A79" s="44" t="s">
        <v>601</v>
      </c>
      <c r="B79" s="750">
        <f t="shared" si="0"/>
        <v>20781.350761084934</v>
      </c>
      <c r="C79" s="751">
        <f>SUM([18]CaseCE525!$R$2:$R$8761)/1000</f>
        <v>18589.103594641863</v>
      </c>
      <c r="D79" s="752" t="s">
        <v>458</v>
      </c>
      <c r="E79" s="753">
        <f>SUM([18]CaseCE525!$V$2:$V$8761)/1000</f>
        <v>2192.24716644307</v>
      </c>
      <c r="F79" s="750">
        <f>SUM([18]CaseCE525!$M$2:$M$8761)/3600/1000</f>
        <v>65028.317172362673</v>
      </c>
      <c r="G79" s="751">
        <f>SUM([18]CaseCE525!$O$2:$O$8761)/3600/1000</f>
        <v>46796.309837248911</v>
      </c>
      <c r="H79" s="753">
        <f>SUM([18]CaseCE525!$Q$2:$Q$8761)/3600/1000</f>
        <v>18232.007335113853</v>
      </c>
      <c r="I79" s="754">
        <f t="shared" si="2"/>
        <v>3.4981954262230528</v>
      </c>
      <c r="J79" s="755">
        <f>AVERAGE([18]CaseCE525!$I$2:$I$8761)</f>
        <v>27.128669306311327</v>
      </c>
      <c r="K79" s="756">
        <f>AVERAGE([18]CaseCE525!$J$2:$J$8761)</f>
        <v>1.3380293530455892E-2</v>
      </c>
      <c r="L79" s="757">
        <f>AVERAGE([18]CaseCE525!$K$2:$K$8761)</f>
        <v>53.71669213147522</v>
      </c>
      <c r="M79" s="766"/>
      <c r="N79" s="767"/>
      <c r="O79" s="60"/>
      <c r="P79" s="44" t="s">
        <v>602</v>
      </c>
      <c r="Q79" s="750">
        <f>MAX('[14]COP2 Calcs'!CF5:CF8764)</f>
        <v>8293.0409630453032</v>
      </c>
      <c r="R79" s="752" t="str">
        <f>MID(INDEX('[14]COP2 Calcs'!$A$5:$A$8764,MATCH(Q79,'[14]COP2 Calcs'!$CF$5:$CF$8764,0)),2,5)</f>
        <v>07/20</v>
      </c>
      <c r="S79" s="760" t="str">
        <f>MID(INDEX('[14]COP2 Calcs'!$A$5:$A$8764,MATCH(Q79,'[14]COP2 Calcs'!$CF$5:$CF$8764,0)),9,5)</f>
        <v>15:00</v>
      </c>
      <c r="T79" s="750">
        <f>MAX([19]CaseCE530!$O$2:$O$8761)/3600</f>
        <v>19656.140169213584</v>
      </c>
      <c r="U79" s="752" t="str">
        <f>MID(INDEX([19]CaseCE530!$A$2:$A$8761,MATCH(MAX([19]CaseCE530!$O$2:$O$8761),[19]CaseCE530!$O$2:$O$8761,0)),2,5)</f>
        <v>07/20</v>
      </c>
      <c r="V79" s="760" t="str">
        <f>MID(INDEX([19]CaseCE530!$A$2:$A$8761,MATCH(MAX([19]CaseCE530!$O$2:$O$8761),[19]CaseCE530!$O$2:$O$8761,0)),9,5)</f>
        <v>15:00</v>
      </c>
      <c r="W79" s="750">
        <f>MAX([19]CaseCE530!$Q$2:$Q$8761)/3600</f>
        <v>110.17833767868278</v>
      </c>
      <c r="X79" s="752" t="str">
        <f>MID(INDEX([19]CaseCE530!$A$2:$A$8761,MATCH(MAX([19]CaseCE530!$Q$2:$Q$8761),[19]CaseCE530!$Q$2:$Q$8761,0)),2,5)</f>
        <v>03/16</v>
      </c>
      <c r="Y79" s="760" t="str">
        <f>MID(INDEX([19]CaseCE530!$A$2:$A$8761,MATCH(MAX([19]CaseCE530!$Q$2:$Q$8761),[19]CaseCE530!$Q$2:$Q$8761,0)),9,5)</f>
        <v>10:00</v>
      </c>
      <c r="Z79" s="750">
        <f>MAX([19]CaseCE530!$M$2:$M$8761)/3600</f>
        <v>19656.140169213584</v>
      </c>
      <c r="AA79" s="752" t="str">
        <f>MID(INDEX([19]CaseCE530!$A$2:$A$8761,MATCH(MAX([19]CaseCE530!$M$2:$M$8761),[19]CaseCE530!$M$2:$M$8761,0)),2,5)</f>
        <v>07/20</v>
      </c>
      <c r="AB79" s="768" t="str">
        <f>MID(INDEX([19]CaseCE530!$A$2:$A$8761,MATCH(MAX([19]CaseCE530!$M$2:$M$8761),[19]CaseCE530!$M$2:$M$8761,0)),9,5)</f>
        <v>15:00</v>
      </c>
      <c r="AC79" s="292"/>
      <c r="AD79" s="292"/>
      <c r="AE79" s="292"/>
      <c r="AF79" s="292"/>
      <c r="AG79" s="292"/>
      <c r="AH79" s="292"/>
    </row>
    <row r="80" spans="1:34" ht="15.75">
      <c r="A80" s="44" t="s">
        <v>602</v>
      </c>
      <c r="B80" s="750">
        <f t="shared" si="0"/>
        <v>17993.961739492486</v>
      </c>
      <c r="C80" s="751">
        <f>SUM([19]CaseCE530!$R$2:$R$8761)/1000</f>
        <v>15872.24834290891</v>
      </c>
      <c r="D80" s="752" t="s">
        <v>458</v>
      </c>
      <c r="E80" s="753">
        <f>SUM([19]CaseCE530!$V$2:$V$8761)/1000</f>
        <v>2121.7133965835774</v>
      </c>
      <c r="F80" s="750">
        <f>SUM([19]CaseCE530!$M$2:$M$8761)/3600/1000</f>
        <v>46988.552083493028</v>
      </c>
      <c r="G80" s="751">
        <f>SUM([19]CaseCE530!$O$2:$O$8761)/3600/1000</f>
        <v>46988.310253457523</v>
      </c>
      <c r="H80" s="753">
        <f>SUM([19]CaseCE530!$Q$2:$Q$8761)/3600/1000</f>
        <v>0.24183003551432733</v>
      </c>
      <c r="I80" s="754">
        <f t="shared" si="2"/>
        <v>2.9604219306766106</v>
      </c>
      <c r="J80" s="755">
        <f>AVERAGE([19]CaseCE530!$I$2:$I$8761)</f>
        <v>20.595094826643443</v>
      </c>
      <c r="K80" s="756">
        <f>AVERAGE([19]CaseCE530!$J$2:$J$8761)</f>
        <v>6.4847631667446564E-3</v>
      </c>
      <c r="L80" s="757">
        <f>AVERAGE([19]CaseCE530!$K$2:$K$8761)</f>
        <v>47.53150585721562</v>
      </c>
      <c r="M80" s="766"/>
      <c r="N80" s="767"/>
      <c r="O80" s="60"/>
      <c r="P80" s="44" t="s">
        <v>603</v>
      </c>
      <c r="Q80" s="750">
        <f>MAX('[14]COP2 Calcs'!CL5:CL8764)</f>
        <v>9076.4427814605297</v>
      </c>
      <c r="R80" s="752" t="str">
        <f>MID(INDEX('[14]COP2 Calcs'!$A$5:$A$8764,MATCH(Q80,'[14]COP2 Calcs'!$CL$5:$CL$8764,0)),2,5)</f>
        <v>07/20</v>
      </c>
      <c r="S80" s="760" t="str">
        <f>MID(INDEX('[14]COP2 Calcs'!$A$5:$A$8764,MATCH(Q80,'[14]COP2 Calcs'!$CL$5:$CL$8764,0)),9,5)</f>
        <v>15:00</v>
      </c>
      <c r="T80" s="750">
        <f>MAX([20]CaseCE540!$O$2:$O$8761)/3600</f>
        <v>19812.465045646444</v>
      </c>
      <c r="U80" s="752" t="str">
        <f>MID(INDEX([20]CaseCE540!$A$2:$A$8761,MATCH(MAX([20]CaseCE540!$O$2:$O$8761),[20]CaseCE540!$O$2:$O$8761,0)),2,5)</f>
        <v>07/20</v>
      </c>
      <c r="V80" s="760" t="str">
        <f>MID(INDEX([20]CaseCE540!$A$2:$A$8761,MATCH(MAX([20]CaseCE540!$O$2:$O$8761),[20]CaseCE540!$O$2:$O$8761,0)),9,5)</f>
        <v>15:00</v>
      </c>
      <c r="W80" s="750">
        <f>MAX([20]CaseCE540!$Q$2:$Q$8761)/3600</f>
        <v>1636.3589513277166</v>
      </c>
      <c r="X80" s="752" t="str">
        <f>MID(INDEX([20]CaseCE540!$A$2:$A$8761,MATCH(MAX([20]CaseCE540!$Q$2:$Q$8761),[20]CaseCE540!$Q$2:$Q$8761,0)),2,5)</f>
        <v>03/11</v>
      </c>
      <c r="Y80" s="760" t="str">
        <f>MID(INDEX([20]CaseCE540!$A$2:$A$8761,MATCH(MAX([20]CaseCE540!$Q$2:$Q$8761),[20]CaseCE540!$Q$2:$Q$8761,0)),9,5)</f>
        <v>10:00</v>
      </c>
      <c r="Z80" s="750">
        <f>MAX([20]CaseCE540!$M$2:$M$8761)/3600</f>
        <v>19812.465045646444</v>
      </c>
      <c r="AA80" s="752" t="str">
        <f>MID(INDEX([20]CaseCE540!$A$2:$A$8761,MATCH(MAX([20]CaseCE540!$M$2:$M$8761),[20]CaseCE540!$M$2:$M$8761,0)),2,5)</f>
        <v>07/20</v>
      </c>
      <c r="AB80" s="768" t="str">
        <f>MID(INDEX([20]CaseCE540!$A$2:$A$8761,MATCH(MAX([20]CaseCE540!$M$2:$M$8761),[20]CaseCE540!$M$2:$M$8761,0)),9,5)</f>
        <v>15:00</v>
      </c>
      <c r="AC80" s="292"/>
      <c r="AD80" s="292"/>
      <c r="AE80" s="292"/>
      <c r="AF80" s="292"/>
      <c r="AG80" s="292"/>
      <c r="AH80" s="292"/>
    </row>
    <row r="81" spans="1:41" ht="15.75">
      <c r="A81" s="44" t="s">
        <v>603</v>
      </c>
      <c r="B81" s="750">
        <f t="shared" si="0"/>
        <v>20122.73410516217</v>
      </c>
      <c r="C81" s="751">
        <f>SUM([20]CaseCE540!$R$2:$R$8761)/1000</f>
        <v>17628.943313476735</v>
      </c>
      <c r="D81" s="752" t="s">
        <v>458</v>
      </c>
      <c r="E81" s="753">
        <f>SUM([20]CaseCE540!$V$2:$V$8761)/1000</f>
        <v>2493.7907916854338</v>
      </c>
      <c r="F81" s="750">
        <f>SUM([20]CaseCE540!$M$2:$M$8761)/3600/1000</f>
        <v>47482.085498379194</v>
      </c>
      <c r="G81" s="751">
        <f>SUM([20]CaseCE540!$O$2:$O$8761)/3600/1000</f>
        <v>47473.21834090534</v>
      </c>
      <c r="H81" s="753">
        <f>SUM([20]CaseCE540!$Q$2:$Q$8761)/3600/1000</f>
        <v>8.8671574738760111</v>
      </c>
      <c r="I81" s="754">
        <f t="shared" si="2"/>
        <v>2.6934164262744402</v>
      </c>
      <c r="J81" s="755">
        <f>AVERAGE([20]CaseCE540!$I$2:$I$8761)</f>
        <v>13.801722213423506</v>
      </c>
      <c r="K81" s="756">
        <f>AVERAGE([20]CaseCE540!$J$2:$J$8761)</f>
        <v>4.3402179002156359E-3</v>
      </c>
      <c r="L81" s="757">
        <f>AVERAGE([20]CaseCE540!$K$2:$K$8761)</f>
        <v>46.176930892597952</v>
      </c>
      <c r="M81" s="766"/>
      <c r="N81" s="767"/>
      <c r="O81" s="60"/>
      <c r="P81" s="45" t="s">
        <v>604</v>
      </c>
      <c r="Q81" s="769">
        <f>MAX('[14]COP2 Calcs'!CR5:CR8764)</f>
        <v>7767.9889719023276</v>
      </c>
      <c r="R81" s="778" t="str">
        <f>MID(INDEX('[14]COP2 Calcs'!$A$5:$A$8764,MATCH(Q81,'[14]COP2 Calcs'!$CR$5:$CR$8764,0)),2,5)</f>
        <v>07/20</v>
      </c>
      <c r="S81" s="777" t="str">
        <f>MID(INDEX('[14]COP2 Calcs'!$A$5:$A$8764,MATCH(Q81,'[14]COP2 Calcs'!$CR$5:$CR$8764,0)),9,5)</f>
        <v>15:00</v>
      </c>
      <c r="T81" s="769">
        <f>MAX([21]CaseCE545!$O$2:$O$8761)/3600</f>
        <v>19538.760936243307</v>
      </c>
      <c r="U81" s="771" t="str">
        <f>MID(INDEX([21]CaseCE545!$A$2:$A$8761,MATCH(MAX([21]CaseCE545!$O$2:$O$8761),[21]CaseCE545!$O$2:$O$8761,0)),2,5)</f>
        <v>07/20</v>
      </c>
      <c r="V81" s="776" t="str">
        <f>MID(INDEX([21]CaseCE545!$A$2:$A$8761,MATCH(MAX([21]CaseCE545!$O$2:$O$8761),[21]CaseCE545!$O$2:$O$8761,0)),9,5)</f>
        <v>15:00</v>
      </c>
      <c r="W81" s="769">
        <f>MAX([21]CaseCE545!$Q$2:$Q$8761)/3600</f>
        <v>8.2784228854709169E-12</v>
      </c>
      <c r="X81" s="771" t="str">
        <f>MID(INDEX([21]CaseCE545!$A$2:$A$8761,MATCH(MAX([21]CaseCE545!$Q$2:$Q$8761),[21]CaseCE545!$Q$2:$Q$8761,0)),2,5)</f>
        <v>05/29</v>
      </c>
      <c r="Y81" s="776" t="str">
        <f>MID(INDEX([21]CaseCE545!$A$2:$A$8761,MATCH(MAX([21]CaseCE545!$Q$2:$Q$8761),[21]CaseCE545!$Q$2:$Q$8761,0)),9,5)</f>
        <v>13:00</v>
      </c>
      <c r="Z81" s="769">
        <f>MAX([21]CaseCE545!$M$2:$M$8761)/3600</f>
        <v>19538.760936243307</v>
      </c>
      <c r="AA81" s="771" t="str">
        <f>MID(INDEX([21]CaseCE545!$A$2:$A$8761,MATCH(MAX([21]CaseCE545!$M$2:$M$8761),[21]CaseCE545!$M$2:$M$8761,0)),2,5)</f>
        <v>07/20</v>
      </c>
      <c r="AB81" s="777" t="str">
        <f>MID(INDEX([21]CaseCE545!$A$2:$A$8761,MATCH(MAX([21]CaseCE545!$M$2:$M$8761),[21]CaseCE545!$M$2:$M$8761,0)),9,5)</f>
        <v>15:00</v>
      </c>
      <c r="AC81" s="292"/>
      <c r="AD81" s="292"/>
      <c r="AE81" s="292"/>
      <c r="AF81" s="292"/>
      <c r="AG81" s="292"/>
      <c r="AH81" s="292"/>
    </row>
    <row r="82" spans="1:41" ht="15.75">
      <c r="A82" s="45" t="s">
        <v>604</v>
      </c>
      <c r="B82" s="769">
        <f t="shared" si="0"/>
        <v>16608.601068330921</v>
      </c>
      <c r="C82" s="770">
        <f>SUM([21]CaseCE545!$R$2:$R$8761)/1000</f>
        <v>14743.417637196568</v>
      </c>
      <c r="D82" s="771" t="s">
        <v>458</v>
      </c>
      <c r="E82" s="770">
        <f>SUM([21]CaseCE545!$V$2:$V$8761)/1000</f>
        <v>1865.1834311343553</v>
      </c>
      <c r="F82" s="769">
        <f>SUM([21]CaseCE545!$M$2:$M$8761)/3600/1000</f>
        <v>46635.695062279076</v>
      </c>
      <c r="G82" s="770">
        <f>SUM([21]CaseCE545!$O$2:$O$8761)/3600/1000</f>
        <v>46635.695062279068</v>
      </c>
      <c r="H82" s="770">
        <f>SUM([21]CaseCE545!$Q$2:$Q$8761)/3600/1000</f>
        <v>3.5427769439087969E-12</v>
      </c>
      <c r="I82" s="772">
        <f t="shared" si="2"/>
        <v>3.1631536330233647</v>
      </c>
      <c r="J82" s="773">
        <f>AVERAGE([21]CaseCE545!$I$2:$I$8761)</f>
        <v>27.321947471860025</v>
      </c>
      <c r="K82" s="774">
        <f>AVERAGE([21]CaseCE545!$J$2:$J$8761)</f>
        <v>6.7479414957845674E-3</v>
      </c>
      <c r="L82" s="775">
        <f>AVERAGE([21]CaseCE545!$K$2:$K$8761)</f>
        <v>38.630048217717501</v>
      </c>
      <c r="M82" s="766"/>
      <c r="N82" s="779"/>
      <c r="O82" s="97"/>
    </row>
    <row r="84" spans="1:41">
      <c r="A84" s="41"/>
      <c r="B84" s="41"/>
      <c r="C84" s="42"/>
      <c r="D84" s="42"/>
      <c r="E84" s="42" t="s">
        <v>612</v>
      </c>
      <c r="F84" s="42"/>
      <c r="G84" s="42"/>
      <c r="H84" s="42"/>
      <c r="I84" s="42"/>
      <c r="J84" s="42"/>
      <c r="K84" s="42"/>
      <c r="L84" s="43"/>
      <c r="P84" s="41"/>
      <c r="Q84" s="741" t="s">
        <v>613</v>
      </c>
      <c r="R84" s="742"/>
      <c r="S84" s="742"/>
      <c r="T84" s="742"/>
      <c r="U84" s="742"/>
      <c r="V84" s="742"/>
      <c r="W84" s="742"/>
      <c r="X84" s="742"/>
      <c r="Y84" s="742"/>
      <c r="Z84" s="742"/>
      <c r="AA84" s="742"/>
      <c r="AB84" s="743"/>
      <c r="AC84" s="741" t="s">
        <v>613</v>
      </c>
      <c r="AD84" s="742"/>
      <c r="AE84" s="742"/>
      <c r="AF84" s="742"/>
      <c r="AG84" s="742"/>
      <c r="AH84" s="742"/>
      <c r="AI84" s="742"/>
      <c r="AJ84" s="742"/>
      <c r="AK84" s="742"/>
      <c r="AL84" s="742"/>
      <c r="AM84" s="742"/>
      <c r="AN84" s="743"/>
      <c r="AO84" s="641"/>
    </row>
    <row r="85" spans="1:41">
      <c r="A85" s="44"/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7"/>
      <c r="P85" s="44"/>
      <c r="Q85" s="45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7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7"/>
      <c r="AO85" s="88"/>
    </row>
    <row r="86" spans="1:41">
      <c r="A86" s="44"/>
      <c r="B86" s="44" t="s">
        <v>143</v>
      </c>
      <c r="C86" s="120"/>
      <c r="D86" s="41" t="s">
        <v>369</v>
      </c>
      <c r="E86" s="120"/>
      <c r="G86" s="51" t="s">
        <v>361</v>
      </c>
      <c r="H86" s="88"/>
      <c r="K86" s="43"/>
      <c r="L86" s="259" t="s">
        <v>370</v>
      </c>
      <c r="P86" s="44"/>
      <c r="Q86" s="44"/>
      <c r="S86" t="s">
        <v>145</v>
      </c>
      <c r="W86" s="44"/>
      <c r="X86" t="s">
        <v>146</v>
      </c>
      <c r="AC86" s="44"/>
      <c r="AD86" t="s">
        <v>147</v>
      </c>
      <c r="AI86" s="44"/>
      <c r="AJ86" t="s">
        <v>148</v>
      </c>
      <c r="AN86" s="48"/>
      <c r="AO86" s="88"/>
    </row>
    <row r="87" spans="1:41">
      <c r="A87" s="44" t="s">
        <v>78</v>
      </c>
      <c r="B87" s="51" t="s">
        <v>5</v>
      </c>
      <c r="C87" s="49" t="s">
        <v>84</v>
      </c>
      <c r="D87" s="51" t="s">
        <v>4</v>
      </c>
      <c r="E87" s="252" t="s">
        <v>6</v>
      </c>
      <c r="F87" s="49" t="s">
        <v>7</v>
      </c>
      <c r="G87" s="51" t="s">
        <v>371</v>
      </c>
      <c r="H87" s="89" t="s">
        <v>150</v>
      </c>
      <c r="I87" s="90" t="s">
        <v>151</v>
      </c>
      <c r="J87" s="90" t="s">
        <v>152</v>
      </c>
      <c r="K87" s="91" t="s">
        <v>153</v>
      </c>
      <c r="L87" s="91" t="s">
        <v>371</v>
      </c>
      <c r="P87" s="44" t="s">
        <v>3</v>
      </c>
      <c r="Q87" s="44"/>
      <c r="R87" t="s">
        <v>154</v>
      </c>
      <c r="T87" s="44"/>
      <c r="U87" t="s">
        <v>155</v>
      </c>
      <c r="W87" s="44"/>
      <c r="X87" t="s">
        <v>154</v>
      </c>
      <c r="Z87" s="44"/>
      <c r="AA87" t="s">
        <v>400</v>
      </c>
      <c r="AC87" s="44"/>
      <c r="AD87" t="s">
        <v>154</v>
      </c>
      <c r="AF87" s="44"/>
      <c r="AG87" t="s">
        <v>400</v>
      </c>
      <c r="AI87" s="44"/>
      <c r="AJ87" t="s">
        <v>401</v>
      </c>
      <c r="AL87" s="44"/>
      <c r="AM87" t="s">
        <v>400</v>
      </c>
      <c r="AN87" s="48"/>
      <c r="AO87" s="88" t="s">
        <v>3</v>
      </c>
    </row>
    <row r="88" spans="1:41">
      <c r="A88" s="45"/>
      <c r="B88" s="52" t="s">
        <v>156</v>
      </c>
      <c r="C88" s="53" t="s">
        <v>156</v>
      </c>
      <c r="D88" s="52" t="s">
        <v>156</v>
      </c>
      <c r="E88" s="53" t="s">
        <v>156</v>
      </c>
      <c r="F88" s="53" t="s">
        <v>156</v>
      </c>
      <c r="G88" s="52" t="s">
        <v>157</v>
      </c>
      <c r="H88" s="92"/>
      <c r="I88" s="53" t="s">
        <v>11</v>
      </c>
      <c r="J88" s="53" t="s">
        <v>11</v>
      </c>
      <c r="K88" s="54" t="s">
        <v>11</v>
      </c>
      <c r="L88" s="260" t="s">
        <v>22</v>
      </c>
      <c r="P88" s="45"/>
      <c r="Q88" s="52" t="s">
        <v>86</v>
      </c>
      <c r="R88" s="53" t="s">
        <v>77</v>
      </c>
      <c r="S88" s="53" t="s">
        <v>78</v>
      </c>
      <c r="T88" s="52" t="s">
        <v>86</v>
      </c>
      <c r="U88" s="53" t="s">
        <v>77</v>
      </c>
      <c r="V88" s="53" t="s">
        <v>78</v>
      </c>
      <c r="W88" s="52" t="s">
        <v>29</v>
      </c>
      <c r="X88" s="53" t="s">
        <v>77</v>
      </c>
      <c r="Y88" s="53" t="s">
        <v>78</v>
      </c>
      <c r="Z88" s="52" t="s">
        <v>29</v>
      </c>
      <c r="AA88" s="53" t="s">
        <v>77</v>
      </c>
      <c r="AB88" s="53" t="s">
        <v>78</v>
      </c>
      <c r="AC88" s="52" t="s">
        <v>30</v>
      </c>
      <c r="AD88" s="53" t="s">
        <v>77</v>
      </c>
      <c r="AE88" s="53" t="s">
        <v>78</v>
      </c>
      <c r="AF88" s="52" t="s">
        <v>30</v>
      </c>
      <c r="AG88" s="53" t="s">
        <v>77</v>
      </c>
      <c r="AH88" s="53" t="s">
        <v>78</v>
      </c>
      <c r="AI88" s="52" t="s">
        <v>158</v>
      </c>
      <c r="AJ88" s="53" t="s">
        <v>77</v>
      </c>
      <c r="AK88" s="53" t="s">
        <v>78</v>
      </c>
      <c r="AL88" s="52" t="s">
        <v>158</v>
      </c>
      <c r="AM88" s="53" t="s">
        <v>77</v>
      </c>
      <c r="AN88" s="54" t="s">
        <v>78</v>
      </c>
      <c r="AO88" s="92"/>
    </row>
    <row r="89" spans="1:41" ht="15.75">
      <c r="A89" s="44" t="s">
        <v>159</v>
      </c>
      <c r="B89" s="750">
        <f>[1]CaseCE300!$R4274</f>
        <v>2153.3475438412001</v>
      </c>
      <c r="C89" s="780" t="s">
        <v>458</v>
      </c>
      <c r="D89" s="750">
        <f>[1]CaseCE300!$M4274/3600</f>
        <v>7602.8745045605829</v>
      </c>
      <c r="E89" s="751">
        <f>[1]CaseCE300!$O4274/3600</f>
        <v>5807.8572775113616</v>
      </c>
      <c r="F89" s="753">
        <f>[1]CaseCE300!$Q4274/3600</f>
        <v>1795.0172270492249</v>
      </c>
      <c r="G89" s="781">
        <f>[1]CaseCE300!$J4274</f>
        <v>9.25680878373163E-3</v>
      </c>
      <c r="H89" s="782">
        <f>D89/B89</f>
        <v>3.5307233736168606</v>
      </c>
      <c r="I89" s="322">
        <f>[1]CaseCE300!$B4274</f>
        <v>17.987500000000001</v>
      </c>
      <c r="J89" s="322">
        <f>[1]CaseCE300!$AB4274</f>
        <v>23.945048605625502</v>
      </c>
      <c r="K89" s="288"/>
      <c r="L89" s="783">
        <f>[1]CaseCE300!$C4274</f>
        <v>1.1201933285177801E-2</v>
      </c>
      <c r="P89" s="44" t="s">
        <v>584</v>
      </c>
      <c r="Q89" s="754">
        <f>MAX('[14]COP2 Calcs'!D5:D8764)</f>
        <v>3.9231737320058229</v>
      </c>
      <c r="R89" s="752" t="str">
        <f>MID(INDEX('[14]COP2 Calcs'!$A$5:$A$8764,MATCH(Q89,'[14]COP2 Calcs'!$D$5:$D$8764,0)),2,5)</f>
        <v>04/30</v>
      </c>
      <c r="S89" s="760" t="str">
        <f>MID(INDEX('[14]COP2 Calcs'!$A$5:$A$8764,MATCH(Q89,'[14]COP2 Calcs'!$D$5:$D$8764,0)),9,5)</f>
        <v>15:00</v>
      </c>
      <c r="T89" s="754">
        <f>MIN('[14]COP2 Calcs'!D5:D8764)</f>
        <v>2.7743951632197765</v>
      </c>
      <c r="U89" s="752" t="str">
        <f>MID(INDEX('[14]COP2 Calcs'!$A$5:$A$8764,MATCH(T89,'[14]COP2 Calcs'!$D$5:$D$8764,0)),2,5)</f>
        <v>06/13</v>
      </c>
      <c r="V89" s="760" t="str">
        <f>MID(INDEX('[14]COP2 Calcs'!$A$5:$A$8764,MATCH(T89,'[14]COP2 Calcs'!$D$5:$D$8764,0)),9,5)</f>
        <v>17:00</v>
      </c>
      <c r="W89" s="784">
        <f>MAX([1]CaseCE300!$I$2:$I$8761)</f>
        <v>25.003273115435601</v>
      </c>
      <c r="X89" s="752" t="str">
        <f>MID(INDEX([1]CaseCE300!$A$2:$A$8761,MATCH(W89,[1]CaseCE300!$I$2:$I$8761,0)),2,5)</f>
        <v>09/23</v>
      </c>
      <c r="Y89" s="760" t="str">
        <f>MID(INDEX([1]CaseCE300!$A$2:$A$8761,MATCH(W89,[1]CaseCE300!$I$2:$I$8761,0)),9,5)</f>
        <v>08:00</v>
      </c>
      <c r="Z89" s="784">
        <f>MIN([1]CaseCE300!$I$2:$I$8761)</f>
        <v>8.7262833957235895</v>
      </c>
      <c r="AA89" s="752" t="str">
        <f>MID(INDEX([1]CaseCE300!$A$2:$A$8761,MATCH(Z89,[1]CaseCE300!$I$2:$I$8761,0)),2,5)</f>
        <v>01/06</v>
      </c>
      <c r="AB89" s="760" t="str">
        <f>MID(INDEX([1]CaseCE300!$A$2:$A$8761,MATCH(Z89,[1]CaseCE300!$I$2:$I$8761,0)),9,5)</f>
        <v>06:00</v>
      </c>
      <c r="AC89" s="781">
        <f>MAX([1]CaseCE300!$J$2:$J$8761)</f>
        <v>1.3520493309229401E-2</v>
      </c>
      <c r="AD89" s="752" t="str">
        <f>MID(INDEX([1]CaseCE300!$A$2:$A$8761,MATCH(AC89,[1]CaseCE300!$J$2:$J$8761,0)),2,5)</f>
        <v>11/16</v>
      </c>
      <c r="AE89" s="760" t="str">
        <f>MID(INDEX([1]CaseCE300!$A$2:$A$8761,MATCH(AC89,[1]CaseCE300!$J$2:$J$8761,0)),9,5)</f>
        <v>17:00</v>
      </c>
      <c r="AF89" s="781">
        <f>MIN([1]CaseCE300!$J$2:$J$8761)</f>
        <v>1.9292157767827299E-3</v>
      </c>
      <c r="AG89" s="752" t="str">
        <f>MID(INDEX([1]CaseCE300!$A$2:$A$8761,MATCH(AF89,[1]CaseCE300!$J$2:$J$8761,0)),2,5)</f>
        <v>01/11</v>
      </c>
      <c r="AH89" s="760" t="str">
        <f>MID(INDEX([1]CaseCE300!$A$2:$A$8761,MATCH(AF89,[1]CaseCE300!$J$2:$J$8761,0)),9,5)</f>
        <v>03:00</v>
      </c>
      <c r="AI89" s="784">
        <f>MAX([1]CaseCE300!$K$2:$K$8761)</f>
        <v>67.776165484930999</v>
      </c>
      <c r="AJ89" s="752" t="str">
        <f>MID(INDEX([1]CaseCE300!$A$2:$A$8761,MATCH(AI89,[1]CaseCE300!$K$2:$K$8761,0)),2,5)</f>
        <v>11/16</v>
      </c>
      <c r="AK89" s="760" t="str">
        <f>MID(INDEX([1]CaseCE300!$A$2:$A$8761,MATCH(AI89,[1]CaseCE300!$K$2:$K$8761,0)),9,5)</f>
        <v>17:00</v>
      </c>
      <c r="AL89" s="784">
        <f>MIN([1]CaseCE300!$K$2:$K$8761)</f>
        <v>14.387833084585999</v>
      </c>
      <c r="AM89" s="752" t="str">
        <f>MID(INDEX([1]CaseCE300!$A$2:$A$8761,MATCH(AL89,[1]CaseCE300!$K$2:$K$8761,0)),2,5)</f>
        <v>11/06</v>
      </c>
      <c r="AN89" s="761" t="str">
        <f>MID(INDEX([1]CaseCE300!$A$2:$A$8761,MATCH(AL89,[1]CaseCE300!$K$2:$K$8761,0)),9,5)</f>
        <v>06:00</v>
      </c>
      <c r="AO89" s="88" t="s">
        <v>584</v>
      </c>
    </row>
    <row r="90" spans="1:41" ht="15.75">
      <c r="A90" s="44" t="s">
        <v>166</v>
      </c>
      <c r="B90" s="750">
        <f>[1]CaseCE300!$R4275</f>
        <v>2166.99328596236</v>
      </c>
      <c r="C90" s="780" t="s">
        <v>458</v>
      </c>
      <c r="D90" s="750">
        <f>[1]CaseCE300!$M4275/3600</f>
        <v>7628.0998544260829</v>
      </c>
      <c r="E90" s="751">
        <f>[1]CaseCE300!$O4275/3600</f>
        <v>5850.1562392488058</v>
      </c>
      <c r="F90" s="753">
        <f>[1]CaseCE300!$Q4275/3600</f>
        <v>1777.9436151772693</v>
      </c>
      <c r="G90" s="781">
        <f>[1]CaseCE300!$J4275</f>
        <v>9.2200831041787494E-3</v>
      </c>
      <c r="H90" s="782">
        <f t="shared" ref="H90:H112" si="3">D90/B90</f>
        <v>3.5201308208199871</v>
      </c>
      <c r="I90" s="322">
        <f>[1]CaseCE300!$B4275</f>
        <v>18.112500000000001</v>
      </c>
      <c r="J90" s="322">
        <f>[1]CaseCE300!$AB4275</f>
        <v>23.963593094166001</v>
      </c>
      <c r="K90" s="302"/>
      <c r="L90" s="783">
        <f>[1]CaseCE300!$C4275</f>
        <v>1.12962217520776E-2</v>
      </c>
      <c r="P90" s="44" t="s">
        <v>585</v>
      </c>
      <c r="Q90" s="754">
        <f>MAX('[14]COP2 Calcs'!H5:H8764)</f>
        <v>4.195435399687848</v>
      </c>
      <c r="R90" s="752" t="str">
        <f>MID(INDEX('[14]COP2 Calcs'!$A$5:$A$8764,MATCH(Q90,'[14]COP2 Calcs'!$H$5:$H$8764,0)),2,5)</f>
        <v>04/30</v>
      </c>
      <c r="S90" s="760" t="str">
        <f>MID(INDEX('[14]COP2 Calcs'!$A$5:$A$8764,MATCH(Q90,'[14]COP2 Calcs'!$H$5:$H$8764,0)),9,5)</f>
        <v>15:00</v>
      </c>
      <c r="T90" s="754">
        <f>MIN('[14]COP2 Calcs'!H5:H8764)</f>
        <v>2.8671282955036634</v>
      </c>
      <c r="U90" s="752" t="str">
        <f>MID(INDEX('[14]COP2 Calcs'!$A$5:$A$8764,MATCH(T90,'[14]COP2 Calcs'!$H$5:$H$8764,0)),2,5)</f>
        <v>12/01</v>
      </c>
      <c r="V90" s="760" t="str">
        <f>MID(INDEX('[14]COP2 Calcs'!$A$5:$A$8764,MATCH(T90,'[14]COP2 Calcs'!$H$5:$H$8764,0)),9,5)</f>
        <v>15:00</v>
      </c>
      <c r="W90" s="784">
        <f>MAX([2]CaseCE310!$I$2:$I$8761)</f>
        <v>26.5567001865351</v>
      </c>
      <c r="X90" s="752" t="str">
        <f>MID(INDEX([2]CaseCE310!$A$2:$A$8761,MATCH(W90,[2]CaseCE310!$I$2:$I$8761,0)),2,5)</f>
        <v>07/20</v>
      </c>
      <c r="Y90" s="760" t="str">
        <f>MID(INDEX([2]CaseCE310!$A$2:$A$8761,MATCH(W90,[2]CaseCE310!$I$2:$I$8761,0)),9,5)</f>
        <v>16:00</v>
      </c>
      <c r="Z90" s="784">
        <f>MIN([2]CaseCE310!$I$2:$I$8761)</f>
        <v>8.7262065186768094</v>
      </c>
      <c r="AA90" s="752" t="str">
        <f>MID(INDEX([2]CaseCE310!$A$2:$A$8761,MATCH(Z90,[2]CaseCE310!$I$2:$I$8761,0)),2,5)</f>
        <v>01/06</v>
      </c>
      <c r="AB90" s="760" t="str">
        <f>MID(INDEX([2]CaseCE310!$A$2:$A$8761,MATCH(Z90,[2]CaseCE310!$I$2:$I$8761,0)),9,5)</f>
        <v>06:00</v>
      </c>
      <c r="AC90" s="781">
        <f>MAX([2]CaseCE310!$J$2:$J$8761)</f>
        <v>1.5501679513224099E-2</v>
      </c>
      <c r="AD90" s="752" t="str">
        <f>MID(INDEX([2]CaseCE310!$A$2:$A$8761,MATCH(AC90,[2]CaseCE310!$J$2:$J$8761,0)),2,5)</f>
        <v>10/01</v>
      </c>
      <c r="AE90" s="760" t="str">
        <f>MID(INDEX([2]CaseCE310!$A$2:$A$8761,MATCH(AC90,[2]CaseCE310!$J$2:$J$8761,0)),9,5)</f>
        <v>08:00</v>
      </c>
      <c r="AF90" s="781">
        <f>MIN([2]CaseCE310!$J$2:$J$8761)</f>
        <v>1.94348508990299E-3</v>
      </c>
      <c r="AG90" s="752" t="str">
        <f>MID(INDEX([2]CaseCE310!$A$2:$A$8761,MATCH(AF90,[2]CaseCE310!$J$2:$J$8761,0)),2,5)</f>
        <v>01/05</v>
      </c>
      <c r="AH90" s="760" t="str">
        <f>MID(INDEX([2]CaseCE310!$A$2:$A$8761,MATCH(AF90,[2]CaseCE310!$J$2:$J$8761,0)),9,5)</f>
        <v>07:00</v>
      </c>
      <c r="AI90" s="784">
        <f>MAX([2]CaseCE310!$K$2:$K$8761)</f>
        <v>77.925478398181497</v>
      </c>
      <c r="AJ90" s="752" t="str">
        <f>MID(INDEX([2]CaseCE310!$A$2:$A$8761,MATCH(AI90,[2]CaseCE310!$K$2:$K$8761,0)),2,5)</f>
        <v>10/02</v>
      </c>
      <c r="AK90" s="760" t="str">
        <f>MID(INDEX([2]CaseCE310!$A$2:$A$8761,MATCH(AI90,[2]CaseCE310!$K$2:$K$8761,0)),9,5)</f>
        <v>08:00</v>
      </c>
      <c r="AL90" s="784">
        <f>MIN([2]CaseCE310!$K$2:$K$8761)</f>
        <v>15.4710269468499</v>
      </c>
      <c r="AM90" s="752" t="str">
        <f>MID(INDEX([2]CaseCE310!$A$2:$A$8761,MATCH(AL90,[2]CaseCE310!$K$2:$K$8761,0)),2,5)</f>
        <v>11/06</v>
      </c>
      <c r="AN90" s="785" t="str">
        <f>MID(INDEX([2]CaseCE310!$A$2:$A$8761,MATCH(AL90,[2]CaseCE310!$K$2:$K$8761,0)),9,5)</f>
        <v>08:00</v>
      </c>
      <c r="AO90" s="88" t="s">
        <v>585</v>
      </c>
    </row>
    <row r="91" spans="1:41" ht="15.75">
      <c r="A91" s="44" t="s">
        <v>169</v>
      </c>
      <c r="B91" s="750">
        <f>[1]CaseCE300!$R4276</f>
        <v>2147.8736165535802</v>
      </c>
      <c r="C91" s="780" t="s">
        <v>458</v>
      </c>
      <c r="D91" s="750">
        <f>[1]CaseCE300!$M4276/3600</f>
        <v>7579.462365873861</v>
      </c>
      <c r="E91" s="751">
        <f>[1]CaseCE300!$O4276/3600</f>
        <v>5806.3856762322775</v>
      </c>
      <c r="F91" s="753">
        <f>[1]CaseCE300!$Q4276/3600</f>
        <v>1773.0766896415832</v>
      </c>
      <c r="G91" s="781">
        <f>[1]CaseCE300!$J4276</f>
        <v>9.2266597894061601E-3</v>
      </c>
      <c r="H91" s="782">
        <f t="shared" si="3"/>
        <v>3.5288213922175089</v>
      </c>
      <c r="I91" s="322">
        <f>[1]CaseCE300!$B4276</f>
        <v>17.987500000000001</v>
      </c>
      <c r="J91" s="322">
        <f>[1]CaseCE300!$AB4276</f>
        <v>23.945070840907501</v>
      </c>
      <c r="K91" s="302"/>
      <c r="L91" s="783">
        <f>[1]CaseCE300!$C4276</f>
        <v>1.11991806940512E-2</v>
      </c>
      <c r="P91" s="44" t="s">
        <v>586</v>
      </c>
      <c r="Q91" s="754">
        <f>MAX('[14]COP2 Calcs'!L5:L8764)</f>
        <v>3.9647699712209121</v>
      </c>
      <c r="R91" s="752" t="str">
        <f>MID(INDEX('[14]COP2 Calcs'!$A$5:$A$8764,MATCH(Q91,'[14]COP2 Calcs'!$L$5:$L$8764,0)),2,5)</f>
        <v>09/16</v>
      </c>
      <c r="S91" s="760" t="str">
        <f>MID(INDEX('[14]COP2 Calcs'!$A$5:$A$8764,MATCH(Q91,'[14]COP2 Calcs'!$L$5:$L$8764,0)),9,5)</f>
        <v>15:00</v>
      </c>
      <c r="T91" s="754">
        <f>MIN('[14]COP2 Calcs'!L5:L8764)</f>
        <v>2.8230840440178455</v>
      </c>
      <c r="U91" s="752" t="str">
        <f>MID(INDEX('[14]COP2 Calcs'!$A$5:$A$8764,MATCH(T91,'[14]COP2 Calcs'!$L$5:$L$8764,0)),2,5)</f>
        <v>03/31</v>
      </c>
      <c r="V91" s="760" t="str">
        <f>MID(INDEX('[14]COP2 Calcs'!$A$5:$A$8764,MATCH(T91,'[14]COP2 Calcs'!$L$5:$L$8764,0)),9,5)</f>
        <v>15:00</v>
      </c>
      <c r="W91" s="784">
        <f>MAX([3]CaseCE320!$I$2:$I$8761)</f>
        <v>31.843961653966101</v>
      </c>
      <c r="X91" s="752" t="str">
        <f>MID(INDEX([3]CaseCE320!$A$2:$A$8761,MATCH(W91,[3]CaseCE320!$I$2:$I$8761,0)),2,5)</f>
        <v>07/20</v>
      </c>
      <c r="Y91" s="760" t="str">
        <f>MID(INDEX([3]CaseCE320!$A$2:$A$8761,MATCH(W91,[3]CaseCE320!$I$2:$I$8761,0)),9,5)</f>
        <v>15:00</v>
      </c>
      <c r="Z91" s="784">
        <f>MIN([3]CaseCE320!$I$2:$I$8761)</f>
        <v>7.7562262531981503</v>
      </c>
      <c r="AA91" s="752" t="str">
        <f>MID(INDEX([3]CaseCE320!$A$2:$A$8761,MATCH(Z91,[3]CaseCE320!$I$2:$I$8761,0)),2,5)</f>
        <v>01/06</v>
      </c>
      <c r="AB91" s="760" t="str">
        <f>MID(INDEX([3]CaseCE320!$A$2:$A$8761,MATCH(Z91,[3]CaseCE320!$I$2:$I$8761,0)),9,5)</f>
        <v>06:00</v>
      </c>
      <c r="AC91" s="781">
        <f>MAX([3]CaseCE320!$J$2:$J$8761)</f>
        <v>1.7702793120556701E-2</v>
      </c>
      <c r="AD91" s="752" t="str">
        <f>MID(INDEX([3]CaseCE320!$A$2:$A$8761,MATCH(AC91,[3]CaseCE320!$J$2:$J$8761,0)),2,5)</f>
        <v>10/01</v>
      </c>
      <c r="AE91" s="760" t="str">
        <f>MID(INDEX([3]CaseCE320!$A$2:$A$8761,MATCH(AC91,[3]CaseCE320!$J$2:$J$8761,0)),9,5)</f>
        <v>11:00</v>
      </c>
      <c r="AF91" s="781">
        <f>MIN([3]CaseCE320!$J$2:$J$8761)</f>
        <v>1.9350936123160301E-3</v>
      </c>
      <c r="AG91" s="752" t="str">
        <f>MID(INDEX([3]CaseCE320!$A$2:$A$8761,MATCH(AF91,[3]CaseCE320!$J$2:$J$8761,0)),2,5)</f>
        <v>01/11</v>
      </c>
      <c r="AH91" s="760" t="str">
        <f>MID(INDEX([3]CaseCE320!$A$2:$A$8761,MATCH(AF91,[3]CaseCE320!$J$2:$J$8761,0)),9,5)</f>
        <v>03:00</v>
      </c>
      <c r="AI91" s="784">
        <f>MAX([3]CaseCE320!$K$2:$K$8761)</f>
        <v>82.714930820301504</v>
      </c>
      <c r="AJ91" s="752" t="str">
        <f>MID(INDEX([3]CaseCE320!$A$2:$A$8761,MATCH(AI91,[3]CaseCE320!$K$2:$K$8761,0)),2,5)</f>
        <v>09/18</v>
      </c>
      <c r="AK91" s="760" t="str">
        <f>MID(INDEX([3]CaseCE320!$A$2:$A$8761,MATCH(AI91,[3]CaseCE320!$K$2:$K$8761,0)),9,5)</f>
        <v>10:00</v>
      </c>
      <c r="AL91" s="784">
        <f>MIN([3]CaseCE320!$K$2:$K$8761)</f>
        <v>14.7974211025104</v>
      </c>
      <c r="AM91" s="752" t="str">
        <f>MID(INDEX([3]CaseCE320!$A$2:$A$8761,MATCH(AL91,[3]CaseCE320!$K$2:$K$8761,0)),2,5)</f>
        <v>11/06</v>
      </c>
      <c r="AN91" s="785" t="str">
        <f>MID(INDEX([3]CaseCE320!$A$2:$A$8761,MATCH(AL91,[3]CaseCE320!$K$2:$K$8761,0)),9,5)</f>
        <v>06:00</v>
      </c>
      <c r="AO91" s="88" t="s">
        <v>586</v>
      </c>
    </row>
    <row r="92" spans="1:41" ht="15.75">
      <c r="A92" s="44" t="s">
        <v>171</v>
      </c>
      <c r="B92" s="750">
        <f>[1]CaseCE300!$R4277</f>
        <v>2109.75753045689</v>
      </c>
      <c r="C92" s="780" t="s">
        <v>458</v>
      </c>
      <c r="D92" s="750">
        <f>[1]CaseCE300!$M4277/3600</f>
        <v>7463.8070679280836</v>
      </c>
      <c r="E92" s="751">
        <f>[1]CaseCE300!$O4277/3600</f>
        <v>5740.6566413451947</v>
      </c>
      <c r="F92" s="753">
        <f>[1]CaseCE300!$Q4277/3600</f>
        <v>1723.1504265828889</v>
      </c>
      <c r="G92" s="781">
        <f>[1]CaseCE300!$J4277</f>
        <v>9.16990585233542E-3</v>
      </c>
      <c r="H92" s="782">
        <f t="shared" si="3"/>
        <v>3.5377558606517776</v>
      </c>
      <c r="I92" s="322">
        <f>[1]CaseCE300!$B4277</f>
        <v>17.8</v>
      </c>
      <c r="J92" s="322">
        <f>[1]CaseCE300!$AB4277</f>
        <v>23.9168847690941</v>
      </c>
      <c r="K92" s="302"/>
      <c r="L92" s="783">
        <f>[1]CaseCE300!$C4277</f>
        <v>1.1060818557718E-2</v>
      </c>
      <c r="P92" s="44" t="s">
        <v>587</v>
      </c>
      <c r="Q92" s="754">
        <f>MAX('[14]COP2 Calcs'!P5:P8764)</f>
        <v>4.0961621106407797</v>
      </c>
      <c r="R92" s="752" t="str">
        <f>MID(INDEX('[14]COP2 Calcs'!$A$5:$A$8764,MATCH(Q92,'[14]COP2 Calcs'!$P$5:$P$8764,0)),2,5)</f>
        <v>09/16</v>
      </c>
      <c r="S92" s="760" t="str">
        <f>MID(INDEX('[14]COP2 Calcs'!$A$5:$A$8764,MATCH(Q92,'[14]COP2 Calcs'!$P$5:$P$8764,0)),9,5)</f>
        <v>14:00</v>
      </c>
      <c r="T92" s="754">
        <f>MIN('[14]COP2 Calcs'!P5:P8764)</f>
        <v>2.8285558394781116</v>
      </c>
      <c r="U92" s="752" t="str">
        <f>MID(INDEX('[14]COP2 Calcs'!$A$5:$A$8764,MATCH(T92,'[14]COP2 Calcs'!$P$5:$P$8764,0)),2,5)</f>
        <v>03/31</v>
      </c>
      <c r="V92" s="760" t="str">
        <f>MID(INDEX('[14]COP2 Calcs'!$A$5:$A$8764,MATCH(T92,'[14]COP2 Calcs'!$P$5:$P$8764,0)),9,5)</f>
        <v>15:00</v>
      </c>
      <c r="W92" s="784">
        <f>MAX([4]CaseCE330!$I$2:$I$8761)</f>
        <v>31.496252897193301</v>
      </c>
      <c r="X92" s="752" t="str">
        <f>MID(INDEX([4]CaseCE330!$A$2:$A$8761,MATCH(W92,[4]CaseCE330!$I$2:$I$8761,0)),2,5)</f>
        <v>07/20</v>
      </c>
      <c r="Y92" s="760" t="str">
        <f>MID(INDEX([4]CaseCE330!$A$2:$A$8761,MATCH(W92,[4]CaseCE330!$I$2:$I$8761,0)),9,5)</f>
        <v>15:00</v>
      </c>
      <c r="Z92" s="784">
        <f>MIN([4]CaseCE330!$I$2:$I$8761)</f>
        <v>8.7247196659979505</v>
      </c>
      <c r="AA92" s="752" t="str">
        <f>MID(INDEX([4]CaseCE330!$A$2:$A$8761,MATCH(Z92,[4]CaseCE330!$I$2:$I$8761,0)),2,5)</f>
        <v>01/06</v>
      </c>
      <c r="AB92" s="760" t="str">
        <f>MID(INDEX([4]CaseCE330!$A$2:$A$8761,MATCH(Z92,[4]CaseCE330!$I$2:$I$8761,0)),9,5)</f>
        <v>06:00</v>
      </c>
      <c r="AC92" s="781">
        <f>MAX([4]CaseCE330!$J$2:$J$8761)</f>
        <v>1.7823450757128899E-2</v>
      </c>
      <c r="AD92" s="752" t="str">
        <f>MID(INDEX([4]CaseCE330!$A$2:$A$8761,MATCH(AC92,[4]CaseCE330!$J$2:$J$8761,0)),2,5)</f>
        <v>07/10</v>
      </c>
      <c r="AE92" s="760" t="str">
        <f>MID(INDEX([4]CaseCE330!$A$2:$A$8761,MATCH(AC92,[4]CaseCE330!$J$2:$J$8761,0)),9,5)</f>
        <v>12:00</v>
      </c>
      <c r="AF92" s="781">
        <f>MIN([4]CaseCE330!$J$2:$J$8761)</f>
        <v>1.92919867778698E-3</v>
      </c>
      <c r="AG92" s="752" t="str">
        <f>MID(INDEX([4]CaseCE330!$A$2:$A$8761,MATCH(AF92,[4]CaseCE330!$J$2:$J$8761,0)),2,5)</f>
        <v>01/11</v>
      </c>
      <c r="AH92" s="760" t="str">
        <f>MID(INDEX([4]CaseCE330!$A$2:$A$8761,MATCH(AF92,[4]CaseCE330!$J$2:$J$8761,0)),9,5)</f>
        <v>03:00</v>
      </c>
      <c r="AI92" s="784">
        <f>MAX([4]CaseCE330!$K$2:$K$8761)</f>
        <v>76.638631048181793</v>
      </c>
      <c r="AJ92" s="752" t="str">
        <f>MID(INDEX([4]CaseCE330!$A$2:$A$8761,MATCH(AI92,[4]CaseCE330!$K$2:$K$8761,0)),2,5)</f>
        <v>09/22</v>
      </c>
      <c r="AK92" s="760" t="str">
        <f>MID(INDEX([4]CaseCE330!$A$2:$A$8761,MATCH(AI92,[4]CaseCE330!$K$2:$K$8761,0)),9,5)</f>
        <v>20:00</v>
      </c>
      <c r="AL92" s="784">
        <f>MIN([4]CaseCE330!$K$2:$K$8761)</f>
        <v>14.3879483171511</v>
      </c>
      <c r="AM92" s="752" t="str">
        <f>MID(INDEX([4]CaseCE330!$A$2:$A$8761,MATCH(AL92,[4]CaseCE330!$K$2:$K$8761,0)),2,5)</f>
        <v>11/06</v>
      </c>
      <c r="AN92" s="785" t="str">
        <f>MID(INDEX([4]CaseCE330!$A$2:$A$8761,MATCH(AL92,[4]CaseCE330!$K$2:$K$8761,0)),9,5)</f>
        <v>06:00</v>
      </c>
      <c r="AO92" s="88" t="s">
        <v>587</v>
      </c>
    </row>
    <row r="93" spans="1:41" ht="15.75">
      <c r="A93" s="44" t="s">
        <v>173</v>
      </c>
      <c r="B93" s="750">
        <f>[1]CaseCE300!$R4278</f>
        <v>2031.5835898856201</v>
      </c>
      <c r="C93" s="780" t="s">
        <v>458</v>
      </c>
      <c r="D93" s="750">
        <f>[1]CaseCE300!$M4278/3600</f>
        <v>7218.8770168482779</v>
      </c>
      <c r="E93" s="751">
        <f>[1]CaseCE300!$O4278/3600</f>
        <v>5611.5023954924445</v>
      </c>
      <c r="F93" s="753">
        <f>[1]CaseCE300!$Q4278/3600</f>
        <v>1607.3746213558306</v>
      </c>
      <c r="G93" s="781">
        <f>[1]CaseCE300!$J4278</f>
        <v>9.0480182019803106E-3</v>
      </c>
      <c r="H93" s="782">
        <f t="shared" si="3"/>
        <v>3.5533251266588084</v>
      </c>
      <c r="I93" s="322">
        <f>[1]CaseCE300!$B4278</f>
        <v>17.425000000000001</v>
      </c>
      <c r="J93" s="322">
        <f>[1]CaseCE300!$AB4278</f>
        <v>23.861237332159501</v>
      </c>
      <c r="K93" s="302"/>
      <c r="L93" s="783">
        <f>[1]CaseCE300!$C4278</f>
        <v>1.04842823483673E-2</v>
      </c>
      <c r="P93" s="44" t="s">
        <v>588</v>
      </c>
      <c r="Q93" s="754">
        <f>MAX('[14]COP2 Calcs'!T5:T8764)</f>
        <v>4.0146960787866481</v>
      </c>
      <c r="R93" s="752" t="str">
        <f>MID(INDEX('[14]COP2 Calcs'!$A$5:$A$8764,MATCH(Q93,'[14]COP2 Calcs'!$T$5:$T$8764,0)),2,5)</f>
        <v>09/16</v>
      </c>
      <c r="S93" s="760" t="str">
        <f>MID(INDEX('[14]COP2 Calcs'!$A$5:$A$8764,MATCH(Q93,'[14]COP2 Calcs'!$T$5:$T$8764,0)),9,5)</f>
        <v>15:00</v>
      </c>
      <c r="T93" s="754">
        <f>MIN('[14]COP2 Calcs'!T5:T8764)</f>
        <v>2.8285558394781116</v>
      </c>
      <c r="U93" s="752" t="str">
        <f>MID(INDEX('[14]COP2 Calcs'!$A$5:$A$8764,MATCH(T93,'[14]COP2 Calcs'!$T$5:$T$8764,0)),2,5)</f>
        <v>03/31</v>
      </c>
      <c r="V93" s="760" t="str">
        <f>MID(INDEX('[14]COP2 Calcs'!$A$5:$A$8764,MATCH(T93,'[14]COP2 Calcs'!$T$5:$T$8764,0)),9,5)</f>
        <v>15:00</v>
      </c>
      <c r="W93" s="784">
        <f>MAX([5]CaseCE340!$I$2:$I$8761)</f>
        <v>31.745142194222701</v>
      </c>
      <c r="X93" s="752" t="str">
        <f>MID(INDEX([5]CaseCE340!$A$2:$A$8761,MATCH(W93,[5]CaseCE340!$I$2:$I$8761,0)),2,5)</f>
        <v>07/20</v>
      </c>
      <c r="Y93" s="760" t="str">
        <f>MID(INDEX([5]CaseCE340!$A$2:$A$8761,MATCH(W93,[5]CaseCE340!$I$2:$I$8761,0)),9,5)</f>
        <v>15:00</v>
      </c>
      <c r="Z93" s="784">
        <f>MIN([5]CaseCE340!$I$2:$I$8761)</f>
        <v>8.7247196659979505</v>
      </c>
      <c r="AA93" s="752" t="str">
        <f>MID(INDEX([5]CaseCE340!$A$2:$A$8761,MATCH(Z93,[5]CaseCE340!$I$2:$I$8761,0)),2,5)</f>
        <v>01/06</v>
      </c>
      <c r="AB93" s="760" t="str">
        <f>MID(INDEX([5]CaseCE340!$A$2:$A$8761,MATCH(Z93,[5]CaseCE340!$I$2:$I$8761,0)),9,5)</f>
        <v>06:00</v>
      </c>
      <c r="AC93" s="781">
        <f>MAX([5]CaseCE340!$J$2:$J$8761)</f>
        <v>1.77073946781496E-2</v>
      </c>
      <c r="AD93" s="752" t="str">
        <f>MID(INDEX([5]CaseCE340!$A$2:$A$8761,MATCH(AC93,[5]CaseCE340!$J$2:$J$8761,0)),2,5)</f>
        <v>07/10</v>
      </c>
      <c r="AE93" s="760" t="str">
        <f>MID(INDEX([5]CaseCE340!$A$2:$A$8761,MATCH(AC93,[5]CaseCE340!$J$2:$J$8761,0)),9,5)</f>
        <v>12:00</v>
      </c>
      <c r="AF93" s="781">
        <f>MIN([5]CaseCE340!$J$2:$J$8761)</f>
        <v>1.92919867778698E-3</v>
      </c>
      <c r="AG93" s="752" t="str">
        <f>MID(INDEX([5]CaseCE340!$A$2:$A$8761,MATCH(AF93,[5]CaseCE340!$J$2:$J$8761,0)),2,5)</f>
        <v>01/11</v>
      </c>
      <c r="AH93" s="760" t="str">
        <f>MID(INDEX([5]CaseCE340!$A$2:$A$8761,MATCH(AF93,[5]CaseCE340!$J$2:$J$8761,0)),9,5)</f>
        <v>03:00</v>
      </c>
      <c r="AI93" s="784">
        <f>MAX([5]CaseCE340!$K$2:$K$8761)</f>
        <v>80.545245540903295</v>
      </c>
      <c r="AJ93" s="752" t="str">
        <f>MID(INDEX([5]CaseCE340!$A$2:$A$8761,MATCH(AI93,[5]CaseCE340!$K$2:$K$8761,0)),2,5)</f>
        <v>09/18</v>
      </c>
      <c r="AK93" s="760" t="str">
        <f>MID(INDEX([5]CaseCE340!$A$2:$A$8761,MATCH(AI93,[5]CaseCE340!$K$2:$K$8761,0)),9,5)</f>
        <v>10:00</v>
      </c>
      <c r="AL93" s="784">
        <f>MIN([5]CaseCE340!$K$2:$K$8761)</f>
        <v>14.3879483171511</v>
      </c>
      <c r="AM93" s="752" t="str">
        <f>MID(INDEX([5]CaseCE340!$A$2:$A$8761,MATCH(AL93,[5]CaseCE340!$K$2:$K$8761,0)),2,5)</f>
        <v>11/06</v>
      </c>
      <c r="AN93" s="785" t="str">
        <f>MID(INDEX([5]CaseCE340!$A$2:$A$8761,MATCH(AL93,[5]CaseCE340!$K$2:$K$8761,0)),9,5)</f>
        <v>06:00</v>
      </c>
      <c r="AO93" s="88" t="s">
        <v>588</v>
      </c>
    </row>
    <row r="94" spans="1:41" ht="15.75">
      <c r="A94" s="44" t="s">
        <v>174</v>
      </c>
      <c r="B94" s="750">
        <f>[1]CaseCE300!$R4279</f>
        <v>2181.6445776105602</v>
      </c>
      <c r="C94" s="780" t="s">
        <v>458</v>
      </c>
      <c r="D94" s="750">
        <f>[1]CaseCE300!$M4279/3600</f>
        <v>7563.2200937246662</v>
      </c>
      <c r="E94" s="751">
        <f>[1]CaseCE300!$O4279/3600</f>
        <v>6012.3324781198617</v>
      </c>
      <c r="F94" s="753">
        <f>[1]CaseCE300!$Q4279/3600</f>
        <v>1550.8876156048027</v>
      </c>
      <c r="G94" s="781">
        <f>[1]CaseCE300!$J4279</f>
        <v>8.9017555358971694E-3</v>
      </c>
      <c r="H94" s="782">
        <f t="shared" si="3"/>
        <v>3.4667517208546688</v>
      </c>
      <c r="I94" s="322">
        <f>[1]CaseCE300!$B4279</f>
        <v>18.574999999999999</v>
      </c>
      <c r="J94" s="322">
        <f>[1]CaseCE300!$AB4279</f>
        <v>24.033478329596701</v>
      </c>
      <c r="K94" s="302"/>
      <c r="L94" s="783">
        <f>[1]CaseCE300!$C4279</f>
        <v>1.06478586232074E-2</v>
      </c>
      <c r="P94" s="44" t="s">
        <v>589</v>
      </c>
      <c r="Q94" s="754">
        <f>MAX('[14]COP2 Calcs'!X5:X8764)</f>
        <v>4.3453326669500596</v>
      </c>
      <c r="R94" s="752" t="str">
        <f>MID(INDEX('[14]COP2 Calcs'!$A$5:$A$8764,MATCH(Q94,'[14]COP2 Calcs'!$X$5:$X$8764,0)),2,5)</f>
        <v>10/13</v>
      </c>
      <c r="S94" s="760" t="str">
        <f>MID(INDEX('[14]COP2 Calcs'!$A$5:$A$8764,MATCH(Q94,'[14]COP2 Calcs'!$X$5:$X$8764,0)),9,5)</f>
        <v>01:00</v>
      </c>
      <c r="T94" s="754">
        <f>MIN('[14]COP2 Calcs'!X5:X8764)</f>
        <v>2.7743950798290444</v>
      </c>
      <c r="U94" s="752" t="str">
        <f>MID(INDEX('[14]COP2 Calcs'!$A$5:$A$8764,MATCH(T94,'[14]COP2 Calcs'!$X$5:$X$8764,0)),2,5)</f>
        <v>06/13</v>
      </c>
      <c r="V94" s="760" t="str">
        <f>MID(INDEX('[14]COP2 Calcs'!$A$5:$A$8764,MATCH(T94,'[14]COP2 Calcs'!$X$5:$X$8764,0)),9,5)</f>
        <v>17:00</v>
      </c>
      <c r="W94" s="784">
        <f>MAX([6]CaseCE350!$I$2:$I$8761)</f>
        <v>35.002090205560897</v>
      </c>
      <c r="X94" s="752" t="str">
        <f>MID(INDEX([6]CaseCE350!$A$2:$A$8761,MATCH(W94,[6]CaseCE350!$I$2:$I$8761,0)),2,5)</f>
        <v>10/01</v>
      </c>
      <c r="Y94" s="760" t="str">
        <f>MID(INDEX([6]CaseCE350!$A$2:$A$8761,MATCH(W94,[6]CaseCE350!$I$2:$I$8761,0)),9,5)</f>
        <v>02:00</v>
      </c>
      <c r="Z94" s="784">
        <f>MIN([6]CaseCE350!$I$2:$I$8761)</f>
        <v>8.7262833957235895</v>
      </c>
      <c r="AA94" s="752" t="str">
        <f>MID(INDEX([6]CaseCE350!$A$2:$A$8761,MATCH(Z94,[6]CaseCE350!$I$2:$I$8761,0)),2,5)</f>
        <v>01/06</v>
      </c>
      <c r="AB94" s="760" t="str">
        <f>MID(INDEX([6]CaseCE350!$A$2:$A$8761,MATCH(Z94,[6]CaseCE350!$I$2:$I$8761,0)),9,5)</f>
        <v>06:00</v>
      </c>
      <c r="AC94" s="781">
        <f>MAX([6]CaseCE350!$J$2:$J$8761)</f>
        <v>1.6944945323193399E-2</v>
      </c>
      <c r="AD94" s="752" t="str">
        <f>MID(INDEX([6]CaseCE350!$A$2:$A$8761,MATCH(AC94,[6]CaseCE350!$J$2:$J$8761,0)),2,5)</f>
        <v>10/02</v>
      </c>
      <c r="AE94" s="760" t="str">
        <f>MID(INDEX([6]CaseCE350!$A$2:$A$8761,MATCH(AC94,[6]CaseCE350!$J$2:$J$8761,0)),9,5)</f>
        <v>01:00</v>
      </c>
      <c r="AF94" s="781">
        <f>MIN([6]CaseCE350!$J$2:$J$8761)</f>
        <v>1.9292157767827299E-3</v>
      </c>
      <c r="AG94" s="752" t="str">
        <f>MID(INDEX([6]CaseCE350!$A$2:$A$8761,MATCH(AF94,[6]CaseCE350!$J$2:$J$8761,0)),2,5)</f>
        <v>01/11</v>
      </c>
      <c r="AH94" s="760" t="str">
        <f>MID(INDEX([6]CaseCE350!$A$2:$A$8761,MATCH(AF94,[6]CaseCE350!$J$2:$J$8761,0)),9,5)</f>
        <v>03:00</v>
      </c>
      <c r="AI94" s="784">
        <f>MAX([6]CaseCE350!$K$2:$K$8761)</f>
        <v>67.7761654849309</v>
      </c>
      <c r="AJ94" s="752" t="str">
        <f>MID(INDEX([6]CaseCE350!$A$2:$A$8761,MATCH(AI94,[6]CaseCE350!$K$2:$K$8761,0)),2,5)</f>
        <v>11/16</v>
      </c>
      <c r="AK94" s="760" t="str">
        <f>MID(INDEX([6]CaseCE350!$A$2:$A$8761,MATCH(AI94,[6]CaseCE350!$K$2:$K$8761,0)),9,5)</f>
        <v>17:00</v>
      </c>
      <c r="AL94" s="784">
        <f>MIN([6]CaseCE350!$K$2:$K$8761)</f>
        <v>14.387833084585999</v>
      </c>
      <c r="AM94" s="752" t="str">
        <f>MID(INDEX([6]CaseCE350!$A$2:$A$8761,MATCH(AL94,[6]CaseCE350!$K$2:$K$8761,0)),2,5)</f>
        <v>11/06</v>
      </c>
      <c r="AN94" s="785" t="str">
        <f>MID(INDEX([6]CaseCE350!$A$2:$A$8761,MATCH(AL94,[6]CaseCE350!$K$2:$K$8761,0)),9,5)</f>
        <v>06:00</v>
      </c>
      <c r="AO94" s="88" t="s">
        <v>589</v>
      </c>
    </row>
    <row r="95" spans="1:41" ht="15.75">
      <c r="A95" s="44" t="s">
        <v>176</v>
      </c>
      <c r="B95" s="750">
        <f>[1]CaseCE300!$R4280</f>
        <v>2926.8471636776399</v>
      </c>
      <c r="C95" s="780" t="s">
        <v>458</v>
      </c>
      <c r="D95" s="750">
        <f>[1]CaseCE300!$M4280/3600</f>
        <v>9393.0409789234436</v>
      </c>
      <c r="E95" s="751">
        <f>[1]CaseCE300!$O4280/3600</f>
        <v>7528.0124975351391</v>
      </c>
      <c r="F95" s="753">
        <f>[1]CaseCE300!$Q4280/3600</f>
        <v>1865.0284813883054</v>
      </c>
      <c r="G95" s="781">
        <f>[1]CaseCE300!$J4280</f>
        <v>9.1705903668304004E-3</v>
      </c>
      <c r="H95" s="782">
        <f t="shared" si="3"/>
        <v>3.2092693788359301</v>
      </c>
      <c r="I95" s="322">
        <f>[1]CaseCE300!$B4280</f>
        <v>22.9</v>
      </c>
      <c r="J95" s="322">
        <f>[1]CaseCE300!$AB4280</f>
        <v>24.684089817099601</v>
      </c>
      <c r="K95" s="302"/>
      <c r="L95" s="783">
        <f>[1]CaseCE300!$C4280</f>
        <v>1.2287852269615001E-2</v>
      </c>
      <c r="P95" s="45" t="s">
        <v>590</v>
      </c>
      <c r="Q95" s="772">
        <f>MAX('[14]COP2 Calcs'!AB5:AB8764)</f>
        <v>4.4307544621454715</v>
      </c>
      <c r="R95" s="771" t="str">
        <f>MID(INDEX('[14]COP2 Calcs'!$A$5:$A$8764,MATCH(Q95,'[14]COP2 Calcs'!$AB$5:$AB$8764,0)),2,5)</f>
        <v>10/04</v>
      </c>
      <c r="S95" s="776" t="str">
        <f>MID(INDEX('[14]COP2 Calcs'!$A$5:$A$8764,MATCH(Q95,'[14]COP2 Calcs'!$AB$5:$AB$8764,0)),9,5)</f>
        <v>24:00</v>
      </c>
      <c r="T95" s="772">
        <f>MIN('[14]COP2 Calcs'!AB5:AB8764)</f>
        <v>2.8285581563625271</v>
      </c>
      <c r="U95" s="771" t="str">
        <f>MID(INDEX('[14]COP2 Calcs'!$A$5:$A$8764,MATCH(T95,'[14]COP2 Calcs'!$AB$5:$AB$8764,0)),2,5)</f>
        <v>03/31</v>
      </c>
      <c r="V95" s="776" t="str">
        <f>MID(INDEX('[14]COP2 Calcs'!$A$5:$A$8764,MATCH(T95,'[14]COP2 Calcs'!$AB$5:$AB$8764,0)),9,5)</f>
        <v>15:00</v>
      </c>
      <c r="W95" s="786">
        <f>MAX([7]CaseCE360!$I$2:$I$8761)</f>
        <v>32.819769755938196</v>
      </c>
      <c r="X95" s="771" t="str">
        <f>MID(INDEX([7]CaseCE360!$A$2:$A$8761,MATCH(W95,[7]CaseCE360!$I$2:$I$8761,0)),2,5)</f>
        <v>07/10</v>
      </c>
      <c r="Y95" s="776" t="str">
        <f>MID(INDEX([7]CaseCE360!$A$2:$A$8761,MATCH(W95,[7]CaseCE360!$I$2:$I$8761,0)),9,5)</f>
        <v>13:00</v>
      </c>
      <c r="Z95" s="786">
        <f>MIN([7]CaseCE360!$I$2:$I$8761)</f>
        <v>8.7264633127036095</v>
      </c>
      <c r="AA95" s="771" t="str">
        <f>MID(INDEX([7]CaseCE360!$A$2:$A$8761,MATCH(Z95,[7]CaseCE360!$I$2:$I$8761,0)),2,5)</f>
        <v>01/06</v>
      </c>
      <c r="AB95" s="776" t="str">
        <f>MID(INDEX([7]CaseCE360!$A$2:$A$8761,MATCH(Z95,[7]CaseCE360!$I$2:$I$8761,0)),9,5)</f>
        <v>06:00</v>
      </c>
      <c r="AC95" s="787">
        <f>MAX([7]CaseCE360!$J$2:$J$8761)</f>
        <v>1.35204580758931E-2</v>
      </c>
      <c r="AD95" s="771" t="str">
        <f>MID(INDEX([7]CaseCE360!$A$2:$A$8761,MATCH(AC95,[7]CaseCE360!$J$2:$J$8761,0)),2,5)</f>
        <v>11/16</v>
      </c>
      <c r="AE95" s="776" t="str">
        <f>MID(INDEX([7]CaseCE360!$A$2:$A$8761,MATCH(AC95,[7]CaseCE360!$J$2:$J$8761,0)),9,5)</f>
        <v>17:00</v>
      </c>
      <c r="AF95" s="787">
        <f>MIN([7]CaseCE360!$J$2:$J$8761)</f>
        <v>1.9292157545680701E-3</v>
      </c>
      <c r="AG95" s="771" t="str">
        <f>MID(INDEX([7]CaseCE360!$A$2:$A$8761,MATCH(AF95,[7]CaseCE360!$J$2:$J$8761,0)),2,5)</f>
        <v>01/11</v>
      </c>
      <c r="AH95" s="776" t="str">
        <f>MID(INDEX([7]CaseCE360!$A$2:$A$8761,MATCH(AF95,[7]CaseCE360!$J$2:$J$8761,0)),9,5)</f>
        <v>03:00</v>
      </c>
      <c r="AI95" s="786">
        <f>MAX([7]CaseCE360!$K$2:$K$8761)</f>
        <v>67.775992622175806</v>
      </c>
      <c r="AJ95" s="771" t="str">
        <f>MID(INDEX([7]CaseCE360!$A$2:$A$8761,MATCH(AI95,[7]CaseCE360!$K$2:$K$8761,0)),2,5)</f>
        <v>11/16</v>
      </c>
      <c r="AK95" s="776" t="str">
        <f>MID(INDEX([7]CaseCE360!$A$2:$A$8761,MATCH(AI95,[7]CaseCE360!$K$2:$K$8761,0)),9,5)</f>
        <v>17:00</v>
      </c>
      <c r="AL95" s="786">
        <f>MIN([7]CaseCE360!$K$2:$K$8761)</f>
        <v>14.387776106684401</v>
      </c>
      <c r="AM95" s="771" t="str">
        <f>MID(INDEX([7]CaseCE360!$A$2:$A$8761,MATCH(AL95,[7]CaseCE360!$K$2:$K$8761,0)),2,5)</f>
        <v>11/06</v>
      </c>
      <c r="AN95" s="788" t="str">
        <f>MID(INDEX([7]CaseCE360!$A$2:$A$8761,MATCH(AL95,[7]CaseCE360!$K$2:$K$8761,0)),9,5)</f>
        <v>06:00</v>
      </c>
      <c r="AO95" s="92" t="s">
        <v>590</v>
      </c>
    </row>
    <row r="96" spans="1:41" ht="15.75">
      <c r="A96" s="44" t="s">
        <v>178</v>
      </c>
      <c r="B96" s="750">
        <f>[1]CaseCE300!$R4281</f>
        <v>3571.6614414431001</v>
      </c>
      <c r="C96" s="780" t="s">
        <v>458</v>
      </c>
      <c r="D96" s="750">
        <f>[1]CaseCE300!$M4281/3600</f>
        <v>10820.496240816723</v>
      </c>
      <c r="E96" s="751">
        <f>[1]CaseCE300!$O4281/3600</f>
        <v>8751.3077372596945</v>
      </c>
      <c r="F96" s="753">
        <f>[1]CaseCE300!$Q4281/3600</f>
        <v>2069.1885035570167</v>
      </c>
      <c r="G96" s="781">
        <f>[1]CaseCE300!$J4281</f>
        <v>9.4817813913382603E-3</v>
      </c>
      <c r="H96" s="782">
        <f t="shared" si="3"/>
        <v>3.0295414104100504</v>
      </c>
      <c r="I96" s="322">
        <f>[1]CaseCE300!$B4281</f>
        <v>26.375</v>
      </c>
      <c r="J96" s="322">
        <f>[1]CaseCE300!$AB4281</f>
        <v>25.207966218252299</v>
      </c>
      <c r="K96" s="302"/>
      <c r="L96" s="783">
        <f>[1]CaseCE300!$C4281</f>
        <v>1.18487772332079E-2</v>
      </c>
      <c r="P96" s="44" t="s">
        <v>591</v>
      </c>
      <c r="Q96" s="754">
        <f>MAX('[14]COP2 Calcs'!AF5:AF8764)</f>
        <v>4.0961436736490233</v>
      </c>
      <c r="R96" s="752" t="str">
        <f>MID(INDEX('[14]COP2 Calcs'!$A$5:$A$8764,MATCH(Q96,'[14]COP2 Calcs'!$AF$5:$AF$8764,0)),2,5)</f>
        <v>09/16</v>
      </c>
      <c r="S96" s="760" t="str">
        <f>MID(INDEX('[14]COP2 Calcs'!$A$5:$A$8764,MATCH(Q96,'[14]COP2 Calcs'!$AF$5:$AF$8764,0)),9,5)</f>
        <v>14:00</v>
      </c>
      <c r="T96" s="754">
        <f>MIN('[14]COP2 Calcs'!AF5:AF8764)</f>
        <v>2.7743947395698538</v>
      </c>
      <c r="U96" s="752" t="str">
        <f>MID(INDEX('[14]COP2 Calcs'!$A$5:$A$8764,MATCH(T96,'[14]COP2 Calcs'!$AF$5:$AF$8764,0)),2,5)</f>
        <v>06/13</v>
      </c>
      <c r="V96" s="760" t="str">
        <f>MID(INDEX('[14]COP2 Calcs'!$A$5:$A$8764,MATCH(T96,'[14]COP2 Calcs'!$AF$5:$AF$8764,0)),9,5)</f>
        <v>17:00</v>
      </c>
      <c r="W96" s="784">
        <f>MAX([8]CaseCE400!$I$2:$I$8761)</f>
        <v>26.903217435662299</v>
      </c>
      <c r="X96" s="752" t="str">
        <f>MID(INDEX([8]CaseCE400!$A$2:$A$8761,MATCH(W96,[8]CaseCE400!$I$2:$I$8761,0)),2,5)</f>
        <v>09/16</v>
      </c>
      <c r="Y96" s="760" t="str">
        <f>MID(INDEX([8]CaseCE400!$A$2:$A$8761,MATCH(W96,[8]CaseCE400!$I$2:$I$8761,0)),9,5)</f>
        <v>16:00</v>
      </c>
      <c r="Z96" s="784">
        <f>MIN([8]CaseCE400!$I$2:$I$8761)</f>
        <v>8.7262833957235593</v>
      </c>
      <c r="AA96" s="752" t="str">
        <f>MID(INDEX([8]CaseCE400!$A$2:$A$8761,MATCH(Z96,[8]CaseCE400!$I$2:$I$8761,0)),2,5)</f>
        <v>01/06</v>
      </c>
      <c r="AB96" s="760" t="str">
        <f>MID(INDEX([8]CaseCE400!$A$2:$A$8761,MATCH(Z96,[8]CaseCE400!$I$2:$I$8761,0)),9,5)</f>
        <v>06:00</v>
      </c>
      <c r="AC96" s="781">
        <f>MAX([8]CaseCE400!$J$2:$J$8761)</f>
        <v>1.6893284106592101E-2</v>
      </c>
      <c r="AD96" s="752" t="str">
        <f>MID(INDEX([8]CaseCE400!$A$2:$A$8761,MATCH(AC96,[8]CaseCE400!$J$2:$J$8761,0)),2,5)</f>
        <v>04/05</v>
      </c>
      <c r="AE96" s="760" t="str">
        <f>MID(INDEX([8]CaseCE400!$A$2:$A$8761,MATCH(AC96,[8]CaseCE400!$J$2:$J$8761,0)),9,5)</f>
        <v>22:00</v>
      </c>
      <c r="AF96" s="781">
        <f>MIN([8]CaseCE400!$J$2:$J$8761)</f>
        <v>1.9292157798758199E-3</v>
      </c>
      <c r="AG96" s="752" t="str">
        <f>MID(INDEX([8]CaseCE400!$A$2:$A$8761,MATCH(AF96,[8]CaseCE400!$J$2:$J$8761,0)),2,5)</f>
        <v>01/11</v>
      </c>
      <c r="AH96" s="760" t="str">
        <f>MID(INDEX([8]CaseCE400!$A$2:$A$8761,MATCH(AF96,[8]CaseCE400!$J$2:$J$8761,0)),9,5)</f>
        <v>03:00</v>
      </c>
      <c r="AI96" s="784">
        <f>MAX([8]CaseCE400!$K$2:$K$8761)</f>
        <v>84.632127983594401</v>
      </c>
      <c r="AJ96" s="752" t="str">
        <f>MID(INDEX([8]CaseCE400!$A$2:$A$8761,MATCH(AI96,[8]CaseCE400!$K$2:$K$8761,0)),2,5)</f>
        <v>04/05</v>
      </c>
      <c r="AK96" s="760" t="str">
        <f>MID(INDEX([8]CaseCE400!$A$2:$A$8761,MATCH(AI96,[8]CaseCE400!$K$2:$K$8761,0)),9,5)</f>
        <v>22:00</v>
      </c>
      <c r="AL96" s="784">
        <f>MIN([8]CaseCE400!$K$2:$K$8761)</f>
        <v>13.925488142731099</v>
      </c>
      <c r="AM96" s="752" t="str">
        <f>MID(INDEX([8]CaseCE400!$A$2:$A$8761,MATCH(AL96,[8]CaseCE400!$K$2:$K$8761,0)),2,5)</f>
        <v>11/06</v>
      </c>
      <c r="AN96" s="785" t="str">
        <f>MID(INDEX([8]CaseCE400!$A$2:$A$8761,MATCH(AL96,[8]CaseCE400!$K$2:$K$8761,0)),9,5)</f>
        <v>06:00</v>
      </c>
      <c r="AO96" s="88" t="s">
        <v>591</v>
      </c>
    </row>
    <row r="97" spans="1:41" ht="15.75">
      <c r="A97" s="44" t="s">
        <v>180</v>
      </c>
      <c r="B97" s="750">
        <f>[1]CaseCE300!$R4282</f>
        <v>4771.5974997405201</v>
      </c>
      <c r="C97" s="780" t="s">
        <v>458</v>
      </c>
      <c r="D97" s="750">
        <f>[1]CaseCE300!$M4282/3600</f>
        <v>14280.692328968584</v>
      </c>
      <c r="E97" s="751">
        <f>[1]CaseCE300!$O4282/3600</f>
        <v>11758.267257308833</v>
      </c>
      <c r="F97" s="753">
        <f>[1]CaseCE300!$Q4282/3600</f>
        <v>2522.4250716597498</v>
      </c>
      <c r="G97" s="781">
        <f>[1]CaseCE300!$J4282</f>
        <v>9.6209138874267207E-3</v>
      </c>
      <c r="H97" s="782">
        <f t="shared" si="3"/>
        <v>2.9928535107466985</v>
      </c>
      <c r="I97" s="322">
        <f>[1]CaseCE300!$B4282</f>
        <v>28.262499999999999</v>
      </c>
      <c r="J97" s="322">
        <f>[1]CaseCE300!$AB4282</f>
        <v>25.490608308835998</v>
      </c>
      <c r="K97" s="302"/>
      <c r="L97" s="783">
        <f>[1]CaseCE300!$C4282</f>
        <v>1.1579938656585499E-2</v>
      </c>
      <c r="P97" s="44" t="s">
        <v>592</v>
      </c>
      <c r="Q97" s="754">
        <f>MAX('[14]COP2 Calcs'!AJ6:AJ8765)</f>
        <v>4.0403457040827488</v>
      </c>
      <c r="R97" s="752" t="str">
        <f>MID(INDEX('[14]COP2 Calcs'!$A$5:$A$8764,MATCH(Q97,'[14]COP2 Calcs'!$AJ$5:$AJ$8764,0)),2,5)</f>
        <v>04/30</v>
      </c>
      <c r="S97" s="760" t="str">
        <f>MID(INDEX('[14]COP2 Calcs'!$A$5:$A$8764,MATCH(Q97,'[14]COP2 Calcs'!$AJ$5:$AJ$8764,0)),9,5)</f>
        <v>15:00</v>
      </c>
      <c r="T97" s="754">
        <f>MIN('[14]COP2 Calcs'!AJ6:AJ8765)</f>
        <v>2.77439490755373</v>
      </c>
      <c r="U97" s="752" t="str">
        <f>MID(INDEX('[14]COP2 Calcs'!$A$5:$A$8764,MATCH(T97,'[14]COP2 Calcs'!$AJ$5:$AJ$8764,0)),2,5)</f>
        <v>06/13</v>
      </c>
      <c r="V97" s="760" t="str">
        <f>MID(INDEX('[14]COP2 Calcs'!$A$5:$A$8764,MATCH(T97,'[14]COP2 Calcs'!$AJ$5:$AJ$8764,0)),9,5)</f>
        <v>17:00</v>
      </c>
      <c r="W97" s="784">
        <f>MAX([9]CaseCE410!$I$2:$I$8761)</f>
        <v>25.003273115166198</v>
      </c>
      <c r="X97" s="752" t="str">
        <f>MID(INDEX([9]CaseCE410!$A$2:$A$8761,MATCH(W97,[9]CaseCE410!$I$2:$I$8761,0)),2,5)</f>
        <v>09/23</v>
      </c>
      <c r="Y97" s="760" t="str">
        <f>MID(INDEX([9]CaseCE410!$A$2:$A$8761,MATCH(W97,[9]CaseCE410!$I$2:$I$8761,0)),9,5)</f>
        <v>08:00</v>
      </c>
      <c r="Z97" s="784">
        <f>MIN([9]CaseCE410!$I$2:$I$8761)</f>
        <v>8.7262833957235593</v>
      </c>
      <c r="AA97" s="752" t="str">
        <f>MID(INDEX([9]CaseCE410!$A$2:$A$8761,MATCH(Z97,[9]CaseCE410!$I$2:$I$8761,0)),2,5)</f>
        <v>01/06</v>
      </c>
      <c r="AB97" s="760" t="str">
        <f>MID(INDEX([9]CaseCE410!$A$2:$A$8761,MATCH(Z97,[9]CaseCE410!$I$2:$I$8761,0)),9,5)</f>
        <v>06:00</v>
      </c>
      <c r="AC97" s="781">
        <f>MAX([9]CaseCE410!$J$2:$J$8761)</f>
        <v>1.64314982385791E-2</v>
      </c>
      <c r="AD97" s="752" t="str">
        <f>MID(INDEX([9]CaseCE410!$A$2:$A$8761,MATCH(AC97,[9]CaseCE410!$J$2:$J$8761,0)),2,5)</f>
        <v>04/06</v>
      </c>
      <c r="AE97" s="760" t="str">
        <f>MID(INDEX([9]CaseCE410!$A$2:$A$8761,MATCH(AC97,[9]CaseCE410!$J$2:$J$8761,0)),9,5)</f>
        <v>05:00</v>
      </c>
      <c r="AF97" s="781">
        <f>MIN([9]CaseCE410!$J$2:$J$8761)</f>
        <v>1.9292157792105101E-3</v>
      </c>
      <c r="AG97" s="752" t="str">
        <f>MID(INDEX([9]CaseCE410!$A$2:$A$8761,MATCH(AF97,[9]CaseCE410!$J$2:$J$8761,0)),2,5)</f>
        <v>01/11</v>
      </c>
      <c r="AH97" s="760" t="str">
        <f>MID(INDEX([9]CaseCE410!$A$2:$A$8761,MATCH(AF97,[9]CaseCE410!$J$2:$J$8761,0)),9,5)</f>
        <v>03:00</v>
      </c>
      <c r="AI97" s="784">
        <f>MAX([9]CaseCE410!$K$2:$K$8761)</f>
        <v>82.368805186952997</v>
      </c>
      <c r="AJ97" s="752" t="str">
        <f>MID(INDEX([9]CaseCE410!$A$2:$A$8761,MATCH(AI97,[9]CaseCE410!$K$2:$K$8761,0)),2,5)</f>
        <v>04/06</v>
      </c>
      <c r="AK97" s="760" t="str">
        <f>MID(INDEX([9]CaseCE410!$A$2:$A$8761,MATCH(AI97,[9]CaseCE410!$K$2:$K$8761,0)),9,5)</f>
        <v>01:00</v>
      </c>
      <c r="AL97" s="784">
        <f>MIN([9]CaseCE410!$K$2:$K$8761)</f>
        <v>14.1877468634439</v>
      </c>
      <c r="AM97" s="752" t="str">
        <f>MID(INDEX([9]CaseCE410!$A$2:$A$8761,MATCH(AL97,[9]CaseCE410!$K$2:$K$8761,0)),2,5)</f>
        <v>11/06</v>
      </c>
      <c r="AN97" s="785" t="str">
        <f>MID(INDEX([9]CaseCE410!$A$2:$A$8761,MATCH(AL97,[9]CaseCE410!$K$2:$K$8761,0)),9,5)</f>
        <v>06:00</v>
      </c>
      <c r="AO97" s="88" t="s">
        <v>592</v>
      </c>
    </row>
    <row r="98" spans="1:41" ht="15.75">
      <c r="A98" s="44" t="s">
        <v>183</v>
      </c>
      <c r="B98" s="750">
        <f>[1]CaseCE300!$R4283</f>
        <v>5029.2701864095798</v>
      </c>
      <c r="C98" s="780" t="s">
        <v>458</v>
      </c>
      <c r="D98" s="750">
        <f>[1]CaseCE300!$M4283/3600</f>
        <v>15005.199916219666</v>
      </c>
      <c r="E98" s="751">
        <f>[1]CaseCE300!$O4283/3600</f>
        <v>11985.639804307306</v>
      </c>
      <c r="F98" s="753">
        <f>[1]CaseCE300!$Q4283/3600</f>
        <v>3019.5601119123889</v>
      </c>
      <c r="G98" s="781">
        <f>[1]CaseCE300!$J4283</f>
        <v>9.9775130722175292E-3</v>
      </c>
      <c r="H98" s="782">
        <f t="shared" si="3"/>
        <v>2.9835740296410584</v>
      </c>
      <c r="I98" s="322">
        <f>[1]CaseCE300!$B4283</f>
        <v>28.9</v>
      </c>
      <c r="J98" s="322">
        <f>[1]CaseCE300!$AB4283</f>
        <v>25.586519385919601</v>
      </c>
      <c r="K98" s="302"/>
      <c r="L98" s="783">
        <f>[1]CaseCE300!$C4283</f>
        <v>1.2406033064600201E-2</v>
      </c>
      <c r="P98" s="44" t="s">
        <v>593</v>
      </c>
      <c r="Q98" s="754">
        <f>MAX('[14]COP2 Calcs'!AN5:AN8764)</f>
        <v>3.84461438738307</v>
      </c>
      <c r="R98" s="752" t="str">
        <f>MID(INDEX('[14]COP2 Calcs'!$A$5:$A$8764,MATCH(Q98,'[14]COP2 Calcs'!$AN$5:$AN$8764,0)),2,5)</f>
        <v>05/21</v>
      </c>
      <c r="S98" s="760" t="str">
        <f>MID(INDEX('[14]COP2 Calcs'!$A$5:$A$8764,MATCH(Q98,'[14]COP2 Calcs'!$AN$5:$AN$8764,0)),9,5)</f>
        <v>15:00</v>
      </c>
      <c r="T98" s="754">
        <f>MIN('[14]COP2 Calcs'!AN5:AN8764)</f>
        <v>2.7743951632197765</v>
      </c>
      <c r="U98" s="752" t="str">
        <f>MID(INDEX('[14]COP2 Calcs'!$A$5:$A$8764,MATCH(T98,'[14]COP2 Calcs'!$AN$5:$AN$8764,0)),2,5)</f>
        <v>06/13</v>
      </c>
      <c r="V98" s="760" t="str">
        <f>MID(INDEX('[14]COP2 Calcs'!$A$5:$A$8764,MATCH(T98,'[14]COP2 Calcs'!$AN$5:$AN$8764,0)),9,5)</f>
        <v>17:00</v>
      </c>
      <c r="W98" s="784">
        <f>MAX([10]CaseCE420!$I$2:$I$8761)</f>
        <v>25.003273115420001</v>
      </c>
      <c r="X98" s="752" t="str">
        <f>MID(INDEX([10]CaseCE420!$A$2:$A$8761,MATCH(W98,[10]CaseCE420!$I$2:$I$8761,0)),2,5)</f>
        <v>09/23</v>
      </c>
      <c r="Y98" s="760" t="str">
        <f>MID(INDEX([10]CaseCE420!$A$2:$A$8761,MATCH(W98,[10]CaseCE420!$I$2:$I$8761,0)),9,5)</f>
        <v>08:00</v>
      </c>
      <c r="Z98" s="784">
        <f>MIN([10]CaseCE420!$I$2:$I$8761)</f>
        <v>8.7262833957235593</v>
      </c>
      <c r="AA98" s="752" t="str">
        <f>MID(INDEX([10]CaseCE420!$A$2:$A$8761,MATCH(Z98,[10]CaseCE420!$I$2:$I$8761,0)),2,5)</f>
        <v>01/06</v>
      </c>
      <c r="AB98" s="760" t="str">
        <f>MID(INDEX([10]CaseCE420!$A$2:$A$8761,MATCH(Z98,[10]CaseCE420!$I$2:$I$8761,0)),9,5)</f>
        <v>06:00</v>
      </c>
      <c r="AC98" s="781">
        <f>MAX([10]CaseCE420!$J$2:$J$8761)</f>
        <v>1.46066109554102E-2</v>
      </c>
      <c r="AD98" s="752" t="str">
        <f>MID(INDEX([10]CaseCE420!$A$2:$A$8761,MATCH(AC98,[10]CaseCE420!$J$2:$J$8761,0)),2,5)</f>
        <v>04/02</v>
      </c>
      <c r="AE98" s="760" t="str">
        <f>MID(INDEX([10]CaseCE420!$A$2:$A$8761,MATCH(AC98,[10]CaseCE420!$J$2:$J$8761,0)),9,5)</f>
        <v>18:00</v>
      </c>
      <c r="AF98" s="781">
        <f>MIN([10]CaseCE420!$J$2:$J$8761)</f>
        <v>1.9292157760132599E-3</v>
      </c>
      <c r="AG98" s="752" t="str">
        <f>MID(INDEX([10]CaseCE420!$A$2:$A$8761,MATCH(AF98,[10]CaseCE420!$J$2:$J$8761,0)),2,5)</f>
        <v>01/11</v>
      </c>
      <c r="AH98" s="760" t="str">
        <f>MID(INDEX([10]CaseCE420!$A$2:$A$8761,MATCH(AF98,[10]CaseCE420!$J$2:$J$8761,0)),9,5)</f>
        <v>03:00</v>
      </c>
      <c r="AI98" s="784">
        <f>MAX([10]CaseCE420!$K$2:$K$8761)</f>
        <v>73.277079977751598</v>
      </c>
      <c r="AJ98" s="752" t="str">
        <f>MID(INDEX([10]CaseCE420!$A$2:$A$8761,MATCH(AI98,[10]CaseCE420!$K$2:$K$8761,0)),2,5)</f>
        <v>04/02</v>
      </c>
      <c r="AK98" s="760" t="str">
        <f>MID(INDEX([10]CaseCE420!$A$2:$A$8761,MATCH(AI98,[10]CaseCE420!$K$2:$K$8761,0)),9,5)</f>
        <v>18:00</v>
      </c>
      <c r="AL98" s="784">
        <f>MIN([10]CaseCE420!$K$2:$K$8761)</f>
        <v>13.925595564136099</v>
      </c>
      <c r="AM98" s="752" t="str">
        <f>MID(INDEX([10]CaseCE420!$A$2:$A$8761,MATCH(AL98,[10]CaseCE420!$K$2:$K$8761,0)),2,5)</f>
        <v>11/06</v>
      </c>
      <c r="AN98" s="785" t="str">
        <f>MID(INDEX([10]CaseCE420!$A$2:$A$8761,MATCH(AL98,[10]CaseCE420!$K$2:$K$8761,0)),9,5)</f>
        <v>06:00</v>
      </c>
      <c r="AO98" s="88" t="s">
        <v>593</v>
      </c>
    </row>
    <row r="99" spans="1:41" ht="15.75">
      <c r="A99" s="44" t="s">
        <v>186</v>
      </c>
      <c r="B99" s="750">
        <f>[1]CaseCE300!$R4284</f>
        <v>5485.3257390101298</v>
      </c>
      <c r="C99" s="780" t="s">
        <v>458</v>
      </c>
      <c r="D99" s="750">
        <f>[1]CaseCE300!$M4284/3600</f>
        <v>16127.909397562278</v>
      </c>
      <c r="E99" s="751">
        <f>[1]CaseCE300!$O4284/3600</f>
        <v>12473.86093382575</v>
      </c>
      <c r="F99" s="753">
        <f>[1]CaseCE300!$Q4284/3600</f>
        <v>3654.048463736528</v>
      </c>
      <c r="G99" s="781">
        <f>[1]CaseCE300!$J4284</f>
        <v>1.03919173834131E-2</v>
      </c>
      <c r="H99" s="782">
        <f t="shared" si="3"/>
        <v>2.9401917342601949</v>
      </c>
      <c r="I99" s="322">
        <f>[1]CaseCE300!$B4284</f>
        <v>30.274999999999999</v>
      </c>
      <c r="J99" s="322">
        <f>[1]CaseCE300!$AB4284</f>
        <v>25.795272957073099</v>
      </c>
      <c r="K99" s="302"/>
      <c r="L99" s="783">
        <f>[1]CaseCE300!$C4284</f>
        <v>1.39488986120056E-2</v>
      </c>
      <c r="P99" s="44" t="s">
        <v>594</v>
      </c>
      <c r="Q99" s="754">
        <f>MAX('[14]COP2 Calcs'!AR5:AR8764)</f>
        <v>3.8044053392820052</v>
      </c>
      <c r="R99" s="752" t="str">
        <f>MID(INDEX('[14]COP2 Calcs'!$A$5:$A$8764,MATCH(Q99,'[14]COP2 Calcs'!$AR$5:$AR$8764,0)),2,5)</f>
        <v>05/21</v>
      </c>
      <c r="S99" s="760" t="str">
        <f>MID(INDEX('[14]COP2 Calcs'!$A$5:$A$8764,MATCH(Q99,'[14]COP2 Calcs'!$AR$5:$AR$8764,0)),9,5)</f>
        <v>15:00</v>
      </c>
      <c r="T99" s="754">
        <f>MIN('[14]COP2 Calcs'!AR5:AR8764)</f>
        <v>2.7743951632197814</v>
      </c>
      <c r="U99" s="752" t="str">
        <f>MID(INDEX('[14]COP2 Calcs'!$A$5:$A$8764,MATCH(T99,'[14]COP2 Calcs'!$AR$5:$AR$8764,0)),2,5)</f>
        <v>06/13</v>
      </c>
      <c r="V99" s="760" t="str">
        <f>MID(INDEX('[14]COP2 Calcs'!$A$5:$A$8764,MATCH(T99,'[14]COP2 Calcs'!$AR$5:$AR$8764,0)),9,5)</f>
        <v>17:00</v>
      </c>
      <c r="W99" s="784">
        <f>MAX([11]CaseCE430!$I$2:$I$8761)</f>
        <v>25.003763076149301</v>
      </c>
      <c r="X99" s="752" t="str">
        <f>MID(INDEX([11]CaseCE430!$A$2:$A$8761,MATCH(W99,[11]CaseCE430!$I$2:$I$8761,0)),2,5)</f>
        <v>04/24</v>
      </c>
      <c r="Y99" s="760" t="str">
        <f>MID(INDEX([11]CaseCE430!$A$2:$A$8761,MATCH(W99,[11]CaseCE430!$I$2:$I$8761,0)),9,5)</f>
        <v>20:00</v>
      </c>
      <c r="Z99" s="784">
        <f>MIN([11]CaseCE430!$I$2:$I$8761)</f>
        <v>8.7262833957235593</v>
      </c>
      <c r="AA99" s="752" t="str">
        <f>MID(INDEX([11]CaseCE430!$A$2:$A$8761,MATCH(Z99,[11]CaseCE430!$I$2:$I$8761,0)),2,5)</f>
        <v>01/06</v>
      </c>
      <c r="AB99" s="760" t="str">
        <f>MID(INDEX([11]CaseCE430!$A$2:$A$8761,MATCH(Z99,[11]CaseCE430!$I$2:$I$8761,0)),9,5)</f>
        <v>06:00</v>
      </c>
      <c r="AC99" s="781">
        <f>MAX([11]CaseCE430!$J$2:$J$8761)</f>
        <v>1.6146153506642301E-2</v>
      </c>
      <c r="AD99" s="752" t="str">
        <f>MID(INDEX([11]CaseCE430!$A$2:$A$8761,MATCH(AC99,[11]CaseCE430!$J$2:$J$8761,0)),2,5)</f>
        <v>04/02</v>
      </c>
      <c r="AE99" s="760" t="str">
        <f>MID(INDEX([11]CaseCE430!$A$2:$A$8761,MATCH(AC99,[11]CaseCE430!$J$2:$J$8761,0)),9,5)</f>
        <v>05:00</v>
      </c>
      <c r="AF99" s="781">
        <f>MIN([11]CaseCE430!$J$2:$J$8761)</f>
        <v>1.9292157798758199E-3</v>
      </c>
      <c r="AG99" s="752" t="str">
        <f>MID(INDEX([11]CaseCE430!$A$2:$A$8761,MATCH(AF99,[11]CaseCE430!$J$2:$J$8761,0)),2,5)</f>
        <v>01/11</v>
      </c>
      <c r="AH99" s="760" t="str">
        <f>MID(INDEX([11]CaseCE430!$A$2:$A$8761,MATCH(AF99,[11]CaseCE430!$J$2:$J$8761,0)),9,5)</f>
        <v>03:00</v>
      </c>
      <c r="AI99" s="784">
        <f>MAX([11]CaseCE430!$K$2:$K$8761)</f>
        <v>80.715987045991596</v>
      </c>
      <c r="AJ99" s="752" t="str">
        <f>MID(INDEX([11]CaseCE430!$A$2:$A$8761,MATCH(AI99,[11]CaseCE430!$K$2:$K$8761,0)),2,5)</f>
        <v>04/02</v>
      </c>
      <c r="AK99" s="760" t="str">
        <f>MID(INDEX([11]CaseCE430!$A$2:$A$8761,MATCH(AI99,[11]CaseCE430!$K$2:$K$8761,0)),9,5)</f>
        <v>05:00</v>
      </c>
      <c r="AL99" s="784">
        <f>MIN([11]CaseCE430!$K$2:$K$8761)</f>
        <v>13.925487967371801</v>
      </c>
      <c r="AM99" s="752" t="str">
        <f>MID(INDEX([11]CaseCE430!$A$2:$A$8761,MATCH(AL99,[11]CaseCE430!$K$2:$K$8761,0)),2,5)</f>
        <v>11/06</v>
      </c>
      <c r="AN99" s="785" t="str">
        <f>MID(INDEX([11]CaseCE430!$A$2:$A$8761,MATCH(AL99,[11]CaseCE430!$K$2:$K$8761,0)),9,5)</f>
        <v>06:00</v>
      </c>
      <c r="AO99" s="88" t="s">
        <v>594</v>
      </c>
    </row>
    <row r="100" spans="1:41" ht="15.75">
      <c r="A100" s="44" t="s">
        <v>187</v>
      </c>
      <c r="B100" s="750">
        <f>[1]CaseCE300!$R4285</f>
        <v>5708.5514700862404</v>
      </c>
      <c r="C100" s="780" t="s">
        <v>458</v>
      </c>
      <c r="D100" s="750">
        <f>[1]CaseCE300!$M4285/3600</f>
        <v>16742.459135557474</v>
      </c>
      <c r="E100" s="751">
        <f>[1]CaseCE300!$O4285/3600</f>
        <v>12655.494386371805</v>
      </c>
      <c r="F100" s="753">
        <f>[1]CaseCE300!$Q4285/3600</f>
        <v>4086.9647491856945</v>
      </c>
      <c r="G100" s="781">
        <f>[1]CaseCE300!$J4285</f>
        <v>1.0700700073940399E-2</v>
      </c>
      <c r="H100" s="782">
        <f t="shared" si="3"/>
        <v>2.9328734659380311</v>
      </c>
      <c r="I100" s="322">
        <f>[1]CaseCE300!$B4285</f>
        <v>30.787500000000001</v>
      </c>
      <c r="J100" s="322">
        <f>[1]CaseCE300!$AB4285</f>
        <v>25.8718039469396</v>
      </c>
      <c r="K100" s="302"/>
      <c r="L100" s="783">
        <f>[1]CaseCE300!$C4285</f>
        <v>1.3760970538394901E-2</v>
      </c>
      <c r="P100" s="45" t="s">
        <v>595</v>
      </c>
      <c r="Q100" s="772">
        <f>MAX('[14]COP2 Calcs'!AV5:AV8764)</f>
        <v>3.8044053392820021</v>
      </c>
      <c r="R100" s="771" t="str">
        <f>MID(INDEX('[14]COP2 Calcs'!$A$5:$A$8764,MATCH(Q100,'[14]COP2 Calcs'!$AV$5:$AV$8764,0)),2,5)</f>
        <v>05/21</v>
      </c>
      <c r="S100" s="776" t="str">
        <f>MID(INDEX('[14]COP2 Calcs'!$A$5:$A$8764,MATCH(Q100,'[14]COP2 Calcs'!$AV$5:$AV$8764,0)),9,5)</f>
        <v>15:00</v>
      </c>
      <c r="T100" s="772">
        <f>MIN('[14]COP2 Calcs'!AV5:AV8764)</f>
        <v>2.7743951632197761</v>
      </c>
      <c r="U100" s="771" t="str">
        <f>MID(INDEX('[14]COP2 Calcs'!$A$5:$A$8764,MATCH(T100,'[14]COP2 Calcs'!$AV$5:$AV$8764,0)),2,5)</f>
        <v>06/13</v>
      </c>
      <c r="V100" s="777" t="str">
        <f>MID(INDEX('[14]COP2 Calcs'!$A$5:$A$8764,MATCH(T100,'[14]COP2 Calcs'!$AV$5:$AV$8764,0)),9,5)</f>
        <v>17:00</v>
      </c>
      <c r="W100" s="786">
        <f>MAX([12]CaseCE440!$I$2:$I$8761)</f>
        <v>25.0037630761495</v>
      </c>
      <c r="X100" s="771" t="str">
        <f>MID(INDEX([12]CaseCE440!$A$2:$A$8761,MATCH(W100,[12]CaseCE440!$I$2:$I$8761,0)),2,5)</f>
        <v>04/24</v>
      </c>
      <c r="Y100" s="776" t="str">
        <f>MID(INDEX([12]CaseCE440!$A$2:$A$8761,MATCH(W100,[12]CaseCE440!$I$2:$I$8761,0)),9,5)</f>
        <v>20:00</v>
      </c>
      <c r="Z100" s="786">
        <f>MIN([12]CaseCE440!$I$2:$I$8761)</f>
        <v>8.7262833957235593</v>
      </c>
      <c r="AA100" s="771" t="str">
        <f>MID(INDEX([12]CaseCE440!$A$2:$A$8761,MATCH(Z100,[12]CaseCE440!$I$2:$I$8761,0)),2,5)</f>
        <v>01/06</v>
      </c>
      <c r="AB100" s="776" t="str">
        <f>MID(INDEX([12]CaseCE440!$A$2:$A$8761,MATCH(Z100,[12]CaseCE440!$I$2:$I$8761,0)),9,5)</f>
        <v>06:00</v>
      </c>
      <c r="AC100" s="787">
        <f>MAX([12]CaseCE440!$J$2:$J$8761)</f>
        <v>1.35204933108933E-2</v>
      </c>
      <c r="AD100" s="771" t="str">
        <f>MID(INDEX([12]CaseCE440!$A$2:$A$8761,MATCH(AC100,[12]CaseCE440!$J$2:$J$8761,0)),2,5)</f>
        <v>11/16</v>
      </c>
      <c r="AE100" s="776" t="str">
        <f>MID(INDEX([12]CaseCE440!$A$2:$A$8761,MATCH(AC100,[12]CaseCE440!$J$2:$J$8761,0)),9,5)</f>
        <v>17:00</v>
      </c>
      <c r="AF100" s="787">
        <f>MIN([12]CaseCE440!$J$2:$J$8761)</f>
        <v>1.9292157758506901E-3</v>
      </c>
      <c r="AG100" s="771" t="str">
        <f>MID(INDEX([12]CaseCE440!$A$2:$A$8761,MATCH(AF100,[12]CaseCE440!$J$2:$J$8761,0)),2,5)</f>
        <v>01/11</v>
      </c>
      <c r="AH100" s="776" t="str">
        <f>MID(INDEX([12]CaseCE440!$A$2:$A$8761,MATCH(AF100,[12]CaseCE440!$J$2:$J$8761,0)),9,5)</f>
        <v>03:00</v>
      </c>
      <c r="AI100" s="786">
        <f>MAX([12]CaseCE440!$K$2:$K$8761)</f>
        <v>67.776165493094396</v>
      </c>
      <c r="AJ100" s="771" t="str">
        <f>MID(INDEX([12]CaseCE440!$A$2:$A$8761,MATCH(AI100,[12]CaseCE440!$K$2:$K$8761,0)),2,5)</f>
        <v>11/16</v>
      </c>
      <c r="AK100" s="776" t="str">
        <f>MID(INDEX([12]CaseCE440!$A$2:$A$8761,MATCH(AI100,[12]CaseCE440!$K$2:$K$8761,0)),9,5)</f>
        <v>17:00</v>
      </c>
      <c r="AL100" s="786">
        <f>MIN([12]CaseCE440!$K$2:$K$8761)</f>
        <v>13.9254858350014</v>
      </c>
      <c r="AM100" s="771" t="str">
        <f>MID(INDEX([12]CaseCE440!$A$2:$A$8761,MATCH(AL100,[12]CaseCE440!$K$2:$K$8761,0)),2,5)</f>
        <v>11/06</v>
      </c>
      <c r="AN100" s="788" t="str">
        <f>MID(INDEX([12]CaseCE440!$A$2:$A$8761,MATCH(AL100,[12]CaseCE440!$K$2:$K$8761,0)),9,5)</f>
        <v>06:00</v>
      </c>
      <c r="AO100" s="92" t="s">
        <v>595</v>
      </c>
    </row>
    <row r="101" spans="1:41" ht="15.75">
      <c r="A101" s="44" t="s">
        <v>191</v>
      </c>
      <c r="B101" s="750">
        <f>[1]CaseCE300!$R4286</f>
        <v>7233.0373681055298</v>
      </c>
      <c r="C101" s="780" t="s">
        <v>458</v>
      </c>
      <c r="D101" s="750">
        <f>[1]CaseCE300!$M4286/3600</f>
        <v>21873.959207030308</v>
      </c>
      <c r="E101" s="751">
        <f>[1]CaseCE300!$O4286/3600</f>
        <v>17378.503168130694</v>
      </c>
      <c r="F101" s="753">
        <f>[1]CaseCE300!$Q4286/3600</f>
        <v>4495.4560388996115</v>
      </c>
      <c r="G101" s="781">
        <f>[1]CaseCE300!$J4286</f>
        <v>1.0128593692398101E-2</v>
      </c>
      <c r="H101" s="782">
        <f t="shared" si="3"/>
        <v>3.0241733996128262</v>
      </c>
      <c r="I101" s="322">
        <f>[1]CaseCE300!$B4286</f>
        <v>30.912500000000001</v>
      </c>
      <c r="J101" s="322">
        <f>[1]CaseCE300!$AB4286</f>
        <v>25.884948589870401</v>
      </c>
      <c r="K101" s="302"/>
      <c r="L101" s="783">
        <f>[1]CaseCE300!$C4286</f>
        <v>1.19992129124616E-2</v>
      </c>
      <c r="P101" s="44" t="s">
        <v>605</v>
      </c>
      <c r="Q101" s="754">
        <f>MAX('[14]COP2 Calcs'!AZ$5:AZ$8764)</f>
        <v>4.2343046633347674</v>
      </c>
      <c r="R101" s="752" t="str">
        <f>MID(INDEX('[14]COP2 Calcs'!$A$5:$A$8764,MATCH(Q101,'[14]COP2 Calcs'!$AZ$5:$AZ$8764,0)),2,5)</f>
        <v>03/16</v>
      </c>
      <c r="S101" s="760" t="str">
        <f>MID(INDEX('[14]COP2 Calcs'!$A$5:$A$8764,MATCH(Q101,'[14]COP2 Calcs'!$AZ$5:$AZ$8764,0)),9,5)</f>
        <v>10:00</v>
      </c>
      <c r="T101" s="754">
        <f>MIN('[14]COP2 Calcs'!AZ$5:AZ$8764)</f>
        <v>2.6947432549631598</v>
      </c>
      <c r="U101" s="752" t="str">
        <f>MID(INDEX('[14]COP2 Calcs'!$A$5:$A$8764,MATCH(T101,'[14]COP2 Calcs'!$AZ$5:$AZ$8764,0)),2,5)</f>
        <v>07/30</v>
      </c>
      <c r="V101" s="760" t="str">
        <f>MID(INDEX('[14]COP2 Calcs'!$A$5:$A$8764,MATCH(T101,'[14]COP2 Calcs'!$AZ$5:$AZ$8764,0)),9,5)</f>
        <v>12:00</v>
      </c>
      <c r="W101" s="784">
        <f>MAX([13]CaseCE500!$I$2:$I$8761)</f>
        <v>25.001689073197401</v>
      </c>
      <c r="X101" s="752" t="str">
        <f>MID(INDEX([13]CaseCE500!$A$2:$A$8761,MATCH(W101,[13]CaseCE500!$I$2:$I$8761,0)),2,5)</f>
        <v>04/05</v>
      </c>
      <c r="Y101" s="760" t="str">
        <f>MID(INDEX([13]CaseCE500!$A$2:$A$8761,MATCH(W101,[13]CaseCE500!$I$2:$I$8761,0)),9,5)</f>
        <v>19:00</v>
      </c>
      <c r="Z101" s="784">
        <f>MIN([13]CaseCE500!$I$2162:$I$8761)</f>
        <v>8.8363228331094898</v>
      </c>
      <c r="AA101" s="752" t="str">
        <f>MID(INDEX([13]CaseCE500!$A$2162:$A$8761,MATCH(Z101,[13]CaseCE500!$I$2162:$I$8761,0)),2,5)</f>
        <v>12/21</v>
      </c>
      <c r="AB101" s="760" t="str">
        <f>MID(INDEX([13]CaseCE500!$A$2162:$A$8761,MATCH(Z101,[13]CaseCE500!$I$2162:$I$8761,0)),9,5)</f>
        <v>01:00</v>
      </c>
      <c r="AC101" s="781">
        <f>MAX([13]CaseCE500!$J$2:$J$8761)</f>
        <v>1.1379725785156501E-2</v>
      </c>
      <c r="AD101" s="752" t="str">
        <f>MID(INDEX([13]CaseCE500!$A$2:$A$8761,MATCH(AC101,[13]CaseCE500!$J$2:$J$8761,0)),2,5)</f>
        <v>07/20</v>
      </c>
      <c r="AE101" s="760" t="str">
        <f>MID(INDEX([13]CaseCE500!$A$2:$A$8761,MATCH(AC101,[13]CaseCE500!$J$2:$J$8761,0)),9,5)</f>
        <v>15:00</v>
      </c>
      <c r="AF101" s="781">
        <f>MIN([13]CaseCE500!$J$2162:$J$8761)</f>
        <v>6.9608057741923903E-3</v>
      </c>
      <c r="AG101" s="752" t="str">
        <f>MID(INDEX([13]CaseCE500!$A$2162:$A$8761,MATCH(AF101,[13]CaseCE500!$J$2162:$J$8761,0)),2,5)</f>
        <v>12/20</v>
      </c>
      <c r="AH101" s="760" t="str">
        <f>MID(INDEX([13]CaseCE500!$A$2162:$A$8761,MATCH(AF101,[13]CaseCE500!$J$2162:$J$8761,0)),9,5)</f>
        <v>12:00</v>
      </c>
      <c r="AI101" s="784">
        <f>MAX([13]CaseCE500!$K$2162:$K$8761)</f>
        <v>100</v>
      </c>
      <c r="AJ101" s="752" t="str">
        <f>MID(INDEX([13]CaseCE500!$A$2162:$A$8761,MATCH(AI101,[13]CaseCE500!$K$2162:$K$8761,0)),2,5)</f>
        <v>11/21</v>
      </c>
      <c r="AK101" s="760" t="str">
        <f>MID(INDEX([13]CaseCE500!$A$2162:$A$8761,MATCH(AI101,[13]CaseCE500!$K$2162:$K$8761,0)),9,5)</f>
        <v>24:00</v>
      </c>
      <c r="AL101" s="784">
        <f>MIN([13]CaseCE500!$K$2162:$K$8761)</f>
        <v>53.425645627470601</v>
      </c>
      <c r="AM101" s="752" t="str">
        <f>MID(INDEX([13]CaseCE500!$A$2162:$A$8761,MATCH(AL101,[13]CaseCE500!$K$2162:$K$8761,0)),2,5)</f>
        <v>04/30</v>
      </c>
      <c r="AN101" s="785" t="str">
        <f>MID(INDEX([13]CaseCE500!$A$2162:$A$8761,MATCH(AL101,[13]CaseCE500!$K$2162:$K$8761,0)),9,5)</f>
        <v>04:00</v>
      </c>
      <c r="AO101" s="88" t="s">
        <v>605</v>
      </c>
    </row>
    <row r="102" spans="1:41" ht="15.75">
      <c r="A102" s="44" t="s">
        <v>194</v>
      </c>
      <c r="B102" s="750">
        <f>[1]CaseCE300!$R4287</f>
        <v>7085.9570260006803</v>
      </c>
      <c r="C102" s="780" t="s">
        <v>458</v>
      </c>
      <c r="D102" s="750">
        <f>[1]CaseCE300!$M4287/3600</f>
        <v>20933.438479466553</v>
      </c>
      <c r="E102" s="751">
        <f>[1]CaseCE300!$O4287/3600</f>
        <v>17574.609673320916</v>
      </c>
      <c r="F102" s="753">
        <f>[1]CaseCE300!$Q4287/3600</f>
        <v>3358.8288061456387</v>
      </c>
      <c r="G102" s="781">
        <f>[1]CaseCE300!$J4287</f>
        <v>9.6940294873933998E-3</v>
      </c>
      <c r="H102" s="782">
        <f t="shared" si="3"/>
        <v>2.9542147098345306</v>
      </c>
      <c r="I102" s="322">
        <f>[1]CaseCE300!$B4287</f>
        <v>31.475000000000001</v>
      </c>
      <c r="J102" s="322">
        <f>[1]CaseCE300!$AB4287</f>
        <v>25.968879907426501</v>
      </c>
      <c r="K102" s="302"/>
      <c r="L102" s="783">
        <f>[1]CaseCE300!$C4287</f>
        <v>1.1528114554116901E-2</v>
      </c>
      <c r="P102" s="44" t="s">
        <v>606</v>
      </c>
      <c r="Q102" s="754">
        <f>MAX('[14]COP2 Calcs'!BF$5:BF$8764)</f>
        <v>4.7068960244008551</v>
      </c>
      <c r="R102" s="752" t="str">
        <f>MID(INDEX('[14]COP2 Calcs'!$A$5:$A$8764,MATCH(Q102,'[14]COP2 Calcs'!$BF$5:$BF$8764,0)),2,5)</f>
        <v>10/05</v>
      </c>
      <c r="S102" s="760" t="str">
        <f>MID(INDEX('[14]COP2 Calcs'!$A$5:$A$8764,MATCH(Q102,'[14]COP2 Calcs'!$BF$5:$BF$8764,0)),9,5)</f>
        <v>01:00</v>
      </c>
      <c r="T102" s="754">
        <f>MIN('[14]COP2 Calcs'!BF$5:BF$8764)</f>
        <v>2.8992500078842682</v>
      </c>
      <c r="U102" s="752" t="str">
        <f>MID(INDEX('[14]COP2 Calcs'!$A$5:$A$8764,MATCH(T102,'[14]COP2 Calcs'!$BF$5:$BF$8764,0)),2,5)</f>
        <v>03/31</v>
      </c>
      <c r="V102" s="760" t="str">
        <f>MID(INDEX('[14]COP2 Calcs'!$A$5:$A$8764,MATCH(T102,'[14]COP2 Calcs'!$BF$5:$BF$8764,0)),9,5)</f>
        <v>15:00</v>
      </c>
      <c r="W102" s="784">
        <f>MAX([15]CaseCE510!$I$2:$I$8761)</f>
        <v>25.001689922001699</v>
      </c>
      <c r="X102" s="752" t="str">
        <f>MID(INDEX([15]CaseCE510!$A$2:$A$8761,MATCH(W102,[15]CaseCE510!$I$2:$I$8761,0)),2,5)</f>
        <v>04/05</v>
      </c>
      <c r="Y102" s="760" t="str">
        <f>MID(INDEX([15]CaseCE510!$A$2:$A$8761,MATCH(W102,[15]CaseCE510!$I$2:$I$8761,0)),9,5)</f>
        <v>19:00</v>
      </c>
      <c r="Z102" s="784">
        <f>MIN([15]CaseCE510!$I$2162:$I$8761)</f>
        <v>8.8363228424112794</v>
      </c>
      <c r="AA102" s="752" t="str">
        <f>MID(INDEX([15]CaseCE510!$A$2162:$A$8761,MATCH(Z102,[15]CaseCE510!$I$2162:$I$8761,0)),2,5)</f>
        <v>12/21</v>
      </c>
      <c r="AB102" s="760" t="str">
        <f>MID(INDEX([15]CaseCE510!$A$2162:$A$8761,MATCH(Z102,[15]CaseCE510!$I$2162:$I$8761,0)),9,5)</f>
        <v>01:00</v>
      </c>
      <c r="AC102" s="781">
        <f>MAX([15]CaseCE510!$J$2:$J$8761)</f>
        <v>1.1389731906607199E-2</v>
      </c>
      <c r="AD102" s="752" t="str">
        <f>MID(INDEX([15]CaseCE510!$A$2:$A$8761,MATCH(AC102,[15]CaseCE510!$J$2:$J$8761,0)),2,5)</f>
        <v>07/20</v>
      </c>
      <c r="AE102" s="760" t="str">
        <f>MID(INDEX([15]CaseCE510!$A$2:$A$8761,MATCH(AC102,[15]CaseCE510!$J$2:$J$8761,0)),9,5)</f>
        <v>15:00</v>
      </c>
      <c r="AF102" s="781">
        <f>MIN([15]CaseCE510!$J$2162:$J$8761)</f>
        <v>6.9608057741923903E-3</v>
      </c>
      <c r="AG102" s="752" t="str">
        <f>MID(INDEX([15]CaseCE510!$A$2162:$A$8761,MATCH(AF102,[15]CaseCE510!$J$2162:$J$8761,0)),2,5)</f>
        <v>12/20</v>
      </c>
      <c r="AH102" s="760" t="str">
        <f>MID(INDEX([15]CaseCE510!$A$2162:$A$8761,MATCH(AF102,[15]CaseCE510!$J$2162:$J$8761,0)),9,5)</f>
        <v>12:00</v>
      </c>
      <c r="AI102" s="784">
        <f>MAX([15]CaseCE510!$K$2162:$K$8761)</f>
        <v>100</v>
      </c>
      <c r="AJ102" s="752" t="str">
        <f>MID(INDEX([15]CaseCE510!$A$2162:$A$8761,MATCH(AI102,[15]CaseCE510!$K$2162:$K$8761,0)),2,5)</f>
        <v>11/21</v>
      </c>
      <c r="AK102" s="760" t="str">
        <f>MID(INDEX([15]CaseCE510!$A$2162:$A$8761,MATCH(AI102,[15]CaseCE510!$K$2162:$K$8761,0)),9,5)</f>
        <v>24:00</v>
      </c>
      <c r="AL102" s="784">
        <f>MIN([15]CaseCE510!$K$2162:$K$8761)</f>
        <v>53.532308617819197</v>
      </c>
      <c r="AM102" s="752" t="str">
        <f>MID(INDEX([15]CaseCE510!$A$2162:$A$8761,MATCH(AL102,[15]CaseCE510!$K$2162:$K$8761,0)),2,5)</f>
        <v>05/04</v>
      </c>
      <c r="AN102" s="785" t="str">
        <f>MID(INDEX([15]CaseCE510!$A$2162:$A$8761,MATCH(AL102,[15]CaseCE510!$K$2162:$K$8761,0)),9,5)</f>
        <v>04:00</v>
      </c>
      <c r="AO102" s="88" t="s">
        <v>606</v>
      </c>
    </row>
    <row r="103" spans="1:41" ht="15.75">
      <c r="A103" s="44" t="s">
        <v>79</v>
      </c>
      <c r="B103" s="750">
        <f>[1]CaseCE300!$R4288</f>
        <v>8689.9560731824095</v>
      </c>
      <c r="C103" s="780" t="s">
        <v>458</v>
      </c>
      <c r="D103" s="750">
        <f>[1]CaseCE300!$M4288/3600</f>
        <v>26432.910889167943</v>
      </c>
      <c r="E103" s="751">
        <f>[1]CaseCE300!$O4288/3600</f>
        <v>22454.456081304808</v>
      </c>
      <c r="F103" s="753">
        <f>[1]CaseCE300!$Q4288/3600</f>
        <v>3978.4548078631387</v>
      </c>
      <c r="G103" s="781">
        <f>[1]CaseCE300!$J4288</f>
        <v>9.5210421083314102E-3</v>
      </c>
      <c r="H103" s="782">
        <f t="shared" si="3"/>
        <v>3.0417772732754171</v>
      </c>
      <c r="I103" s="322">
        <f>[1]CaseCE300!$B4288</f>
        <v>32.012500000000003</v>
      </c>
      <c r="J103" s="322">
        <f>[1]CaseCE300!$AB4288</f>
        <v>26.0512583266162</v>
      </c>
      <c r="K103" s="302"/>
      <c r="L103" s="783">
        <f>[1]CaseCE300!$C4288</f>
        <v>1.2085903992729701E-2</v>
      </c>
      <c r="P103" s="44" t="s">
        <v>599</v>
      </c>
      <c r="Q103" s="754">
        <f>MAX('[14]COP2 Calcs'!BL$5:BL$8764)</f>
        <v>3.8380322169715142</v>
      </c>
      <c r="R103" s="752" t="str">
        <f>MID(INDEX('[14]COP2 Calcs'!$A$5:$A$8764,MATCH(Q103,'[14]COP2 Calcs'!$BL$5:$BL$8764,0)),2,5)</f>
        <v>04/30</v>
      </c>
      <c r="S103" s="760" t="str">
        <f>MID(INDEX('[14]COP2 Calcs'!$A$5:$A$8764,MATCH(Q103,'[14]COP2 Calcs'!$BL$5:$BL$8764,0)),9,5)</f>
        <v>15:00</v>
      </c>
      <c r="T103" s="754">
        <f>MIN('[14]COP2 Calcs'!BL$5:BL$8764)</f>
        <v>2.4618368235724657</v>
      </c>
      <c r="U103" s="752" t="str">
        <f>MID(INDEX('[14]COP2 Calcs'!$A$5:$A$8764,MATCH(T103,'[14]COP2 Calcs'!$BL$5:$BL$8764,0)),2,5)</f>
        <v>07/30</v>
      </c>
      <c r="V103" s="760" t="str">
        <f>MID(INDEX('[14]COP2 Calcs'!$A$5:$A$8764,MATCH(T103,'[14]COP2 Calcs'!$BL$5:$BL$8764,0)),9,5)</f>
        <v>12:00</v>
      </c>
      <c r="W103" s="784">
        <f>MAX([16]CaseCE520!$I$2:$I$8761)</f>
        <v>15.2668573950669</v>
      </c>
      <c r="X103" s="752" t="str">
        <f>MID(INDEX([16]CaseCE520!$A$2:$A$8761,MATCH(W103,[16]CaseCE520!$I$2:$I$8761,0)),2,5)</f>
        <v>07/20</v>
      </c>
      <c r="Y103" s="760" t="str">
        <f>MID(INDEX([16]CaseCE520!$A$2:$A$8761,MATCH(W103,[16]CaseCE520!$I$2:$I$8761,0)),9,5)</f>
        <v>16:00</v>
      </c>
      <c r="Z103" s="784">
        <f>MIN([16]CaseCE520!$I$2162:$I$8761)</f>
        <v>8.7329520948337294</v>
      </c>
      <c r="AA103" s="752" t="str">
        <f>MID(INDEX([16]CaseCE520!$A$2162:$A$8761,MATCH(Z103,[16]CaseCE520!$I$2162:$I$8761,0)),2,5)</f>
        <v>12/21</v>
      </c>
      <c r="AB103" s="760" t="str">
        <f>MID(INDEX([16]CaseCE520!$A$2162:$A$8761,MATCH(Z103,[16]CaseCE520!$I$2162:$I$8761,0)),9,5)</f>
        <v>01:00</v>
      </c>
      <c r="AC103" s="781">
        <f>MAX([16]CaseCE520!$J$2:$J$8761)</f>
        <v>7.1039765582544398E-3</v>
      </c>
      <c r="AD103" s="752" t="str">
        <f>MID(INDEX([16]CaseCE520!$A$2:$A$8761,MATCH(AC103,[16]CaseCE520!$J$2:$J$8761,0)),2,5)</f>
        <v>07/20</v>
      </c>
      <c r="AE103" s="760" t="str">
        <f>MID(INDEX([16]CaseCE520!$A$2:$A$8761,MATCH(AC103,[16]CaseCE520!$J$2:$J$8761,0)),9,5)</f>
        <v>16:00</v>
      </c>
      <c r="AF103" s="781">
        <f>MIN([16]CaseCE520!$J$2162:$J$8761)</f>
        <v>6.4660207705716996E-3</v>
      </c>
      <c r="AG103" s="752" t="str">
        <f>MID(INDEX([16]CaseCE520!$A$2162:$A$8761,MATCH(AF103,[16]CaseCE520!$J$2162:$J$8761,0)),2,5)</f>
        <v>11/10</v>
      </c>
      <c r="AH103" s="760" t="str">
        <f>MID(INDEX([16]CaseCE520!$A$2162:$A$8761,MATCH(AF103,[16]CaseCE520!$J$2162:$J$8761,0)),9,5)</f>
        <v>07:00</v>
      </c>
      <c r="AI103" s="784">
        <f>MAX([16]CaseCE520!$K$2162:$K$8761)</f>
        <v>93.604172645267894</v>
      </c>
      <c r="AJ103" s="752" t="str">
        <f>MID(INDEX([16]CaseCE520!$A$2162:$A$8761,MATCH(AI103,[16]CaseCE520!$K$2162:$K$8761,0)),2,5)</f>
        <v>12/20</v>
      </c>
      <c r="AK103" s="760" t="str">
        <f>MID(INDEX([16]CaseCE520!$A$2162:$A$8761,MATCH(AI103,[16]CaseCE520!$K$2162:$K$8761,0)),9,5)</f>
        <v>11:00</v>
      </c>
      <c r="AL103" s="784">
        <f>MIN([16]CaseCE520!$K$2162:$K$8761)</f>
        <v>61.193828890151202</v>
      </c>
      <c r="AM103" s="752" t="str">
        <f>MID(INDEX([16]CaseCE520!$A$2162:$A$8761,MATCH(AL103,[16]CaseCE520!$K$2162:$K$8761,0)),2,5)</f>
        <v>11/10</v>
      </c>
      <c r="AN103" s="785" t="str">
        <f>MID(INDEX([16]CaseCE520!$A$2162:$A$8761,MATCH(AL103,[16]CaseCE520!$K$2162:$K$8761,0)),9,5)</f>
        <v>04:00</v>
      </c>
      <c r="AO103" s="88" t="s">
        <v>599</v>
      </c>
    </row>
    <row r="104" spans="1:41" ht="15.75">
      <c r="A104" s="44" t="s">
        <v>198</v>
      </c>
      <c r="B104" s="750">
        <f>[1]CaseCE300!$R4289</f>
        <v>8842.8175260246298</v>
      </c>
      <c r="C104" s="780" t="s">
        <v>458</v>
      </c>
      <c r="D104" s="750">
        <f>[1]CaseCE300!$M4289/3600</f>
        <v>26943.356813287304</v>
      </c>
      <c r="E104" s="751">
        <f>[1]CaseCE300!$O4289/3600</f>
        <v>22527.669160985581</v>
      </c>
      <c r="F104" s="753">
        <f>[1]CaseCE300!$Q4289/3600</f>
        <v>4415.6876523017218</v>
      </c>
      <c r="G104" s="781">
        <f>[1]CaseCE300!$J4289</f>
        <v>9.6238289683823492E-3</v>
      </c>
      <c r="H104" s="782">
        <f t="shared" si="3"/>
        <v>3.0469199137031091</v>
      </c>
      <c r="I104" s="322">
        <f>[1]CaseCE300!$B4289</f>
        <v>32.200000000000003</v>
      </c>
      <c r="J104" s="322">
        <f>[1]CaseCE300!$AB4289</f>
        <v>26.082730952653399</v>
      </c>
      <c r="K104" s="302"/>
      <c r="L104" s="783">
        <f>[1]CaseCE300!$C4289</f>
        <v>1.34924504298861E-2</v>
      </c>
      <c r="P104" s="44" t="s">
        <v>600</v>
      </c>
      <c r="Q104" s="754">
        <f>MAX('[14]COP2 Calcs'!BR$5:BR$8764)</f>
        <v>4.0073845360475628</v>
      </c>
      <c r="R104" s="752" t="str">
        <f>MID(INDEX('[14]COP2 Calcs'!$A$5:$A$8764,MATCH(Q104,'[14]COP2 Calcs'!$BR$5:$BR$8764,0)),2,5)</f>
        <v>04/30</v>
      </c>
      <c r="S104" s="760" t="str">
        <f>MID(INDEX('[14]COP2 Calcs'!$A$5:$A$8764,MATCH(Q104,'[14]COP2 Calcs'!$BR$5:$BR$8764,0)),9,5)</f>
        <v>15:00</v>
      </c>
      <c r="T104" s="754">
        <f>MIN('[14]COP2 Calcs'!BR$5:BR$8764)</f>
        <v>2.5776994604731649</v>
      </c>
      <c r="U104" s="752" t="str">
        <f>MID(INDEX('[14]COP2 Calcs'!$A$5:$A$8764,MATCH(T104,'[14]COP2 Calcs'!$BR$5:$BR$8764,0)),2,5)</f>
        <v>07/30</v>
      </c>
      <c r="V104" s="760" t="str">
        <f>MID(INDEX('[14]COP2 Calcs'!$A$5:$A$8764,MATCH(T104,'[14]COP2 Calcs'!$BR$5:$BR$8764,0)),9,5)</f>
        <v>12:00</v>
      </c>
      <c r="W104" s="784">
        <f>MAX([17]CaseCE522!$I$2:$I$8761)</f>
        <v>20.0027164194105</v>
      </c>
      <c r="X104" s="752" t="str">
        <f>MID(INDEX([17]CaseCE522!$A$2:$A$8761,MATCH(W104,[17]CaseCE522!$I$2:$I$8761,0)),2,5)</f>
        <v>04/17</v>
      </c>
      <c r="Y104" s="760" t="str">
        <f>MID(INDEX([17]CaseCE522!$A$2:$A$8761,MATCH(W104,[17]CaseCE522!$I$2:$I$8761,0)),9,5)</f>
        <v>24:00</v>
      </c>
      <c r="Z104" s="784">
        <f>MIN([17]CaseCE522!$I$2162:$I$8761)</f>
        <v>8.7910868675373006</v>
      </c>
      <c r="AA104" s="752" t="str">
        <f>MID(INDEX([17]CaseCE522!$A$2162:$A$8761,MATCH(Z104,[17]CaseCE522!$I$2162:$I$8761,0)),2,5)</f>
        <v>12/21</v>
      </c>
      <c r="AB104" s="760" t="str">
        <f>MID(INDEX([17]CaseCE522!$A$2162:$A$8761,MATCH(Z104,[17]CaseCE522!$I$2162:$I$8761,0)),9,5)</f>
        <v>01:00</v>
      </c>
      <c r="AC104" s="781">
        <f>MAX([17]CaseCE522!$J$2:$J$8761)</f>
        <v>8.9745117656923005E-3</v>
      </c>
      <c r="AD104" s="752" t="str">
        <f>MID(INDEX([17]CaseCE522!$A$2:$A$8761,MATCH(AC104,[17]CaseCE522!$J$2:$J$8761,0)),2,5)</f>
        <v>07/20</v>
      </c>
      <c r="AE104" s="760" t="str">
        <f>MID(INDEX([17]CaseCE522!$A$2:$A$8761,MATCH(AC104,[17]CaseCE522!$J$2:$J$8761,0)),9,5)</f>
        <v>15:00</v>
      </c>
      <c r="AF104" s="781">
        <f>MIN([17]CaseCE522!$J$2162:$J$8761)</f>
        <v>6.9387995884298099E-3</v>
      </c>
      <c r="AG104" s="752" t="str">
        <f>MID(INDEX([17]CaseCE522!$A$2162:$A$8761,MATCH(AF104,[17]CaseCE522!$J$2162:$J$8761,0)),2,5)</f>
        <v>12/20</v>
      </c>
      <c r="AH104" s="760" t="str">
        <f>MID(INDEX([17]CaseCE522!$A$2162:$A$8761,MATCH(AF104,[17]CaseCE522!$J$2162:$J$8761,0)),9,5)</f>
        <v>12:00</v>
      </c>
      <c r="AI104" s="784">
        <f>MAX([17]CaseCE522!$K$2162:$K$8761)</f>
        <v>100</v>
      </c>
      <c r="AJ104" s="752" t="str">
        <f>MID(INDEX([17]CaseCE522!$A$2162:$A$8761,MATCH(AI104,[17]CaseCE522!$K$2162:$K$8761,0)),2,5)</f>
        <v>12/16</v>
      </c>
      <c r="AK104" s="760" t="str">
        <f>MID(INDEX([17]CaseCE522!$A$2162:$A$8761,MATCH(AI104,[17]CaseCE522!$K$2162:$K$8761,0)),9,5)</f>
        <v>03:00</v>
      </c>
      <c r="AL104" s="784">
        <f>MIN([17]CaseCE522!$K$2162:$K$8761)</f>
        <v>57.830846720422201</v>
      </c>
      <c r="AM104" s="752" t="str">
        <f>MID(INDEX([17]CaseCE522!$A$2162:$A$8761,MATCH(AL104,[17]CaseCE522!$K$2162:$K$8761,0)),2,5)</f>
        <v>04/30</v>
      </c>
      <c r="AN104" s="785" t="str">
        <f>MID(INDEX([17]CaseCE522!$A$2162:$A$8761,MATCH(AL104,[17]CaseCE522!$K$2162:$K$8761,0)),9,5)</f>
        <v>04:00</v>
      </c>
      <c r="AO104" s="88" t="s">
        <v>600</v>
      </c>
    </row>
    <row r="105" spans="1:41" ht="15.75">
      <c r="A105" s="44" t="s">
        <v>201</v>
      </c>
      <c r="B105" s="750">
        <f>[1]CaseCE300!$R4290</f>
        <v>5791.0238691930899</v>
      </c>
      <c r="C105" s="780" t="s">
        <v>458</v>
      </c>
      <c r="D105" s="750">
        <f>[1]CaseCE300!$M4290/3600</f>
        <v>16525.760272665808</v>
      </c>
      <c r="E105" s="751">
        <f>[1]CaseCE300!$O4290/3600</f>
        <v>13046.967162474944</v>
      </c>
      <c r="F105" s="753">
        <f>[1]CaseCE300!$Q4290/3600</f>
        <v>3478.7931101908612</v>
      </c>
      <c r="G105" s="781">
        <f>[1]CaseCE300!$J4290</f>
        <v>1.03613798071139E-2</v>
      </c>
      <c r="H105" s="782">
        <f t="shared" si="3"/>
        <v>2.8536854010530051</v>
      </c>
      <c r="I105" s="322">
        <f>[1]CaseCE300!$B4290</f>
        <v>31.887499999999999</v>
      </c>
      <c r="J105" s="322">
        <f>[1]CaseCE300!$AB4290</f>
        <v>26.039580610021801</v>
      </c>
      <c r="K105" s="302"/>
      <c r="L105" s="783">
        <f>[1]CaseCE300!$C4290</f>
        <v>1.45043822298757E-2</v>
      </c>
      <c r="P105" s="44" t="s">
        <v>601</v>
      </c>
      <c r="Q105" s="754">
        <f>MAX('[14]COP2 Calcs'!BX$5:BX$8764)</f>
        <v>4.677585150951554</v>
      </c>
      <c r="R105" s="752" t="str">
        <f>MID(INDEX('[14]COP2 Calcs'!$A$5:$A$8764,MATCH(Q105,'[14]COP2 Calcs'!$BX$5:$BX$8764,0)),2,5)</f>
        <v>03/16</v>
      </c>
      <c r="S105" s="760" t="str">
        <f>MID(INDEX('[14]COP2 Calcs'!$A$5:$A$8764,MATCH(Q105,'[14]COP2 Calcs'!$BX$5:$BX$8764,0)),9,5)</f>
        <v>10:00</v>
      </c>
      <c r="T105" s="754">
        <f>MIN('[14]COP2 Calcs'!BX$5:BX$8764)</f>
        <v>2.9332871695007312</v>
      </c>
      <c r="U105" s="752" t="str">
        <f>MID(INDEX('[14]COP2 Calcs'!$A$5:$A$8764,MATCH(T105,'[14]COP2 Calcs'!$BX$5:$BX$8764,0)),2,5)</f>
        <v>07/30</v>
      </c>
      <c r="V105" s="760" t="str">
        <f>MID(INDEX('[14]COP2 Calcs'!$A$5:$A$8764,MATCH(T105,'[14]COP2 Calcs'!$BX$5:$BX$8764,0)),9,5)</f>
        <v>12:00</v>
      </c>
      <c r="W105" s="784">
        <f>MAX([18]CaseCE525!$I$2:$I$8761)</f>
        <v>34.996432269762302</v>
      </c>
      <c r="X105" s="752" t="str">
        <f>MID(INDEX([18]CaseCE525!$A$2:$A$8761,MATCH(W105,[18]CaseCE525!$I$2:$I$8761,0)),2,5)</f>
        <v>03/11</v>
      </c>
      <c r="Y105" s="760" t="str">
        <f>MID(INDEX([18]CaseCE525!$A$2:$A$8761,MATCH(W105,[18]CaseCE525!$I$2:$I$8761,0)),9,5)</f>
        <v>12:00</v>
      </c>
      <c r="Z105" s="784">
        <f>MIN([18]CaseCE525!$I$2162:$I$8761)</f>
        <v>8.9123428144218799</v>
      </c>
      <c r="AA105" s="752" t="str">
        <f>MID(INDEX([18]CaseCE525!$A$2162:$A$8761,MATCH(Z105,[18]CaseCE525!$I$2162:$I$8761,0)),2,5)</f>
        <v>12/21</v>
      </c>
      <c r="AB105" s="760" t="str">
        <f>MID(INDEX([18]CaseCE525!$A$2162:$A$8761,MATCH(Z105,[18]CaseCE525!$I$2162:$I$8761,0)),9,5)</f>
        <v>01:00</v>
      </c>
      <c r="AC105" s="781">
        <f>MAX([18]CaseCE525!$J$2:$J$8761)</f>
        <v>1.78484256691855E-2</v>
      </c>
      <c r="AD105" s="752" t="str">
        <f>MID(INDEX([18]CaseCE525!$A$2:$A$8761,MATCH(AC105,[18]CaseCE525!$J$2:$J$8761,0)),2,5)</f>
        <v>07/20</v>
      </c>
      <c r="AE105" s="760" t="str">
        <f>MID(INDEX([18]CaseCE525!$A$2:$A$8761,MATCH(AC105,[18]CaseCE525!$J$2:$J$8761,0)),9,5)</f>
        <v>15:00</v>
      </c>
      <c r="AF105" s="781">
        <f>MIN([18]CaseCE525!$J$2162:$J$8761)</f>
        <v>6.9980062607424599E-3</v>
      </c>
      <c r="AG105" s="752" t="str">
        <f>MID(INDEX([18]CaseCE525!$A$2162:$A$8761,MATCH(AF105,[18]CaseCE525!$J$2162:$J$8761,0)),2,5)</f>
        <v>12/20</v>
      </c>
      <c r="AH105" s="760" t="str">
        <f>MID(INDEX([18]CaseCE525!$A$2162:$A$8761,MATCH(AF105,[18]CaseCE525!$J$2162:$J$8761,0)),9,5)</f>
        <v>12:00</v>
      </c>
      <c r="AI105" s="784">
        <f>MAX([18]CaseCE525!$K$2162:$K$8761)</f>
        <v>100</v>
      </c>
      <c r="AJ105" s="752" t="str">
        <f>MID(INDEX([18]CaseCE525!$A$2162:$A$8761,MATCH(AI105,[18]CaseCE525!$K$2162:$K$8761,0)),2,5)</f>
        <v>11/12</v>
      </c>
      <c r="AK105" s="760" t="str">
        <f>MID(INDEX([18]CaseCE525!$A$2162:$A$8761,MATCH(AI105,[18]CaseCE525!$K$2162:$K$8761,0)),9,5)</f>
        <v>24:00</v>
      </c>
      <c r="AL105" s="784">
        <f>MIN([18]CaseCE525!$K$2162:$K$8761)</f>
        <v>46.106284792351403</v>
      </c>
      <c r="AM105" s="752" t="str">
        <f>MID(INDEX([18]CaseCE525!$A$2162:$A$8761,MATCH(AL105,[18]CaseCE525!$K$2162:$K$8761,0)),2,5)</f>
        <v>10/05</v>
      </c>
      <c r="AN105" s="785" t="str">
        <f>MID(INDEX([18]CaseCE525!$A$2162:$A$8761,MATCH(AL105,[18]CaseCE525!$K$2162:$K$8761,0)),9,5)</f>
        <v>02:00</v>
      </c>
      <c r="AO105" s="88" t="s">
        <v>601</v>
      </c>
    </row>
    <row r="106" spans="1:41" ht="15.75">
      <c r="A106" s="44" t="s">
        <v>204</v>
      </c>
      <c r="B106" s="750">
        <f>[1]CaseCE300!$R4291</f>
        <v>5952.6308606623797</v>
      </c>
      <c r="C106" s="780" t="s">
        <v>458</v>
      </c>
      <c r="D106" s="750">
        <f>[1]CaseCE300!$M4291/3600</f>
        <v>17405.561751073612</v>
      </c>
      <c r="E106" s="751">
        <f>[1]CaseCE300!$O4291/3600</f>
        <v>12851.449546450694</v>
      </c>
      <c r="F106" s="753">
        <f>[1]CaseCE300!$Q4291/3600</f>
        <v>4554.1122046229166</v>
      </c>
      <c r="G106" s="781">
        <f>[1]CaseCE300!$J4291</f>
        <v>1.09244326891799E-2</v>
      </c>
      <c r="H106" s="782">
        <f t="shared" si="3"/>
        <v>2.9240116107479923</v>
      </c>
      <c r="I106" s="322">
        <f>[1]CaseCE300!$B4291</f>
        <v>31.324999999999999</v>
      </c>
      <c r="J106" s="322">
        <f>[1]CaseCE300!$AB4291</f>
        <v>25.9556105203703</v>
      </c>
      <c r="K106" s="302"/>
      <c r="L106" s="783">
        <f>[1]CaseCE300!$C4291</f>
        <v>1.52878756161443E-2</v>
      </c>
      <c r="P106" s="44" t="s">
        <v>602</v>
      </c>
      <c r="Q106" s="754">
        <f>MAX('[14]COP2 Calcs'!CD$5:CD$8764)</f>
        <v>3.9201773014371066</v>
      </c>
      <c r="R106" s="752" t="str">
        <f>MID(INDEX('[14]COP2 Calcs'!$A$5:$A$8764,MATCH(Q106,'[14]COP2 Calcs'!$CD$5:$CD$8764,0)),2,5)</f>
        <v>03/16</v>
      </c>
      <c r="S106" s="760" t="str">
        <f>MID(INDEX('[14]COP2 Calcs'!$A$5:$A$8764,MATCH(Q106,'[14]COP2 Calcs'!$CD$5:$CD$8764,0)),9,5)</f>
        <v>10:00</v>
      </c>
      <c r="T106" s="754">
        <f>MIN('[14]COP2 Calcs'!CD$5:CD$8764)</f>
        <v>2.4944901409355742</v>
      </c>
      <c r="U106" s="752" t="str">
        <f>MID(INDEX('[14]COP2 Calcs'!$A$5:$A$8764,MATCH(T106,'[14]COP2 Calcs'!$CD$5:$CD$8764,0)),2,5)</f>
        <v>07/30</v>
      </c>
      <c r="V106" s="760" t="str">
        <f>MID(INDEX('[14]COP2 Calcs'!$A$5:$A$8764,MATCH(T106,'[14]COP2 Calcs'!$CD$5:$CD$8764,0)),9,5)</f>
        <v>12:00</v>
      </c>
      <c r="W106" s="784">
        <f>MAX([19]CaseCE530!$I$2:$I$8761)</f>
        <v>25.002719853187202</v>
      </c>
      <c r="X106" s="752" t="str">
        <f>MID(INDEX([19]CaseCE530!$A$2:$A$8761,MATCH(W106,[19]CaseCE530!$I$2:$I$8761,0)),2,5)</f>
        <v>04/05</v>
      </c>
      <c r="Y106" s="760" t="str">
        <f>MID(INDEX([19]CaseCE530!$A$2:$A$8761,MATCH(W106,[19]CaseCE530!$I$2:$I$8761,0)),9,5)</f>
        <v>20:00</v>
      </c>
      <c r="Z106" s="784">
        <f>MIN([19]CaseCE530!$I$2162:$I$8761)</f>
        <v>8.9817083115594407</v>
      </c>
      <c r="AA106" s="752" t="str">
        <f>MID(INDEX([19]CaseCE530!$A$2162:$A$8761,MATCH(Z106,[19]CaseCE530!$I$2162:$I$8761,0)),2,5)</f>
        <v>12/21</v>
      </c>
      <c r="AB106" s="760" t="str">
        <f>MID(INDEX([19]CaseCE530!$A$2162:$A$8761,MATCH(Z106,[19]CaseCE530!$I$2162:$I$8761,0)),9,5)</f>
        <v>02:00</v>
      </c>
      <c r="AC106" s="781">
        <f>MAX([19]CaseCE530!$J$1658:$J$8761)</f>
        <v>6.7903925251216E-3</v>
      </c>
      <c r="AD106" s="752" t="str">
        <f>MID(INDEX([19]CaseCE530!$A$1658:$A$8761,MATCH(AC106,[19]CaseCE530!$J$1658:$J$8761,0)),2,5)</f>
        <v>03/11</v>
      </c>
      <c r="AE106" s="760" t="str">
        <f>MID(INDEX([19]CaseCE530!$A$1658:$A$8761,MATCH(AC106,[19]CaseCE530!$J$1658:$J$8761,0)),9,5)</f>
        <v>01:00</v>
      </c>
      <c r="AF106" s="781">
        <f>MIN([19]CaseCE530!$J$2162:$J$8761)</f>
        <v>6.4432480936546903E-3</v>
      </c>
      <c r="AG106" s="752" t="str">
        <f>MID(INDEX([19]CaseCE530!$A$2162:$A$8761,MATCH(AF106,[19]CaseCE530!$J$2162:$J$8761,0)),2,5)</f>
        <v>10/17</v>
      </c>
      <c r="AH106" s="760" t="str">
        <f>MID(INDEX([19]CaseCE530!$A$2162:$A$8761,MATCH(AF106,[19]CaseCE530!$J$2162:$J$8761,0)),9,5)</f>
        <v>10:00</v>
      </c>
      <c r="AI106" s="784">
        <f>MAX([19]CaseCE530!$K$2162:$K$8761)</f>
        <v>91.698039888738407</v>
      </c>
      <c r="AJ106" s="752" t="str">
        <f>MID(INDEX([19]CaseCE530!$A$2162:$A$8761,MATCH(AI106,[19]CaseCE530!$K$2162:$K$8761,0)),2,5)</f>
        <v>12/20</v>
      </c>
      <c r="AK106" s="760" t="str">
        <f>MID(INDEX([19]CaseCE530!$A$2162:$A$8761,MATCH(AI106,[19]CaseCE530!$K$2162:$K$8761,0)),9,5)</f>
        <v>11:00</v>
      </c>
      <c r="AL106" s="784">
        <f>MIN([19]CaseCE530!$K$2162:$K$8761)</f>
        <v>32.561286935521203</v>
      </c>
      <c r="AM106" s="752" t="str">
        <f>MID(INDEX([19]CaseCE530!$A$2162:$A$8761,MATCH(AL106,[19]CaseCE530!$K$2162:$K$8761,0)),2,5)</f>
        <v>04/18</v>
      </c>
      <c r="AN106" s="785" t="str">
        <f>MID(INDEX([19]CaseCE530!$A$2162:$A$8761,MATCH(AL106,[19]CaseCE530!$K$2162:$K$8761,0)),9,5)</f>
        <v>18:00</v>
      </c>
      <c r="AO106" s="88" t="s">
        <v>602</v>
      </c>
    </row>
    <row r="107" spans="1:41" ht="15.75">
      <c r="A107" s="44" t="s">
        <v>206</v>
      </c>
      <c r="B107" s="750">
        <f>[1]CaseCE300!$R4292</f>
        <v>5617.7335677797</v>
      </c>
      <c r="C107" s="780" t="s">
        <v>458</v>
      </c>
      <c r="D107" s="750">
        <f>[1]CaseCE300!$M4292/3600</f>
        <v>17082.232335008779</v>
      </c>
      <c r="E107" s="751">
        <f>[1]CaseCE300!$O4292/3600</f>
        <v>12151.736356827056</v>
      </c>
      <c r="F107" s="753">
        <f>[1]CaseCE300!$Q4292/3600</f>
        <v>4930.4959781817224</v>
      </c>
      <c r="G107" s="781">
        <f>[1]CaseCE300!$J4292</f>
        <v>1.1074776166459801E-2</v>
      </c>
      <c r="H107" s="782">
        <f t="shared" si="3"/>
        <v>3.0407694008457931</v>
      </c>
      <c r="I107" s="322">
        <f>[1]CaseCE300!$B4292</f>
        <v>29.35</v>
      </c>
      <c r="J107" s="322">
        <f>[1]CaseCE300!$AB4292</f>
        <v>25.655753439605501</v>
      </c>
      <c r="K107" s="302"/>
      <c r="L107" s="783">
        <f>[1]CaseCE300!$C4292</f>
        <v>1.49299954948694E-2</v>
      </c>
      <c r="P107" s="44" t="s">
        <v>603</v>
      </c>
      <c r="Q107" s="754">
        <f>MAX('[14]COP2 Calcs'!CJ$5:CJ$8764)</f>
        <v>3.5169385894725456</v>
      </c>
      <c r="R107" s="752" t="str">
        <f>MID(INDEX('[14]COP2 Calcs'!$A$5:$A$8764,MATCH(Q107,'[14]COP2 Calcs'!$CJ$5:$CJ$8764,0)),2,5)</f>
        <v>03/16</v>
      </c>
      <c r="S107" s="760" t="str">
        <f>MID(INDEX('[14]COP2 Calcs'!$A$5:$A$8764,MATCH(Q107,'[14]COP2 Calcs'!$CJ$5:$CJ$8764,0)),9,5)</f>
        <v>10:00</v>
      </c>
      <c r="T107" s="754">
        <f>MIN('[14]COP2 Calcs'!CJ$5:CJ$8764)</f>
        <v>2.2793721478784792</v>
      </c>
      <c r="U107" s="752" t="str">
        <f>MID(INDEX('[14]COP2 Calcs'!$A$5:$A$8764,MATCH(T107,'[14]COP2 Calcs'!$CJ$5:$CJ$8764,0)),2,5)</f>
        <v>07/30</v>
      </c>
      <c r="V107" s="760" t="str">
        <f>MID(INDEX('[14]COP2 Calcs'!$A$5:$A$8764,MATCH(T107,'[14]COP2 Calcs'!$CJ$5:$CJ$8764,0)),9,5)</f>
        <v>12:00</v>
      </c>
      <c r="W107" s="784">
        <f>MAX([20]CaseCE540!$I$2:$I$8761)</f>
        <v>15.002773741177499</v>
      </c>
      <c r="X107" s="752" t="str">
        <f>MID(INDEX([20]CaseCE540!$A$2:$A$8761,MATCH(W107,[20]CaseCE540!$I$2:$I$8761,0)),2,5)</f>
        <v>04/16</v>
      </c>
      <c r="Y107" s="760" t="str">
        <f>MID(INDEX([20]CaseCE540!$A$2:$A$8761,MATCH(W107,[20]CaseCE540!$I$2:$I$8761,0)),9,5)</f>
        <v>01:00</v>
      </c>
      <c r="Z107" s="784">
        <f>MIN([20]CaseCE540!$I$2162:$I$8761)</f>
        <v>8.8774926192274499</v>
      </c>
      <c r="AA107" s="752" t="str">
        <f>MID(INDEX([20]CaseCE540!$A$2162:$A$8761,MATCH(Z107,[20]CaseCE540!$I$2162:$I$8761,0)),2,5)</f>
        <v>12/21</v>
      </c>
      <c r="AB107" s="760" t="str">
        <f>MID(INDEX([20]CaseCE540!$A$2162:$A$8761,MATCH(Z107,[20]CaseCE540!$I$2162:$I$8761,0)),9,5)</f>
        <v>01:00</v>
      </c>
      <c r="AC107" s="781">
        <f>MAX([20]CaseCE540!$J$1658:$J$8761)</f>
        <v>6.7903925251215401E-3</v>
      </c>
      <c r="AD107" s="752" t="str">
        <f>MID(INDEX([20]CaseCE540!$A$1658:$A$8761,MATCH(AC107,[20]CaseCE540!$J$1658:$J$8761,0)),2,5)</f>
        <v>03/11</v>
      </c>
      <c r="AE107" s="760" t="str">
        <f>MID(INDEX([20]CaseCE540!$A$1658:$A$8761,MATCH(AC107,[20]CaseCE540!$J$1658:$J$8761,0)),9,5)</f>
        <v>01:00</v>
      </c>
      <c r="AF107" s="781">
        <f>MIN([20]CaseCE540!$J$2162:$J$8761)</f>
        <v>3.8106394744408601E-3</v>
      </c>
      <c r="AG107" s="752" t="str">
        <f>MID(INDEX([20]CaseCE540!$A$2162:$A$8761,MATCH(AF107,[20]CaseCE540!$J$2162:$J$8761,0)),2,5)</f>
        <v>10/17</v>
      </c>
      <c r="AH107" s="760" t="str">
        <f>MID(INDEX([20]CaseCE540!$A$2162:$A$8761,MATCH(AF107,[20]CaseCE540!$J$2162:$J$8761,0)),9,5)</f>
        <v>10:00</v>
      </c>
      <c r="AI107" s="784">
        <f>MAX([20]CaseCE540!$K$2162:$K$8761)</f>
        <v>54.855733541417997</v>
      </c>
      <c r="AJ107" s="752" t="str">
        <f>MID(INDEX([20]CaseCE540!$A$2162:$A$8761,MATCH(AI107,[20]CaseCE540!$K$2162:$K$8761,0)),2,5)</f>
        <v>12/20</v>
      </c>
      <c r="AK107" s="760" t="str">
        <f>MID(INDEX([20]CaseCE540!$A$2162:$A$8761,MATCH(AI107,[20]CaseCE540!$K$2162:$K$8761,0)),9,5)</f>
        <v>11:00</v>
      </c>
      <c r="AL107" s="784">
        <f>MIN([20]CaseCE540!$K$2162:$K$8761)</f>
        <v>35.847455780388898</v>
      </c>
      <c r="AM107" s="752" t="str">
        <f>MID(INDEX([20]CaseCE540!$A$2162:$A$8761,MATCH(AL107,[20]CaseCE540!$K$2162:$K$8761,0)),2,5)</f>
        <v>09/28</v>
      </c>
      <c r="AN107" s="785" t="str">
        <f>MID(INDEX([20]CaseCE540!$A$2162:$A$8761,MATCH(AL107,[20]CaseCE540!$K$2162:$K$8761,0)),9,5)</f>
        <v>18:00</v>
      </c>
      <c r="AO107" s="88" t="s">
        <v>603</v>
      </c>
    </row>
    <row r="108" spans="1:41" ht="15.75">
      <c r="A108" s="44" t="s">
        <v>207</v>
      </c>
      <c r="B108" s="750">
        <f>[1]CaseCE300!$R4293</f>
        <v>5315.9924434734903</v>
      </c>
      <c r="C108" s="780" t="s">
        <v>458</v>
      </c>
      <c r="D108" s="750">
        <f>[1]CaseCE300!$M4293/3600</f>
        <v>16742.994076383307</v>
      </c>
      <c r="E108" s="751">
        <f>[1]CaseCE300!$O4293/3600</f>
        <v>11537.499229337138</v>
      </c>
      <c r="F108" s="753">
        <f>[1]CaseCE300!$Q4293/3600</f>
        <v>5205.494847046195</v>
      </c>
      <c r="G108" s="781">
        <f>[1]CaseCE300!$J4293</f>
        <v>1.1126333301216E-2</v>
      </c>
      <c r="H108" s="782">
        <f t="shared" si="3"/>
        <v>3.1495518954205601</v>
      </c>
      <c r="I108" s="322">
        <f>[1]CaseCE300!$B4293</f>
        <v>27.612500000000001</v>
      </c>
      <c r="J108" s="322">
        <f>[1]CaseCE300!$AB4293</f>
        <v>25.393392931581399</v>
      </c>
      <c r="K108" s="302"/>
      <c r="L108" s="783">
        <f>[1]CaseCE300!$C4293</f>
        <v>1.59700581987407E-2</v>
      </c>
      <c r="P108" s="45" t="s">
        <v>604</v>
      </c>
      <c r="Q108" s="772">
        <f>MAX('[14]COP2 Calcs'!CP$5:CP$8764)</f>
        <v>4.2156644359779252</v>
      </c>
      <c r="R108" s="771" t="str">
        <f>MID(INDEX('[14]COP2 Calcs'!$A$5:$A$8764,MATCH(Q108,'[14]COP2 Calcs'!$CP$5:$CP$8764,0)),2,5)</f>
        <v>03/16</v>
      </c>
      <c r="S108" s="776" t="str">
        <f>MID(INDEX('[14]COP2 Calcs'!$A$5:$A$8764,MATCH(Q108,'[14]COP2 Calcs'!$CP$5:$CP$8764,0)),9,5)</f>
        <v>10:00</v>
      </c>
      <c r="T108" s="772">
        <f>MIN('[14]COP2 Calcs'!CP$5:CP$8764)</f>
        <v>2.6585379708444119</v>
      </c>
      <c r="U108" s="771" t="str">
        <f>MID(INDEX('[14]COP2 Calcs'!$A$5:$A$8764,MATCH(T108,'[14]COP2 Calcs'!$CP$5:$CP$8764,0)),2,5)</f>
        <v>07/30</v>
      </c>
      <c r="V108" s="776" t="str">
        <f>MID(INDEX('[14]COP2 Calcs'!$A$5:$A$8764,MATCH(T108,'[14]COP2 Calcs'!$CP$5:$CP$8764,0)),9,5)</f>
        <v>12:00</v>
      </c>
      <c r="W108" s="786">
        <f>MAX([21]CaseCE545!$I$2:$I$8761)</f>
        <v>35.0002964572694</v>
      </c>
      <c r="X108" s="771" t="str">
        <f>MID(INDEX([21]CaseCE545!$A$2:$A$8761,MATCH(W108,[21]CaseCE545!$I$2:$I$8761,0)),2,5)</f>
        <v>07/14</v>
      </c>
      <c r="Y108" s="776" t="str">
        <f>MID(INDEX([21]CaseCE545!$A$2:$A$8761,MATCH(W108,[21]CaseCE545!$I$2:$I$8761,0)),9,5)</f>
        <v>18:00</v>
      </c>
      <c r="Z108" s="786">
        <f>MIN([21]CaseCE545!$I$2162:$I$8761)</f>
        <v>9.0584269973109208</v>
      </c>
      <c r="AA108" s="771" t="str">
        <f>MID(INDEX([21]CaseCE545!$A$2162:$A$8761,MATCH(Z108,[21]CaseCE545!$I$2162:$I$8761,0)),2,5)</f>
        <v>12/21</v>
      </c>
      <c r="AB108" s="776" t="str">
        <f>MID(INDEX([21]CaseCE545!$A$2162:$A$8761,MATCH(Z108,[21]CaseCE545!$I$2162:$I$8761,0)),9,5)</f>
        <v>02:00</v>
      </c>
      <c r="AC108" s="787">
        <f>MAX([21]CaseCE545!$J$1658:$J$8761)</f>
        <v>6.7903925251259298E-3</v>
      </c>
      <c r="AD108" s="771" t="str">
        <f>MID(INDEX([21]CaseCE545!$A$1658:$A$8761,MATCH(AC108,[21]CaseCE545!$J$1658:$J$8761,0)),2,5)</f>
        <v>12/31</v>
      </c>
      <c r="AE108" s="776" t="str">
        <f>MID(INDEX([21]CaseCE545!$A$1658:$A$8761,MATCH(AC108,[21]CaseCE545!$J$1658:$J$8761,0)),9,5)</f>
        <v>17:00</v>
      </c>
      <c r="AF108" s="787">
        <f>MIN([21]CaseCE545!$J$2162:$J$8761)</f>
        <v>6.7903925251219504E-3</v>
      </c>
      <c r="AG108" s="771" t="str">
        <f>MID(INDEX([21]CaseCE545!$A$2162:$A$8761,MATCH(AF108,[21]CaseCE545!$J$2162:$J$8761,0)),2,5)</f>
        <v>04/01</v>
      </c>
      <c r="AH108" s="776" t="str">
        <f>MID(INDEX([21]CaseCE545!$A$2162:$A$8761,MATCH(AF108,[21]CaseCE545!$J$2162:$J$8761,0)),9,5)</f>
        <v>01:00</v>
      </c>
      <c r="AI108" s="786">
        <f>MAX([21]CaseCE545!$K$2162:$K$8761)</f>
        <v>96.073979938067893</v>
      </c>
      <c r="AJ108" s="771" t="str">
        <f>MID(INDEX([21]CaseCE545!$A$2162:$A$8761,MATCH(AI108,[21]CaseCE545!$K$2162:$K$8761,0)),2,5)</f>
        <v>12/20</v>
      </c>
      <c r="AK108" s="776" t="str">
        <f>MID(INDEX([21]CaseCE545!$A$2162:$A$8761,MATCH(AI108,[21]CaseCE545!$K$2162:$K$8761,0)),9,5)</f>
        <v>11:00</v>
      </c>
      <c r="AL108" s="786">
        <f>MIN([21]CaseCE545!$K$2162:$K$8761)</f>
        <v>19.246742663165101</v>
      </c>
      <c r="AM108" s="771" t="str">
        <f>MID(INDEX([21]CaseCE545!$A$2162:$A$8761,MATCH(AL108,[21]CaseCE545!$K$2162:$K$8761,0)),2,5)</f>
        <v>04/18</v>
      </c>
      <c r="AN108" s="788" t="str">
        <f>MID(INDEX([21]CaseCE545!$A$2162:$A$8761,MATCH(AL108,[21]CaseCE545!$K$2162:$K$8761,0)),9,5)</f>
        <v>17:00</v>
      </c>
      <c r="AO108" s="92" t="s">
        <v>604</v>
      </c>
    </row>
    <row r="109" spans="1:41" ht="15.75">
      <c r="A109" s="44" t="s">
        <v>208</v>
      </c>
      <c r="B109" s="750">
        <f>[1]CaseCE300!$R4294</f>
        <v>4369.55146874007</v>
      </c>
      <c r="C109" s="780" t="s">
        <v>458</v>
      </c>
      <c r="D109" s="750">
        <f>[1]CaseCE300!$M4294/3600</f>
        <v>13611.423923589224</v>
      </c>
      <c r="E109" s="751">
        <f>[1]CaseCE300!$O4294/3600</f>
        <v>9049.8698998548061</v>
      </c>
      <c r="F109" s="753">
        <f>[1]CaseCE300!$Q4294/3600</f>
        <v>4561.5540237343894</v>
      </c>
      <c r="G109" s="781">
        <f>[1]CaseCE300!$J4294</f>
        <v>1.1354563437724299E-2</v>
      </c>
      <c r="H109" s="782">
        <f t="shared" si="3"/>
        <v>3.1150620426297402</v>
      </c>
      <c r="I109" s="322">
        <f>[1]CaseCE300!$B4294</f>
        <v>27.2</v>
      </c>
      <c r="J109" s="322">
        <f>[1]CaseCE300!$AB4294</f>
        <v>25.3330402686227</v>
      </c>
      <c r="K109" s="302"/>
      <c r="L109" s="783">
        <f>[1]CaseCE300!$C4294</f>
        <v>1.68097357982845E-2</v>
      </c>
      <c r="P109" s="343" t="s">
        <v>409</v>
      </c>
    </row>
    <row r="110" spans="1:41" ht="15.75">
      <c r="A110" s="44" t="s">
        <v>209</v>
      </c>
      <c r="B110" s="750">
        <f>[1]CaseCE300!$R4295</f>
        <v>4323.8097400667903</v>
      </c>
      <c r="C110" s="780" t="s">
        <v>458</v>
      </c>
      <c r="D110" s="750">
        <f>[1]CaseCE300!$M4295/3600</f>
        <v>13561.302379942472</v>
      </c>
      <c r="E110" s="751">
        <f>[1]CaseCE300!$O4295/3600</f>
        <v>8939.7425389421678</v>
      </c>
      <c r="F110" s="753">
        <f>[1]CaseCE300!$Q4295/3600</f>
        <v>4621.5598410003331</v>
      </c>
      <c r="G110" s="781">
        <f>[1]CaseCE300!$J4295</f>
        <v>1.1403373047196901E-2</v>
      </c>
      <c r="H110" s="782">
        <f t="shared" si="3"/>
        <v>3.1364244023681276</v>
      </c>
      <c r="I110" s="322">
        <f>[1]CaseCE300!$B4295</f>
        <v>26.887499999999999</v>
      </c>
      <c r="J110" s="322">
        <f>[1]CaseCE300!$AB4295</f>
        <v>25.286450951241498</v>
      </c>
      <c r="K110" s="302"/>
      <c r="L110" s="783">
        <f>[1]CaseCE300!$C4295</f>
        <v>1.6771127794541499E-2</v>
      </c>
    </row>
    <row r="111" spans="1:41" ht="15.75">
      <c r="A111" s="44" t="s">
        <v>210</v>
      </c>
      <c r="B111" s="750">
        <f>[1]CaseCE300!$R4296</f>
        <v>4215.9980080012201</v>
      </c>
      <c r="C111" s="780" t="s">
        <v>458</v>
      </c>
      <c r="D111" s="750">
        <f>[1]CaseCE300!$M4296/3600</f>
        <v>13364.985006381361</v>
      </c>
      <c r="E111" s="751">
        <f>[1]CaseCE300!$O4296/3600</f>
        <v>8740.967918290029</v>
      </c>
      <c r="F111" s="753">
        <f>[1]CaseCE300!$Q4296/3600</f>
        <v>4624.0170880913329</v>
      </c>
      <c r="G111" s="781">
        <f>[1]CaseCE300!$J4296</f>
        <v>1.14201747031373E-2</v>
      </c>
      <c r="H111" s="782">
        <f t="shared" si="3"/>
        <v>3.1700643551104575</v>
      </c>
      <c r="I111" s="322">
        <f>[1]CaseCE300!$B4296</f>
        <v>26.324999999999999</v>
      </c>
      <c r="J111" s="322">
        <f>[1]CaseCE300!$AB4296</f>
        <v>25.201337204379801</v>
      </c>
      <c r="K111" s="302"/>
      <c r="L111" s="783">
        <f>[1]CaseCE300!$C4296</f>
        <v>1.6784233128060998E-2</v>
      </c>
    </row>
    <row r="112" spans="1:41" ht="15.75">
      <c r="A112" s="45" t="s">
        <v>211</v>
      </c>
      <c r="B112" s="769">
        <f>[1]CaseCE300!$R4297</f>
        <v>4194.2432078709999</v>
      </c>
      <c r="C112" s="771" t="s">
        <v>458</v>
      </c>
      <c r="D112" s="769">
        <f>[1]CaseCE300!$M4297/3600</f>
        <v>13370.466508481557</v>
      </c>
      <c r="E112" s="770">
        <f>[1]CaseCE300!$O4297/3600</f>
        <v>8661.2370787404452</v>
      </c>
      <c r="F112" s="770">
        <f>[1]CaseCE300!$Q4297/3600</f>
        <v>4709.2294297411108</v>
      </c>
      <c r="G112" s="787">
        <f>[1]CaseCE300!$J4297</f>
        <v>1.14762851267476E-2</v>
      </c>
      <c r="H112" s="789">
        <f t="shared" si="3"/>
        <v>3.1878138309648509</v>
      </c>
      <c r="I112" s="790">
        <f>[1]CaseCE300!$B4297</f>
        <v>26.1</v>
      </c>
      <c r="J112" s="790">
        <f>[1]CaseCE300!$AB4297</f>
        <v>25.167379966261201</v>
      </c>
      <c r="K112" s="296"/>
      <c r="L112" s="791">
        <f>[1]CaseCE300!$C4297</f>
        <v>1.7076690060884501E-2</v>
      </c>
    </row>
    <row r="115" spans="1:12">
      <c r="A115" s="41"/>
      <c r="B115" s="41" t="s">
        <v>614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</row>
    <row r="116" spans="1:12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7"/>
    </row>
    <row r="117" spans="1:12">
      <c r="A117" s="44"/>
      <c r="B117" s="741" t="s">
        <v>143</v>
      </c>
      <c r="C117" s="742"/>
      <c r="D117" s="742"/>
      <c r="E117" s="743"/>
      <c r="F117" s="44" t="s">
        <v>144</v>
      </c>
      <c r="G117" s="120"/>
      <c r="I117" s="51" t="s">
        <v>361</v>
      </c>
      <c r="J117" s="88"/>
      <c r="K117" s="41"/>
      <c r="L117" s="43"/>
    </row>
    <row r="118" spans="1:12">
      <c r="A118" s="44" t="s">
        <v>213</v>
      </c>
      <c r="B118" s="51" t="s">
        <v>4</v>
      </c>
      <c r="C118" s="252" t="s">
        <v>5</v>
      </c>
      <c r="D118" s="49" t="s">
        <v>84</v>
      </c>
      <c r="E118" s="49" t="s">
        <v>85</v>
      </c>
      <c r="F118" s="51" t="s">
        <v>4</v>
      </c>
      <c r="G118" s="252" t="s">
        <v>6</v>
      </c>
      <c r="H118" s="49" t="s">
        <v>7</v>
      </c>
      <c r="I118" s="51" t="s">
        <v>372</v>
      </c>
      <c r="J118" s="89" t="s">
        <v>150</v>
      </c>
      <c r="K118" s="263" t="s">
        <v>151</v>
      </c>
      <c r="L118" s="91" t="s">
        <v>152</v>
      </c>
    </row>
    <row r="119" spans="1:12">
      <c r="A119" s="45"/>
      <c r="B119" s="52" t="s">
        <v>156</v>
      </c>
      <c r="C119" s="53" t="s">
        <v>156</v>
      </c>
      <c r="D119" s="53" t="s">
        <v>156</v>
      </c>
      <c r="E119" s="53" t="s">
        <v>156</v>
      </c>
      <c r="F119" s="52" t="s">
        <v>156</v>
      </c>
      <c r="G119" s="53" t="s">
        <v>156</v>
      </c>
      <c r="H119" s="53" t="s">
        <v>156</v>
      </c>
      <c r="I119" s="52" t="s">
        <v>157</v>
      </c>
      <c r="J119" s="92"/>
      <c r="K119" s="52" t="s">
        <v>11</v>
      </c>
      <c r="L119" s="54" t="s">
        <v>11</v>
      </c>
    </row>
    <row r="120" spans="1:12" ht="15.75">
      <c r="A120" s="100" t="s">
        <v>214</v>
      </c>
      <c r="B120" s="750">
        <f>C120+E120</f>
        <v>4019.3858425714552</v>
      </c>
      <c r="C120" s="751">
        <f>AVERAGE([13]CaseCE500!$R$2858:$R$2881)</f>
        <v>3501.4974209034444</v>
      </c>
      <c r="D120" s="752" t="s">
        <v>458</v>
      </c>
      <c r="E120" s="792">
        <f>AVERAGE([13]CaseCE500!$V$2858:$V$2881)</f>
        <v>517.88842166801089</v>
      </c>
      <c r="F120" s="751">
        <f>AVERAGE([13]CaseCE500!$M$2858:$M$2881)/3600</f>
        <v>13653.763338976147</v>
      </c>
      <c r="G120" s="751">
        <f>AVERAGE([13]CaseCE500!$O$2858:$O$2881)/3600</f>
        <v>9849.8338558795549</v>
      </c>
      <c r="H120" s="792">
        <f>AVERAGE([13]CaseCE500!$Q$2858:$Q$2881)/3600</f>
        <v>3803.929483096591</v>
      </c>
      <c r="I120" s="793">
        <f>AVERAGE([13]CaseCE500!$J$2858:$J$2881)</f>
        <v>1.0645793746137146E-2</v>
      </c>
      <c r="J120" s="782">
        <f>AVERAGE('[14]COP2 Calcs'!AZ2861:AZ2884)</f>
        <v>3.8587604373732227</v>
      </c>
      <c r="K120" s="794">
        <f>AVERAGE([13]CaseCE500!$B$2858:$B$2881)</f>
        <v>16.814583333333328</v>
      </c>
      <c r="L120" s="795">
        <f>AVERAGE([13]CaseCE500!$AA$2858:$AA$2881)</f>
        <v>24.982041663411625</v>
      </c>
    </row>
    <row r="121" spans="1:12" ht="15.75">
      <c r="A121" s="101" t="s">
        <v>215</v>
      </c>
      <c r="B121" s="769">
        <f>C121+E121</f>
        <v>5244.3835996197358</v>
      </c>
      <c r="C121" s="796">
        <f>AVERAGE([13]CaseCE500!$R$4202:$R$4225)</f>
        <v>4677.7875489138705</v>
      </c>
      <c r="D121" s="771" t="s">
        <v>458</v>
      </c>
      <c r="E121" s="797">
        <f>AVERAGE([13]CaseCE500!$V$4202:$V$4225)</f>
        <v>566.59605070586565</v>
      </c>
      <c r="F121" s="796">
        <f>AVERAGE([13]CaseCE500!$M$4202:$M$4225)/3600</f>
        <v>13734.007060097918</v>
      </c>
      <c r="G121" s="796">
        <f>AVERAGE([13]CaseCE500!$O$4202:$O$4225)/3600</f>
        <v>9923.7580169425255</v>
      </c>
      <c r="H121" s="797">
        <f>AVERAGE([13]CaseCE500!$Q$4202:$Q$4225)/3600</f>
        <v>3810.2490431553888</v>
      </c>
      <c r="I121" s="798">
        <f>AVERAGE([13]CaseCE500!$J$4202:$J$4225)</f>
        <v>1.114369293329249E-2</v>
      </c>
      <c r="J121" s="789">
        <f>AVERAGE('[14]COP2 Calcs'!AZ4205:AZ4228)</f>
        <v>2.9345909693689873</v>
      </c>
      <c r="K121" s="799">
        <f>AVERAGE([13]CaseCE500!$B$4202:$B$4225)</f>
        <v>29.516666666666666</v>
      </c>
      <c r="L121" s="800">
        <f>AVERAGE([13]CaseCE500!$AA$4202:$AA$4225)</f>
        <v>24.983132681459704</v>
      </c>
    </row>
    <row r="124" spans="1:12">
      <c r="A124" s="41"/>
      <c r="B124" s="41" t="s">
        <v>615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3"/>
    </row>
    <row r="125" spans="1:12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7"/>
    </row>
    <row r="126" spans="1:12">
      <c r="A126" s="44"/>
      <c r="B126" s="741" t="s">
        <v>143</v>
      </c>
      <c r="C126" s="742"/>
      <c r="D126" s="742"/>
      <c r="E126" s="743"/>
      <c r="F126" s="44" t="s">
        <v>144</v>
      </c>
      <c r="G126" s="120"/>
      <c r="I126" s="51" t="s">
        <v>361</v>
      </c>
      <c r="J126" s="88"/>
      <c r="K126" s="41"/>
      <c r="L126" s="43"/>
    </row>
    <row r="127" spans="1:12">
      <c r="A127" s="44" t="s">
        <v>213</v>
      </c>
      <c r="B127" s="51" t="s">
        <v>4</v>
      </c>
      <c r="C127" s="252" t="s">
        <v>5</v>
      </c>
      <c r="D127" s="49" t="s">
        <v>84</v>
      </c>
      <c r="E127" s="49" t="s">
        <v>85</v>
      </c>
      <c r="F127" s="51" t="s">
        <v>4</v>
      </c>
      <c r="G127" s="252" t="s">
        <v>6</v>
      </c>
      <c r="H127" s="49" t="s">
        <v>7</v>
      </c>
      <c r="I127" s="51" t="s">
        <v>372</v>
      </c>
      <c r="J127" s="89" t="s">
        <v>150</v>
      </c>
      <c r="K127" s="263" t="s">
        <v>151</v>
      </c>
      <c r="L127" s="91" t="s">
        <v>152</v>
      </c>
    </row>
    <row r="128" spans="1:12">
      <c r="A128" s="45"/>
      <c r="B128" s="52" t="s">
        <v>156</v>
      </c>
      <c r="C128" s="53" t="s">
        <v>156</v>
      </c>
      <c r="D128" s="53" t="s">
        <v>156</v>
      </c>
      <c r="E128" s="53" t="s">
        <v>156</v>
      </c>
      <c r="F128" s="52" t="s">
        <v>156</v>
      </c>
      <c r="G128" s="53" t="s">
        <v>156</v>
      </c>
      <c r="H128" s="53" t="s">
        <v>156</v>
      </c>
      <c r="I128" s="52" t="s">
        <v>157</v>
      </c>
      <c r="J128" s="92"/>
      <c r="K128" s="52" t="s">
        <v>11</v>
      </c>
      <c r="L128" s="54" t="s">
        <v>11</v>
      </c>
    </row>
    <row r="129" spans="1:12" ht="15.75">
      <c r="A129" s="100" t="s">
        <v>214</v>
      </c>
      <c r="B129" s="750">
        <f>C129+E129</f>
        <v>3131.8976563763549</v>
      </c>
      <c r="C129" s="751">
        <f>AVERAGE([19]CaseCE530!$R$2858:$R$2881)</f>
        <v>2716.0205973113402</v>
      </c>
      <c r="D129" s="752" t="s">
        <v>458</v>
      </c>
      <c r="E129" s="792">
        <f>AVERAGE([19]CaseCE530!$V$2858:$V$2881)</f>
        <v>415.87705906501475</v>
      </c>
      <c r="F129" s="751">
        <f>AVERAGE([19]CaseCE530!$M$2858:$M$2881)/3600</f>
        <v>9778.7416308953834</v>
      </c>
      <c r="G129" s="751">
        <f>AVERAGE([19]CaseCE530!$O$2858:$O$2881)/3600</f>
        <v>9778.7416308953834</v>
      </c>
      <c r="H129" s="792">
        <f>AVERAGE([19]CaseCE530!$Q$2858:$Q$2881)/3600</f>
        <v>3.018175010327933E-13</v>
      </c>
      <c r="I129" s="793">
        <f>AVERAGE([19]CaseCE530!$J$2858:$J$2881)</f>
        <v>6.4660444823903237E-3</v>
      </c>
      <c r="J129" s="782">
        <f>AVERAGE('[14]COP2 Calcs'!CD2870:CD2893)</f>
        <v>3.404803033593343</v>
      </c>
      <c r="K129" s="794">
        <f>AVERAGE([19]CaseCE530!$B$2858:$B$2881)</f>
        <v>16.814583333333328</v>
      </c>
      <c r="L129" s="795">
        <f>AVERAGE([19]CaseCE530!$Z$2858:$Z$2881)</f>
        <v>25.000255781051795</v>
      </c>
    </row>
    <row r="130" spans="1:12" ht="15.75">
      <c r="A130" s="101" t="s">
        <v>215</v>
      </c>
      <c r="B130" s="769">
        <f>C130+E130</f>
        <v>4090.89168453414</v>
      </c>
      <c r="C130" s="796">
        <f>AVERAGE([19]CaseCE530!$R$4202:$R$4225)</f>
        <v>3632.6991491374024</v>
      </c>
      <c r="D130" s="771" t="s">
        <v>458</v>
      </c>
      <c r="E130" s="797">
        <f>AVERAGE([19]CaseCE530!$V$4202:$V$4225)</f>
        <v>458.19253539673741</v>
      </c>
      <c r="F130" s="796">
        <f>AVERAGE([19]CaseCE530!$M$4202:$M$4225)/3600</f>
        <v>9843.2403264951936</v>
      </c>
      <c r="G130" s="796">
        <f>AVERAGE([19]CaseCE530!$O$4202:$O$4225)/3600</f>
        <v>9843.2403264951936</v>
      </c>
      <c r="H130" s="797">
        <f>AVERAGE([19]CaseCE530!$Q$4202:$Q$4225)/3600</f>
        <v>3.5571348336007786E-13</v>
      </c>
      <c r="I130" s="798">
        <f>AVERAGE([19]CaseCE530!$J$4202:$J$4225)</f>
        <v>6.466044482391132E-3</v>
      </c>
      <c r="J130" s="789">
        <f>AVERAGE('[14]COP2 Calcs'!CD4214:CD4237)</f>
        <v>2.7404773631230217</v>
      </c>
      <c r="K130" s="799">
        <f>AVERAGE([19]CaseCE530!$B$4202:$B$4225)</f>
        <v>29.516666666666666</v>
      </c>
      <c r="L130" s="800">
        <f>AVERAGE([19]CaseCE530!$Z$4202:$Z$4225)</f>
        <v>25.000291827635262</v>
      </c>
    </row>
    <row r="134" spans="1:12">
      <c r="B134" t="s">
        <v>459</v>
      </c>
    </row>
  </sheetData>
  <mergeCells count="9">
    <mergeCell ref="AC58:AH58"/>
    <mergeCell ref="AC56:AH56"/>
    <mergeCell ref="Q56:AB56"/>
    <mergeCell ref="T59:AB59"/>
    <mergeCell ref="B117:E117"/>
    <mergeCell ref="B126:E126"/>
    <mergeCell ref="Q84:AB84"/>
    <mergeCell ref="AC84:AN84"/>
    <mergeCell ref="AF60:AH60"/>
  </mergeCells>
  <phoneticPr fontId="0" type="noConversion"/>
  <pageMargins left="0.75" right="0.75" top="1" bottom="1" header="0.5" footer="0.5"/>
  <pageSetup scale="23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30"/>
  <sheetViews>
    <sheetView zoomScale="75" workbookViewId="0">
      <selection activeCell="AG115" sqref="AG115"/>
    </sheetView>
  </sheetViews>
  <sheetFormatPr defaultRowHeight="15"/>
  <cols>
    <col min="35" max="35" width="10.109375" bestFit="1" customWidth="1"/>
  </cols>
  <sheetData>
    <row r="1" spans="1:9">
      <c r="A1" t="s">
        <v>399</v>
      </c>
      <c r="G1" t="s">
        <v>467</v>
      </c>
    </row>
    <row r="2" spans="1:9">
      <c r="A2" t="s">
        <v>32</v>
      </c>
      <c r="G2" t="s">
        <v>451</v>
      </c>
      <c r="I2" t="s">
        <v>468</v>
      </c>
    </row>
    <row r="3" spans="1:9" ht="15.75">
      <c r="A3" s="71" t="s">
        <v>479</v>
      </c>
    </row>
    <row r="4" spans="1:9">
      <c r="A4" t="s">
        <v>0</v>
      </c>
    </row>
    <row r="6" spans="1:9">
      <c r="A6" t="s">
        <v>21</v>
      </c>
    </row>
    <row r="8" spans="1:9">
      <c r="A8" t="s">
        <v>33</v>
      </c>
    </row>
    <row r="10" spans="1:9">
      <c r="B10" s="49" t="s">
        <v>377</v>
      </c>
      <c r="C10" s="49"/>
      <c r="D10" t="s">
        <v>34</v>
      </c>
    </row>
    <row r="11" spans="1:9">
      <c r="B11" s="49" t="s">
        <v>378</v>
      </c>
      <c r="C11" s="49"/>
      <c r="D11" t="s">
        <v>379</v>
      </c>
    </row>
    <row r="12" spans="1:9">
      <c r="B12" s="49" t="s">
        <v>380</v>
      </c>
      <c r="C12" s="49"/>
      <c r="D12" t="s">
        <v>35</v>
      </c>
    </row>
    <row r="13" spans="1:9">
      <c r="B13" s="49" t="s">
        <v>381</v>
      </c>
      <c r="C13" s="49"/>
      <c r="D13" t="s">
        <v>36</v>
      </c>
    </row>
    <row r="14" spans="1:9">
      <c r="B14" s="49" t="s">
        <v>382</v>
      </c>
      <c r="C14" s="49"/>
      <c r="D14" t="s">
        <v>37</v>
      </c>
    </row>
    <row r="15" spans="1:9">
      <c r="B15" s="49" t="s">
        <v>383</v>
      </c>
      <c r="C15" s="49"/>
      <c r="D15" t="s">
        <v>38</v>
      </c>
    </row>
    <row r="16" spans="1:9">
      <c r="B16" s="49" t="s">
        <v>384</v>
      </c>
      <c r="C16" s="49"/>
      <c r="D16" t="s">
        <v>385</v>
      </c>
    </row>
    <row r="17" spans="1:4">
      <c r="B17" s="49" t="s">
        <v>386</v>
      </c>
      <c r="C17" s="49"/>
      <c r="D17" t="s">
        <v>39</v>
      </c>
    </row>
    <row r="18" spans="1:4">
      <c r="B18" s="49"/>
      <c r="C18" s="49"/>
    </row>
    <row r="19" spans="1:4">
      <c r="A19" t="s">
        <v>40</v>
      </c>
    </row>
    <row r="20" spans="1:4">
      <c r="A20" t="s">
        <v>41</v>
      </c>
    </row>
    <row r="21" spans="1:4">
      <c r="A21" t="s">
        <v>42</v>
      </c>
    </row>
    <row r="22" spans="1:4">
      <c r="A22" t="s">
        <v>43</v>
      </c>
    </row>
    <row r="24" spans="1:4">
      <c r="A24" t="s">
        <v>44</v>
      </c>
    </row>
    <row r="25" spans="1:4">
      <c r="A25" t="s">
        <v>45</v>
      </c>
    </row>
    <row r="27" spans="1:4">
      <c r="A27" t="s">
        <v>46</v>
      </c>
    </row>
    <row r="28" spans="1:4">
      <c r="A28" t="s">
        <v>47</v>
      </c>
    </row>
    <row r="30" spans="1:4">
      <c r="A30" t="s">
        <v>48</v>
      </c>
    </row>
    <row r="32" spans="1:4">
      <c r="B32" t="s">
        <v>49</v>
      </c>
      <c r="D32" s="72" t="s">
        <v>50</v>
      </c>
    </row>
    <row r="34" spans="1:4">
      <c r="B34" t="s">
        <v>51</v>
      </c>
      <c r="D34" s="72" t="s">
        <v>52</v>
      </c>
    </row>
    <row r="35" spans="1:4">
      <c r="B35" t="s">
        <v>53</v>
      </c>
      <c r="D35" s="72" t="s">
        <v>54</v>
      </c>
    </row>
    <row r="36" spans="1:4">
      <c r="B36" t="s">
        <v>55</v>
      </c>
      <c r="D36" s="72" t="s">
        <v>56</v>
      </c>
    </row>
    <row r="37" spans="1:4">
      <c r="B37" t="s">
        <v>57</v>
      </c>
      <c r="D37" s="72" t="s">
        <v>58</v>
      </c>
    </row>
    <row r="38" spans="1:4">
      <c r="B38" t="s">
        <v>59</v>
      </c>
      <c r="D38" s="72" t="s">
        <v>60</v>
      </c>
    </row>
    <row r="39" spans="1:4">
      <c r="B39" t="s">
        <v>61</v>
      </c>
      <c r="D39" s="72" t="s">
        <v>62</v>
      </c>
    </row>
    <row r="40" spans="1:4">
      <c r="B40" t="s">
        <v>63</v>
      </c>
      <c r="D40" s="72" t="s">
        <v>64</v>
      </c>
    </row>
    <row r="41" spans="1:4">
      <c r="B41" t="s">
        <v>65</v>
      </c>
      <c r="D41" s="72" t="s">
        <v>66</v>
      </c>
    </row>
    <row r="42" spans="1:4">
      <c r="B42" t="s">
        <v>67</v>
      </c>
      <c r="D42" s="72" t="s">
        <v>68</v>
      </c>
    </row>
    <row r="43" spans="1:4">
      <c r="B43" t="s">
        <v>69</v>
      </c>
      <c r="D43" s="72" t="s">
        <v>70</v>
      </c>
    </row>
    <row r="44" spans="1:4">
      <c r="B44" t="s">
        <v>71</v>
      </c>
      <c r="D44" s="72" t="s">
        <v>72</v>
      </c>
    </row>
    <row r="45" spans="1:4">
      <c r="B45" t="s">
        <v>73</v>
      </c>
      <c r="D45" s="72" t="s">
        <v>74</v>
      </c>
    </row>
    <row r="47" spans="1:4">
      <c r="A47" t="s">
        <v>75</v>
      </c>
    </row>
    <row r="48" spans="1:4">
      <c r="A48" t="s">
        <v>76</v>
      </c>
    </row>
    <row r="49" spans="1:34">
      <c r="B49" s="49" t="s">
        <v>77</v>
      </c>
      <c r="C49" s="49"/>
      <c r="D49" s="72" t="s">
        <v>78</v>
      </c>
    </row>
    <row r="51" spans="1:34">
      <c r="B51" s="73">
        <v>36388</v>
      </c>
      <c r="C51" s="73"/>
      <c r="D51" s="72" t="s">
        <v>79</v>
      </c>
    </row>
    <row r="56" spans="1:34">
      <c r="A56" s="518"/>
      <c r="B56" s="519"/>
      <c r="C56" s="520"/>
      <c r="D56" s="520" t="s">
        <v>80</v>
      </c>
      <c r="E56" s="520"/>
      <c r="F56" s="520"/>
      <c r="G56" s="520"/>
      <c r="H56" s="521"/>
      <c r="I56" s="519" t="s">
        <v>81</v>
      </c>
      <c r="J56" s="520"/>
      <c r="K56" s="520"/>
      <c r="L56" s="521"/>
      <c r="M56" s="558" t="s">
        <v>357</v>
      </c>
      <c r="N56" s="559"/>
      <c r="O56" s="42"/>
      <c r="P56" s="518"/>
      <c r="Q56" s="519" t="s">
        <v>358</v>
      </c>
      <c r="R56" s="520"/>
      <c r="S56" s="520"/>
      <c r="T56" s="520"/>
      <c r="U56" s="520"/>
      <c r="V56" s="520"/>
      <c r="W56" s="520"/>
      <c r="X56" s="520"/>
      <c r="Y56" s="520"/>
      <c r="Z56" s="520"/>
      <c r="AA56" s="520"/>
      <c r="AB56" s="521"/>
      <c r="AC56" s="42"/>
      <c r="AD56" s="42" t="s">
        <v>359</v>
      </c>
      <c r="AE56" s="42"/>
      <c r="AF56" s="42"/>
      <c r="AG56" s="42"/>
      <c r="AH56" s="43"/>
    </row>
    <row r="57" spans="1:34">
      <c r="A57" s="522"/>
      <c r="B57" s="523"/>
      <c r="C57" s="524"/>
      <c r="D57" s="524"/>
      <c r="E57" s="524"/>
      <c r="F57" s="524"/>
      <c r="G57" s="524"/>
      <c r="H57" s="525"/>
      <c r="I57" s="523"/>
      <c r="J57" s="524"/>
      <c r="K57" s="524"/>
      <c r="L57" s="525"/>
      <c r="M57" s="560" t="s">
        <v>360</v>
      </c>
      <c r="N57" s="561"/>
      <c r="O57" s="120"/>
      <c r="P57" s="522"/>
      <c r="Q57" s="523"/>
      <c r="R57" s="524"/>
      <c r="S57" s="524"/>
      <c r="T57" s="524"/>
      <c r="U57" s="524"/>
      <c r="V57" s="524"/>
      <c r="W57" s="524"/>
      <c r="X57" s="524"/>
      <c r="Y57" s="524"/>
      <c r="Z57" s="524"/>
      <c r="AA57" s="524"/>
      <c r="AB57" s="525"/>
      <c r="AC57" s="46"/>
      <c r="AD57" s="46"/>
      <c r="AE57" s="46"/>
      <c r="AF57" s="46"/>
      <c r="AG57" s="46"/>
      <c r="AH57" s="47"/>
    </row>
    <row r="58" spans="1:34">
      <c r="A58" s="522"/>
      <c r="B58" s="519"/>
      <c r="C58" s="520"/>
      <c r="D58" s="520"/>
      <c r="E58" s="521"/>
      <c r="F58" s="519"/>
      <c r="G58" s="520"/>
      <c r="H58" s="521"/>
      <c r="I58" s="519"/>
      <c r="J58" s="520"/>
      <c r="K58" s="526" t="s">
        <v>361</v>
      </c>
      <c r="L58" s="527" t="s">
        <v>361</v>
      </c>
      <c r="M58" s="110"/>
      <c r="N58" s="650" t="s">
        <v>362</v>
      </c>
      <c r="O58" s="49"/>
      <c r="P58" s="522"/>
      <c r="Q58" s="519"/>
      <c r="R58" s="520"/>
      <c r="S58" s="521"/>
      <c r="T58" s="519"/>
      <c r="U58" s="520"/>
      <c r="V58" s="520"/>
      <c r="W58" s="520"/>
      <c r="X58" s="520"/>
      <c r="Y58" s="520"/>
      <c r="Z58" s="520"/>
      <c r="AA58" s="520"/>
      <c r="AB58" s="521"/>
      <c r="AD58" t="s">
        <v>363</v>
      </c>
      <c r="AH58" s="43"/>
    </row>
    <row r="59" spans="1:34">
      <c r="A59" s="522"/>
      <c r="B59" s="528" t="s">
        <v>364</v>
      </c>
      <c r="C59" s="110"/>
      <c r="D59" s="110"/>
      <c r="E59" s="529"/>
      <c r="F59" s="528" t="s">
        <v>365</v>
      </c>
      <c r="G59" s="110"/>
      <c r="H59" s="529"/>
      <c r="I59" s="528"/>
      <c r="J59" s="110"/>
      <c r="K59" s="530" t="s">
        <v>2</v>
      </c>
      <c r="L59" s="531" t="s">
        <v>82</v>
      </c>
      <c r="M59" s="110"/>
      <c r="N59" s="650" t="s">
        <v>2</v>
      </c>
      <c r="O59" s="49" t="s">
        <v>82</v>
      </c>
      <c r="P59" s="522"/>
      <c r="R59" s="532" t="s">
        <v>366</v>
      </c>
      <c r="S59" s="529"/>
      <c r="T59" s="528"/>
      <c r="U59" s="110"/>
      <c r="V59" s="110" t="s">
        <v>83</v>
      </c>
      <c r="X59" s="110"/>
      <c r="Y59" s="110"/>
      <c r="Z59" s="110"/>
      <c r="AA59" s="110"/>
      <c r="AB59" s="529"/>
      <c r="AE59" s="48"/>
      <c r="AH59" s="48"/>
    </row>
    <row r="60" spans="1:34">
      <c r="A60" s="522" t="s">
        <v>3</v>
      </c>
      <c r="B60" s="533" t="s">
        <v>4</v>
      </c>
      <c r="C60" s="530" t="s">
        <v>5</v>
      </c>
      <c r="D60" s="530" t="s">
        <v>84</v>
      </c>
      <c r="E60" s="531" t="s">
        <v>85</v>
      </c>
      <c r="F60" s="533" t="s">
        <v>4</v>
      </c>
      <c r="G60" s="530" t="s">
        <v>6</v>
      </c>
      <c r="H60" s="531" t="s">
        <v>7</v>
      </c>
      <c r="I60" s="533" t="s">
        <v>86</v>
      </c>
      <c r="J60" s="530" t="s">
        <v>8</v>
      </c>
      <c r="K60" s="530" t="s">
        <v>9</v>
      </c>
      <c r="L60" s="531" t="s">
        <v>2</v>
      </c>
      <c r="M60" s="530" t="s">
        <v>151</v>
      </c>
      <c r="N60" s="650" t="s">
        <v>9</v>
      </c>
      <c r="O60" s="49" t="s">
        <v>2</v>
      </c>
      <c r="P60" s="522" t="s">
        <v>3</v>
      </c>
      <c r="R60" s="532" t="s">
        <v>87</v>
      </c>
      <c r="S60" s="529"/>
      <c r="T60" s="528"/>
      <c r="U60" s="530" t="s">
        <v>6</v>
      </c>
      <c r="V60" s="110"/>
      <c r="W60" s="69"/>
      <c r="X60" s="530" t="s">
        <v>7</v>
      </c>
      <c r="Y60" s="110"/>
      <c r="Z60" s="69" t="s">
        <v>88</v>
      </c>
      <c r="AA60" s="110"/>
      <c r="AB60" s="529"/>
      <c r="AD60" t="s">
        <v>367</v>
      </c>
      <c r="AE60" s="48"/>
      <c r="AF60" t="s">
        <v>368</v>
      </c>
      <c r="AH60" s="48"/>
    </row>
    <row r="61" spans="1:34">
      <c r="A61" s="534"/>
      <c r="B61" s="535" t="s">
        <v>10</v>
      </c>
      <c r="C61" s="536" t="s">
        <v>10</v>
      </c>
      <c r="D61" s="536" t="s">
        <v>10</v>
      </c>
      <c r="E61" s="537" t="s">
        <v>10</v>
      </c>
      <c r="F61" s="535" t="s">
        <v>10</v>
      </c>
      <c r="G61" s="536" t="s">
        <v>10</v>
      </c>
      <c r="H61" s="537" t="s">
        <v>10</v>
      </c>
      <c r="I61" s="523"/>
      <c r="J61" s="536" t="s">
        <v>11</v>
      </c>
      <c r="K61" s="536" t="s">
        <v>22</v>
      </c>
      <c r="L61" s="537" t="s">
        <v>89</v>
      </c>
      <c r="M61" s="568" t="s">
        <v>11</v>
      </c>
      <c r="N61" s="569" t="s">
        <v>22</v>
      </c>
      <c r="O61" s="53" t="s">
        <v>89</v>
      </c>
      <c r="P61" s="538"/>
      <c r="Q61" s="535" t="s">
        <v>90</v>
      </c>
      <c r="R61" s="536" t="s">
        <v>77</v>
      </c>
      <c r="S61" s="537" t="s">
        <v>78</v>
      </c>
      <c r="T61" s="535" t="s">
        <v>90</v>
      </c>
      <c r="U61" s="536" t="s">
        <v>77</v>
      </c>
      <c r="V61" s="536" t="s">
        <v>78</v>
      </c>
      <c r="W61" s="539" t="s">
        <v>90</v>
      </c>
      <c r="X61" s="536" t="s">
        <v>77</v>
      </c>
      <c r="Y61" s="536" t="s">
        <v>78</v>
      </c>
      <c r="Z61" s="539" t="s">
        <v>90</v>
      </c>
      <c r="AA61" s="536" t="s">
        <v>77</v>
      </c>
      <c r="AB61" s="537" t="s">
        <v>78</v>
      </c>
      <c r="AC61" s="53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34" ht="15.75">
      <c r="A62" s="522" t="s">
        <v>91</v>
      </c>
      <c r="B62" s="540">
        <v>34976.411000001252</v>
      </c>
      <c r="C62" s="541">
        <v>21770.00099999996</v>
      </c>
      <c r="D62" s="541">
        <v>2326.4899999999893</v>
      </c>
      <c r="E62" s="541">
        <v>10879.920000001301</v>
      </c>
      <c r="F62" s="542">
        <v>77744.589000000124</v>
      </c>
      <c r="G62" s="541">
        <v>55209.465000000047</v>
      </c>
      <c r="H62" s="541">
        <v>22535.143000000036</v>
      </c>
      <c r="I62" s="542">
        <v>3.2263863232202681</v>
      </c>
      <c r="J62" s="541">
        <v>24.081647260274028</v>
      </c>
      <c r="K62" s="541">
        <v>9.1748202054794236E-3</v>
      </c>
      <c r="L62" s="543">
        <f>O62*100</f>
        <v>47.82614155251165</v>
      </c>
      <c r="M62" s="651">
        <v>19.914452054794427</v>
      </c>
      <c r="N62" s="652">
        <v>1.1648657534246494E-2</v>
      </c>
      <c r="O62" s="543">
        <v>0.47826141552511653</v>
      </c>
      <c r="P62" s="518" t="s">
        <v>91</v>
      </c>
      <c r="Q62" s="540">
        <v>11932</v>
      </c>
      <c r="R62" s="544">
        <v>202</v>
      </c>
      <c r="S62" s="541">
        <v>15</v>
      </c>
      <c r="T62" s="542">
        <v>23457</v>
      </c>
      <c r="U62" s="544">
        <v>202</v>
      </c>
      <c r="V62" s="541">
        <v>15</v>
      </c>
      <c r="W62" s="542">
        <v>10375</v>
      </c>
      <c r="X62" s="544">
        <v>247</v>
      </c>
      <c r="Y62" s="541">
        <v>15</v>
      </c>
      <c r="Z62" s="542">
        <v>32502</v>
      </c>
      <c r="AA62" s="544">
        <v>202</v>
      </c>
      <c r="AB62" s="543">
        <v>15</v>
      </c>
      <c r="AC62" s="484">
        <v>35</v>
      </c>
      <c r="AD62" s="482">
        <v>202</v>
      </c>
      <c r="AE62" s="483">
        <v>15</v>
      </c>
      <c r="AF62" s="484">
        <v>2.2405999999999999E-2</v>
      </c>
      <c r="AG62" s="482">
        <v>276</v>
      </c>
      <c r="AH62" s="483">
        <v>9</v>
      </c>
    </row>
    <row r="63" spans="1:34" ht="15.75">
      <c r="A63" s="522" t="s">
        <v>96</v>
      </c>
      <c r="B63" s="545">
        <v>39519.569000001269</v>
      </c>
      <c r="C63" s="546">
        <v>25936.82099999996</v>
      </c>
      <c r="D63" s="546">
        <v>2702.828000000005</v>
      </c>
      <c r="E63" s="546">
        <v>10879.920000001301</v>
      </c>
      <c r="F63" s="547">
        <v>97295.865999999718</v>
      </c>
      <c r="G63" s="546">
        <v>55185.072000000029</v>
      </c>
      <c r="H63" s="546">
        <v>42110.836000000032</v>
      </c>
      <c r="I63" s="547">
        <v>3.3972436603535132</v>
      </c>
      <c r="J63" s="546">
        <v>24.089708904109656</v>
      </c>
      <c r="K63" s="546">
        <v>1.1174638812785374E-2</v>
      </c>
      <c r="L63" s="548">
        <f t="shared" ref="L63:L68" si="0">O63*100</f>
        <v>57.840981735158394</v>
      </c>
      <c r="M63" s="97"/>
      <c r="N63" s="60"/>
      <c r="O63" s="548">
        <v>0.57840981735158392</v>
      </c>
      <c r="P63" s="522" t="s">
        <v>96</v>
      </c>
      <c r="Q63" s="545">
        <v>12653</v>
      </c>
      <c r="R63" s="549">
        <v>202</v>
      </c>
      <c r="S63" s="546">
        <v>15</v>
      </c>
      <c r="T63" s="547">
        <v>23078</v>
      </c>
      <c r="U63" s="549">
        <v>254</v>
      </c>
      <c r="V63" s="546">
        <v>15</v>
      </c>
      <c r="W63" s="547">
        <v>16112</v>
      </c>
      <c r="X63" s="549">
        <v>217</v>
      </c>
      <c r="Y63" s="546">
        <v>15</v>
      </c>
      <c r="Z63" s="547">
        <v>37261</v>
      </c>
      <c r="AA63" s="549">
        <v>247</v>
      </c>
      <c r="AB63" s="548">
        <v>15</v>
      </c>
      <c r="AD63" s="485"/>
      <c r="AG63" s="485"/>
    </row>
    <row r="64" spans="1:34" ht="15.75">
      <c r="A64" s="522" t="s">
        <v>98</v>
      </c>
      <c r="B64" s="545">
        <v>39400.815000001385</v>
      </c>
      <c r="C64" s="546">
        <v>25846.026000000074</v>
      </c>
      <c r="D64" s="546">
        <v>2674.8690000000088</v>
      </c>
      <c r="E64" s="546">
        <v>10879.920000001301</v>
      </c>
      <c r="F64" s="547">
        <v>97141.307000000001</v>
      </c>
      <c r="G64" s="546">
        <v>62008.804000000193</v>
      </c>
      <c r="H64" s="546">
        <v>35132.592000000026</v>
      </c>
      <c r="I64" s="547">
        <v>3.4059697986335884</v>
      </c>
      <c r="J64" s="546">
        <v>24.327353881278576</v>
      </c>
      <c r="K64" s="546">
        <v>1.0049198972602738E-2</v>
      </c>
      <c r="L64" s="548">
        <f t="shared" si="0"/>
        <v>51.103424657534461</v>
      </c>
      <c r="M64" s="97"/>
      <c r="N64" s="60"/>
      <c r="O64" s="548">
        <v>0.51103424657534458</v>
      </c>
      <c r="P64" s="522" t="s">
        <v>98</v>
      </c>
      <c r="Q64" s="545">
        <v>13104</v>
      </c>
      <c r="R64" s="549">
        <v>202</v>
      </c>
      <c r="S64" s="546">
        <v>15</v>
      </c>
      <c r="T64" s="547">
        <v>31134</v>
      </c>
      <c r="U64" s="549">
        <v>155</v>
      </c>
      <c r="V64" s="546">
        <v>16</v>
      </c>
      <c r="W64" s="547">
        <v>21697</v>
      </c>
      <c r="X64" s="549">
        <v>261</v>
      </c>
      <c r="Y64" s="546">
        <v>12</v>
      </c>
      <c r="Z64" s="547">
        <v>39904</v>
      </c>
      <c r="AA64" s="549">
        <v>247</v>
      </c>
      <c r="AB64" s="548">
        <v>16</v>
      </c>
      <c r="AD64" s="485"/>
      <c r="AG64" s="485"/>
    </row>
    <row r="65" spans="1:34" ht="15.75">
      <c r="A65" s="522" t="s">
        <v>102</v>
      </c>
      <c r="B65" s="545">
        <v>40535.137000001225</v>
      </c>
      <c r="C65" s="546">
        <v>26927.732999999924</v>
      </c>
      <c r="D65" s="546">
        <v>2727.4839999999936</v>
      </c>
      <c r="E65" s="546">
        <v>10879.920000001301</v>
      </c>
      <c r="F65" s="547">
        <v>103712.91500000004</v>
      </c>
      <c r="G65" s="546">
        <v>62649.459000000192</v>
      </c>
      <c r="H65" s="546">
        <v>41063.372999999883</v>
      </c>
      <c r="I65" s="547">
        <v>3.4972907127943231</v>
      </c>
      <c r="J65" s="546">
        <v>24.2954691780822</v>
      </c>
      <c r="K65" s="546">
        <v>9.8116047945205134E-3</v>
      </c>
      <c r="L65" s="548">
        <f t="shared" si="0"/>
        <v>50.084817351598268</v>
      </c>
      <c r="M65" s="97"/>
      <c r="N65" s="60"/>
      <c r="O65" s="548">
        <v>0.50084817351598265</v>
      </c>
      <c r="P65" s="522" t="s">
        <v>102</v>
      </c>
      <c r="Q65" s="545">
        <v>13467</v>
      </c>
      <c r="R65" s="549">
        <v>202</v>
      </c>
      <c r="S65" s="546">
        <v>15</v>
      </c>
      <c r="T65" s="547">
        <v>33997</v>
      </c>
      <c r="U65" s="549">
        <v>115</v>
      </c>
      <c r="V65" s="546">
        <v>16</v>
      </c>
      <c r="W65" s="547">
        <v>28184</v>
      </c>
      <c r="X65" s="549">
        <v>262</v>
      </c>
      <c r="Y65" s="546">
        <v>15</v>
      </c>
      <c r="Z65" s="547">
        <v>43978</v>
      </c>
      <c r="AA65" s="549">
        <v>276</v>
      </c>
      <c r="AB65" s="548">
        <v>9</v>
      </c>
      <c r="AD65" s="485"/>
      <c r="AG65" s="485"/>
    </row>
    <row r="66" spans="1:34" ht="15.75">
      <c r="A66" s="522" t="s">
        <v>356</v>
      </c>
      <c r="B66" s="545">
        <v>40065.261000001236</v>
      </c>
      <c r="C66" s="546">
        <v>26472.789999999939</v>
      </c>
      <c r="D66" s="546">
        <v>2712.5509999999958</v>
      </c>
      <c r="E66" s="546">
        <v>10879.920000001301</v>
      </c>
      <c r="F66" s="547">
        <v>100676.21</v>
      </c>
      <c r="G66" s="546">
        <v>62380.560000000289</v>
      </c>
      <c r="H66" s="546">
        <v>38295.623999999953</v>
      </c>
      <c r="I66" s="547">
        <v>3.4495471545115888</v>
      </c>
      <c r="J66" s="546">
        <v>24.308863013698669</v>
      </c>
      <c r="K66" s="546">
        <v>9.8683336757990694E-3</v>
      </c>
      <c r="L66" s="548">
        <f t="shared" si="0"/>
        <v>50.296689497717153</v>
      </c>
      <c r="M66" s="97"/>
      <c r="N66" s="60"/>
      <c r="O66" s="548">
        <v>0.50296689497717151</v>
      </c>
      <c r="P66" s="522" t="s">
        <v>356</v>
      </c>
      <c r="Q66" s="545">
        <v>13277</v>
      </c>
      <c r="R66" s="549">
        <v>202</v>
      </c>
      <c r="S66" s="546">
        <v>15</v>
      </c>
      <c r="T66" s="547">
        <v>32940</v>
      </c>
      <c r="U66" s="549">
        <v>115</v>
      </c>
      <c r="V66" s="546">
        <v>16</v>
      </c>
      <c r="W66" s="547">
        <v>24225</v>
      </c>
      <c r="X66" s="549">
        <v>247</v>
      </c>
      <c r="Y66" s="546">
        <v>17</v>
      </c>
      <c r="Z66" s="547">
        <v>41366</v>
      </c>
      <c r="AA66" s="549">
        <v>247</v>
      </c>
      <c r="AB66" s="548">
        <v>15</v>
      </c>
      <c r="AC66" s="486"/>
      <c r="AD66" s="485"/>
      <c r="AE66" s="486"/>
      <c r="AF66" s="486"/>
      <c r="AG66" s="485"/>
      <c r="AH66" s="486"/>
    </row>
    <row r="67" spans="1:34" ht="15.75">
      <c r="A67" s="522" t="s">
        <v>105</v>
      </c>
      <c r="B67" s="545">
        <v>31586.592000001216</v>
      </c>
      <c r="C67" s="546">
        <v>18738.054999999913</v>
      </c>
      <c r="D67" s="546">
        <v>1968.617000000002</v>
      </c>
      <c r="E67" s="546">
        <v>10879.920000001301</v>
      </c>
      <c r="F67" s="547">
        <v>66860.163000000059</v>
      </c>
      <c r="G67" s="546">
        <v>48588.801999999836</v>
      </c>
      <c r="H67" s="546">
        <v>18271.393999999975</v>
      </c>
      <c r="I67" s="547">
        <v>3.2289188238457793</v>
      </c>
      <c r="J67" s="546">
        <v>26.268599315068546</v>
      </c>
      <c r="K67" s="546">
        <v>9.7585481735159314E-3</v>
      </c>
      <c r="L67" s="548">
        <f t="shared" si="0"/>
        <v>44.316210045662174</v>
      </c>
      <c r="M67" s="97"/>
      <c r="N67" s="60"/>
      <c r="O67" s="548">
        <v>0.44316210045662174</v>
      </c>
      <c r="P67" s="522" t="s">
        <v>105</v>
      </c>
      <c r="Q67" s="545">
        <v>11932</v>
      </c>
      <c r="R67" s="549">
        <v>202</v>
      </c>
      <c r="S67" s="546">
        <v>15</v>
      </c>
      <c r="T67" s="547">
        <v>23457</v>
      </c>
      <c r="U67" s="549">
        <v>202</v>
      </c>
      <c r="V67" s="546">
        <v>15</v>
      </c>
      <c r="W67" s="547">
        <v>10755</v>
      </c>
      <c r="X67" s="549">
        <v>276</v>
      </c>
      <c r="Y67" s="546">
        <v>8</v>
      </c>
      <c r="Z67" s="547">
        <v>32502</v>
      </c>
      <c r="AA67" s="549">
        <v>202</v>
      </c>
      <c r="AB67" s="548">
        <v>15</v>
      </c>
      <c r="AD67" s="485"/>
      <c r="AG67" s="485"/>
    </row>
    <row r="68" spans="1:34" ht="15.75">
      <c r="A68" s="538" t="s">
        <v>108</v>
      </c>
      <c r="B68" s="550">
        <v>54843.258000001253</v>
      </c>
      <c r="C68" s="551">
        <v>39697.162000000208</v>
      </c>
      <c r="D68" s="551">
        <v>4266.1759999997475</v>
      </c>
      <c r="E68" s="551">
        <v>10879.920000001301</v>
      </c>
      <c r="F68" s="552">
        <v>161200.17900000018</v>
      </c>
      <c r="G68" s="551">
        <v>134205.70700000084</v>
      </c>
      <c r="H68" s="551">
        <v>26994.481999999978</v>
      </c>
      <c r="I68" s="552">
        <v>3.6666956226117398</v>
      </c>
      <c r="J68" s="551">
        <v>25.480876712328794</v>
      </c>
      <c r="K68" s="551">
        <v>8.552449543378967E-3</v>
      </c>
      <c r="L68" s="553">
        <f t="shared" si="0"/>
        <v>40.87100456621188</v>
      </c>
      <c r="M68" s="97"/>
      <c r="N68" s="60"/>
      <c r="O68" s="553">
        <v>0.40871004566211877</v>
      </c>
      <c r="P68" s="538" t="s">
        <v>108</v>
      </c>
      <c r="Q68" s="550">
        <v>12863</v>
      </c>
      <c r="R68" s="554">
        <v>202</v>
      </c>
      <c r="S68" s="551">
        <v>15</v>
      </c>
      <c r="T68" s="552">
        <v>31981</v>
      </c>
      <c r="U68" s="554">
        <v>115</v>
      </c>
      <c r="V68" s="551">
        <v>16</v>
      </c>
      <c r="W68" s="552">
        <v>8859</v>
      </c>
      <c r="X68" s="554">
        <v>247</v>
      </c>
      <c r="Y68" s="551">
        <v>17</v>
      </c>
      <c r="Z68" s="552">
        <v>38322</v>
      </c>
      <c r="AA68" s="554">
        <v>276</v>
      </c>
      <c r="AB68" s="553">
        <v>10</v>
      </c>
      <c r="AD68" s="485"/>
      <c r="AG68" s="485"/>
    </row>
    <row r="69" spans="1:34" ht="15.75">
      <c r="A69" s="69" t="s">
        <v>109</v>
      </c>
      <c r="B69" s="487"/>
      <c r="C69" s="488"/>
      <c r="D69" s="489"/>
      <c r="E69" s="489"/>
      <c r="F69" s="487"/>
      <c r="G69" s="488"/>
      <c r="H69" s="489"/>
      <c r="I69" s="487"/>
      <c r="J69" s="489"/>
      <c r="K69" s="489"/>
      <c r="L69" s="489"/>
      <c r="M69" s="74"/>
      <c r="N69" s="60"/>
      <c r="O69" s="60"/>
      <c r="P69" s="69" t="s">
        <v>109</v>
      </c>
      <c r="Q69" s="487"/>
      <c r="R69" s="490"/>
      <c r="S69" s="489"/>
      <c r="T69" s="487"/>
      <c r="U69" s="490"/>
      <c r="V69" s="489"/>
      <c r="W69" s="487"/>
      <c r="X69" s="490"/>
      <c r="Y69" s="489"/>
      <c r="Z69" s="487"/>
      <c r="AA69" s="490"/>
      <c r="AB69" s="491"/>
      <c r="AD69" s="485"/>
      <c r="AG69" s="485"/>
    </row>
    <row r="70" spans="1:34" ht="15.75">
      <c r="A70" s="69" t="s">
        <v>111</v>
      </c>
      <c r="B70" s="487"/>
      <c r="C70" s="488"/>
      <c r="D70" s="489"/>
      <c r="E70" s="489"/>
      <c r="F70" s="487"/>
      <c r="G70" s="488"/>
      <c r="H70" s="489"/>
      <c r="I70" s="487"/>
      <c r="J70" s="489"/>
      <c r="K70" s="489"/>
      <c r="L70" s="489"/>
      <c r="M70" s="74"/>
      <c r="N70" s="60"/>
      <c r="O70" s="60"/>
      <c r="P70" s="69" t="s">
        <v>111</v>
      </c>
      <c r="Q70" s="487"/>
      <c r="R70" s="490"/>
      <c r="S70" s="489"/>
      <c r="T70" s="487"/>
      <c r="U70" s="490"/>
      <c r="V70" s="489"/>
      <c r="W70" s="487"/>
      <c r="X70" s="490"/>
      <c r="Y70" s="489"/>
      <c r="Z70" s="487"/>
      <c r="AA70" s="490"/>
      <c r="AB70" s="491"/>
      <c r="AD70" s="485"/>
      <c r="AG70" s="485"/>
    </row>
    <row r="71" spans="1:34" ht="15.75">
      <c r="A71" s="69" t="s">
        <v>112</v>
      </c>
      <c r="B71" s="487"/>
      <c r="C71" s="488"/>
      <c r="D71" s="489"/>
      <c r="E71" s="489"/>
      <c r="F71" s="487"/>
      <c r="G71" s="488"/>
      <c r="H71" s="489"/>
      <c r="I71" s="487"/>
      <c r="J71" s="489"/>
      <c r="K71" s="489"/>
      <c r="L71" s="489"/>
      <c r="M71" s="74"/>
      <c r="N71" s="60"/>
      <c r="O71" s="60"/>
      <c r="P71" s="69" t="s">
        <v>112</v>
      </c>
      <c r="Q71" s="487"/>
      <c r="R71" s="490"/>
      <c r="S71" s="489"/>
      <c r="T71" s="487"/>
      <c r="U71" s="490"/>
      <c r="V71" s="489"/>
      <c r="W71" s="487"/>
      <c r="X71" s="490"/>
      <c r="Y71" s="489"/>
      <c r="Z71" s="487"/>
      <c r="AA71" s="490"/>
      <c r="AB71" s="491"/>
      <c r="AD71" s="485"/>
      <c r="AG71" s="485"/>
    </row>
    <row r="72" spans="1:34" ht="15.75">
      <c r="A72" s="69" t="s">
        <v>113</v>
      </c>
      <c r="B72" s="487"/>
      <c r="C72" s="488"/>
      <c r="D72" s="489"/>
      <c r="E72" s="489"/>
      <c r="F72" s="487"/>
      <c r="G72" s="488"/>
      <c r="H72" s="489"/>
      <c r="I72" s="487"/>
      <c r="J72" s="489"/>
      <c r="K72" s="489"/>
      <c r="L72" s="489"/>
      <c r="M72" s="74"/>
      <c r="N72" s="60"/>
      <c r="O72" s="60"/>
      <c r="P72" s="69" t="s">
        <v>113</v>
      </c>
      <c r="Q72" s="487"/>
      <c r="R72" s="490"/>
      <c r="S72" s="489"/>
      <c r="T72" s="487"/>
      <c r="U72" s="490"/>
      <c r="V72" s="489"/>
      <c r="W72" s="487"/>
      <c r="X72" s="490"/>
      <c r="Y72" s="489"/>
      <c r="Z72" s="487"/>
      <c r="AA72" s="490"/>
      <c r="AB72" s="491"/>
      <c r="AD72" s="485"/>
      <c r="AG72" s="485"/>
    </row>
    <row r="73" spans="1:34" ht="15.75">
      <c r="A73" s="69" t="s">
        <v>114</v>
      </c>
      <c r="B73" s="487"/>
      <c r="C73" s="488"/>
      <c r="D73" s="489"/>
      <c r="E73" s="489"/>
      <c r="F73" s="487"/>
      <c r="G73" s="488"/>
      <c r="H73" s="489"/>
      <c r="I73" s="487"/>
      <c r="J73" s="489"/>
      <c r="K73" s="489"/>
      <c r="L73" s="489"/>
      <c r="M73" s="74"/>
      <c r="N73" s="60"/>
      <c r="O73" s="60"/>
      <c r="P73" s="69" t="s">
        <v>114</v>
      </c>
      <c r="Q73" s="487"/>
      <c r="R73" s="490"/>
      <c r="S73" s="489"/>
      <c r="T73" s="487"/>
      <c r="U73" s="490"/>
      <c r="V73" s="489"/>
      <c r="W73" s="487"/>
      <c r="X73" s="490"/>
      <c r="Y73" s="489"/>
      <c r="Z73" s="487"/>
      <c r="AA73" s="490"/>
      <c r="AB73" s="491"/>
      <c r="AD73" s="485"/>
      <c r="AG73" s="485"/>
    </row>
    <row r="74" spans="1:34" ht="15.75">
      <c r="A74" s="518" t="s">
        <v>115</v>
      </c>
      <c r="B74" s="540">
        <v>22322.953000000023</v>
      </c>
      <c r="C74" s="541">
        <v>17857.852000000032</v>
      </c>
      <c r="D74" s="541">
        <v>1911.8690000000017</v>
      </c>
      <c r="E74" s="541">
        <v>2553.2319999999895</v>
      </c>
      <c r="F74" s="542">
        <v>63105.366000000147</v>
      </c>
      <c r="G74" s="541">
        <v>44874.224999999649</v>
      </c>
      <c r="H74" s="541">
        <v>18231.140999999938</v>
      </c>
      <c r="I74" s="542">
        <v>3.1920210710105641</v>
      </c>
      <c r="J74" s="599">
        <v>21.097828767123321</v>
      </c>
      <c r="K74" s="541">
        <v>1.0218289383561367E-2</v>
      </c>
      <c r="L74" s="543">
        <f>O74*100</f>
        <v>65.941894977171202</v>
      </c>
      <c r="M74" s="97"/>
      <c r="N74" s="60"/>
      <c r="O74" s="543">
        <v>0.659418949771712</v>
      </c>
      <c r="P74" s="518" t="s">
        <v>116</v>
      </c>
      <c r="Q74" s="540">
        <v>10177</v>
      </c>
      <c r="R74" s="544">
        <v>202</v>
      </c>
      <c r="S74" s="541">
        <v>15</v>
      </c>
      <c r="T74" s="542">
        <v>18776</v>
      </c>
      <c r="U74" s="544">
        <v>156</v>
      </c>
      <c r="V74" s="541">
        <v>15</v>
      </c>
      <c r="W74" s="542">
        <v>7805</v>
      </c>
      <c r="X74" s="544">
        <v>181</v>
      </c>
      <c r="Y74" s="541">
        <v>16</v>
      </c>
      <c r="Z74" s="542">
        <v>26567</v>
      </c>
      <c r="AA74" s="544">
        <v>181</v>
      </c>
      <c r="AB74" s="543">
        <v>16</v>
      </c>
      <c r="AD74" s="485"/>
      <c r="AG74" s="485"/>
    </row>
    <row r="75" spans="1:34" ht="15.75">
      <c r="A75" s="522" t="s">
        <v>120</v>
      </c>
      <c r="B75" s="545">
        <v>17434.537000000029</v>
      </c>
      <c r="C75" s="546">
        <v>13988.512000000033</v>
      </c>
      <c r="D75" s="546">
        <v>1475.5280000000027</v>
      </c>
      <c r="E75" s="546">
        <v>1970.496999999993</v>
      </c>
      <c r="F75" s="547">
        <v>48439.57</v>
      </c>
      <c r="G75" s="546">
        <v>34448.150999999525</v>
      </c>
      <c r="H75" s="546">
        <v>13991.417999999976</v>
      </c>
      <c r="I75" s="547">
        <v>3.132400718052974</v>
      </c>
      <c r="J75" s="600">
        <v>25</v>
      </c>
      <c r="K75" s="546">
        <v>1.1329294934640546E-2</v>
      </c>
      <c r="L75" s="548">
        <f t="shared" ref="L75:L82" si="1">O75*100</f>
        <v>57.072167755988787</v>
      </c>
      <c r="M75" s="97"/>
      <c r="N75" s="60"/>
      <c r="O75" s="548">
        <v>0.5707216775598879</v>
      </c>
      <c r="P75" s="522" t="s">
        <v>121</v>
      </c>
      <c r="Q75" s="545">
        <v>11186</v>
      </c>
      <c r="R75" s="549">
        <v>202</v>
      </c>
      <c r="S75" s="546">
        <v>15</v>
      </c>
      <c r="T75" s="547">
        <v>21121</v>
      </c>
      <c r="U75" s="549">
        <v>156</v>
      </c>
      <c r="V75" s="546">
        <v>13</v>
      </c>
      <c r="W75" s="547">
        <v>8850</v>
      </c>
      <c r="X75" s="549">
        <v>169</v>
      </c>
      <c r="Y75" s="546">
        <v>14</v>
      </c>
      <c r="Z75" s="547">
        <v>29948</v>
      </c>
      <c r="AA75" s="549">
        <v>169</v>
      </c>
      <c r="AB75" s="548">
        <v>14</v>
      </c>
      <c r="AD75" s="485"/>
      <c r="AG75" s="485"/>
    </row>
    <row r="76" spans="1:34" ht="15.75">
      <c r="A76" s="522" t="s">
        <v>124</v>
      </c>
      <c r="B76" s="545">
        <v>34848.63700000001</v>
      </c>
      <c r="C76" s="546">
        <v>27901.95700000002</v>
      </c>
      <c r="D76" s="546">
        <v>2974.4</v>
      </c>
      <c r="E76" s="546">
        <v>3972.28</v>
      </c>
      <c r="F76" s="547">
        <v>108979.01299999964</v>
      </c>
      <c r="G76" s="546">
        <v>77498.985000000306</v>
      </c>
      <c r="H76" s="546">
        <v>31479.855999999923</v>
      </c>
      <c r="I76" s="547">
        <v>3.529529503755886</v>
      </c>
      <c r="J76" s="600">
        <v>25</v>
      </c>
      <c r="K76" s="546">
        <v>1.1328404956427012E-2</v>
      </c>
      <c r="L76" s="548">
        <f t="shared" si="1"/>
        <v>57.061546840956055</v>
      </c>
      <c r="M76" s="97"/>
      <c r="N76" s="60"/>
      <c r="O76" s="548">
        <v>0.57061546840956057</v>
      </c>
      <c r="P76" s="522" t="s">
        <v>125</v>
      </c>
      <c r="Q76" s="545">
        <v>11044</v>
      </c>
      <c r="R76" s="549">
        <v>202</v>
      </c>
      <c r="S76" s="546">
        <v>15</v>
      </c>
      <c r="T76" s="547">
        <v>18969</v>
      </c>
      <c r="U76" s="549">
        <v>202</v>
      </c>
      <c r="V76" s="546">
        <v>16</v>
      </c>
      <c r="W76" s="547">
        <v>7726</v>
      </c>
      <c r="X76" s="549">
        <v>182</v>
      </c>
      <c r="Y76" s="546">
        <v>16</v>
      </c>
      <c r="Z76" s="547">
        <v>26675</v>
      </c>
      <c r="AA76" s="549">
        <v>202</v>
      </c>
      <c r="AB76" s="548">
        <v>16</v>
      </c>
      <c r="AD76" s="485"/>
      <c r="AG76" s="485"/>
    </row>
    <row r="77" spans="1:34" ht="15.75">
      <c r="A77" s="522" t="s">
        <v>125</v>
      </c>
      <c r="B77" s="545">
        <v>25131.070000000262</v>
      </c>
      <c r="C77" s="546">
        <v>19654.972000000191</v>
      </c>
      <c r="D77" s="546">
        <v>2344.8270000000412</v>
      </c>
      <c r="E77" s="546">
        <v>3131.2710000000302</v>
      </c>
      <c r="F77" s="547">
        <v>63212.101999999744</v>
      </c>
      <c r="G77" s="546">
        <v>44976.723999999696</v>
      </c>
      <c r="H77" s="546">
        <v>18235.133000000213</v>
      </c>
      <c r="I77" s="547">
        <v>2.8733036151829876</v>
      </c>
      <c r="J77" s="546">
        <v>14.142081050228299</v>
      </c>
      <c r="K77" s="546">
        <v>7.0233744292240554E-3</v>
      </c>
      <c r="L77" s="548">
        <f t="shared" si="1"/>
        <v>70.226826484016939</v>
      </c>
      <c r="M77" s="97"/>
      <c r="N77" s="60"/>
      <c r="O77" s="548">
        <v>0.70226826484016935</v>
      </c>
      <c r="P77" s="522" t="s">
        <v>127</v>
      </c>
      <c r="Q77" s="545">
        <v>10639</v>
      </c>
      <c r="R77" s="549">
        <v>202</v>
      </c>
      <c r="S77" s="546">
        <v>15</v>
      </c>
      <c r="T77" s="547">
        <v>18785</v>
      </c>
      <c r="U77" s="549">
        <v>156</v>
      </c>
      <c r="V77" s="546">
        <v>15</v>
      </c>
      <c r="W77" s="547">
        <v>7743</v>
      </c>
      <c r="X77" s="549">
        <v>181</v>
      </c>
      <c r="Y77" s="546">
        <v>16</v>
      </c>
      <c r="Z77" s="547">
        <v>26514</v>
      </c>
      <c r="AA77" s="549">
        <v>181</v>
      </c>
      <c r="AB77" s="548">
        <v>16</v>
      </c>
      <c r="AD77" s="485"/>
      <c r="AG77" s="485"/>
    </row>
    <row r="78" spans="1:34" ht="15.75">
      <c r="A78" s="522" t="s">
        <v>127</v>
      </c>
      <c r="B78" s="545">
        <v>23619.743999999955</v>
      </c>
      <c r="C78" s="546">
        <v>18689.798999999959</v>
      </c>
      <c r="D78" s="546">
        <v>2110.8329999999924</v>
      </c>
      <c r="E78" s="546">
        <v>2819.112000000006</v>
      </c>
      <c r="F78" s="547">
        <v>63157.029999999759</v>
      </c>
      <c r="G78" s="546">
        <v>44924.113000000318</v>
      </c>
      <c r="H78" s="546">
        <v>18233.150999999987</v>
      </c>
      <c r="I78" s="547">
        <v>3.0363034161654276</v>
      </c>
      <c r="J78" s="546">
        <v>17.729027397260282</v>
      </c>
      <c r="K78" s="546">
        <v>8.5797287671236355E-3</v>
      </c>
      <c r="L78" s="548">
        <f t="shared" si="1"/>
        <v>68.231392694061995</v>
      </c>
      <c r="M78" s="97"/>
      <c r="N78" s="60"/>
      <c r="O78" s="548">
        <v>0.68231392694061999</v>
      </c>
      <c r="P78" s="522" t="s">
        <v>130</v>
      </c>
      <c r="Q78" s="545">
        <v>9419</v>
      </c>
      <c r="R78" s="549">
        <v>202</v>
      </c>
      <c r="S78" s="546">
        <v>15</v>
      </c>
      <c r="T78" s="547">
        <v>18759</v>
      </c>
      <c r="U78" s="549">
        <v>156</v>
      </c>
      <c r="V78" s="546">
        <v>15</v>
      </c>
      <c r="W78" s="547">
        <v>7938</v>
      </c>
      <c r="X78" s="549">
        <v>181</v>
      </c>
      <c r="Y78" s="546">
        <v>16</v>
      </c>
      <c r="Z78" s="547">
        <v>26683</v>
      </c>
      <c r="AA78" s="549">
        <v>181</v>
      </c>
      <c r="AB78" s="548">
        <v>16</v>
      </c>
      <c r="AD78" s="485"/>
      <c r="AG78" s="485"/>
    </row>
    <row r="79" spans="1:34" ht="15.75">
      <c r="A79" s="522" t="s">
        <v>130</v>
      </c>
      <c r="B79" s="545">
        <v>20241.712999999996</v>
      </c>
      <c r="C79" s="546">
        <v>16506.801999999989</v>
      </c>
      <c r="D79" s="546">
        <v>1599.2030000000073</v>
      </c>
      <c r="E79" s="546">
        <v>2135.7079999999992</v>
      </c>
      <c r="F79" s="547">
        <v>63001.558000000026</v>
      </c>
      <c r="G79" s="546">
        <v>44775.104999999901</v>
      </c>
      <c r="H79" s="546">
        <v>18226.508999999944</v>
      </c>
      <c r="I79" s="547">
        <v>3.4795946427718336</v>
      </c>
      <c r="J79" s="546">
        <v>27.770939497716959</v>
      </c>
      <c r="K79" s="546">
        <v>1.3980307305935722E-2</v>
      </c>
      <c r="L79" s="548">
        <f t="shared" si="1"/>
        <v>60.138698630132005</v>
      </c>
      <c r="M79" s="97"/>
      <c r="N79" s="60"/>
      <c r="O79" s="548">
        <v>0.60138698630132004</v>
      </c>
      <c r="P79" s="522" t="s">
        <v>132</v>
      </c>
      <c r="Q79" s="545">
        <v>7992</v>
      </c>
      <c r="R79" s="549">
        <v>202</v>
      </c>
      <c r="S79" s="546">
        <v>15</v>
      </c>
      <c r="T79" s="547">
        <v>18776</v>
      </c>
      <c r="U79" s="549">
        <v>156</v>
      </c>
      <c r="V79" s="546">
        <v>15</v>
      </c>
      <c r="W79" s="547">
        <v>179</v>
      </c>
      <c r="X79" s="549">
        <v>71</v>
      </c>
      <c r="Y79" s="546">
        <v>11</v>
      </c>
      <c r="Z79" s="547">
        <v>18776</v>
      </c>
      <c r="AA79" s="549">
        <v>156</v>
      </c>
      <c r="AB79" s="548">
        <v>15</v>
      </c>
      <c r="AD79" s="485"/>
      <c r="AG79" s="485"/>
    </row>
    <row r="80" spans="1:34" ht="15.75">
      <c r="A80" s="522" t="s">
        <v>132</v>
      </c>
      <c r="B80" s="555">
        <v>17442.46800000007</v>
      </c>
      <c r="C80" s="556">
        <v>13855.928000000073</v>
      </c>
      <c r="D80" s="556">
        <v>1535.684</v>
      </c>
      <c r="E80" s="557">
        <v>2050.855999999997</v>
      </c>
      <c r="F80" s="555">
        <v>44875.413999999641</v>
      </c>
      <c r="G80" s="556">
        <v>44874.224999999649</v>
      </c>
      <c r="H80" s="557">
        <v>1.1859999999999984</v>
      </c>
      <c r="I80" s="555">
        <v>2.91557596436289</v>
      </c>
      <c r="J80" s="556">
        <v>21.097828767123321</v>
      </c>
      <c r="K80" s="556">
        <v>5.7975094748851539E-3</v>
      </c>
      <c r="L80" s="548">
        <f t="shared" si="1"/>
        <v>41.451598173521695</v>
      </c>
      <c r="M80" s="432"/>
      <c r="N80" s="432"/>
      <c r="O80" s="548">
        <v>0.41451598173521698</v>
      </c>
      <c r="P80" s="522" t="s">
        <v>135</v>
      </c>
      <c r="Q80" s="545">
        <v>8846</v>
      </c>
      <c r="R80" s="549">
        <v>202</v>
      </c>
      <c r="S80" s="546">
        <v>15</v>
      </c>
      <c r="T80" s="547">
        <v>18794</v>
      </c>
      <c r="U80" s="549">
        <v>156</v>
      </c>
      <c r="V80" s="546">
        <v>15</v>
      </c>
      <c r="W80" s="547">
        <v>845</v>
      </c>
      <c r="X80" s="549">
        <v>71</v>
      </c>
      <c r="Y80" s="546">
        <v>10</v>
      </c>
      <c r="Z80" s="547">
        <v>18794</v>
      </c>
      <c r="AA80" s="549">
        <v>156</v>
      </c>
      <c r="AB80" s="548">
        <v>15</v>
      </c>
      <c r="AD80" s="485"/>
      <c r="AG80" s="485"/>
    </row>
    <row r="81" spans="1:44" ht="15.75">
      <c r="A81" s="522" t="s">
        <v>135</v>
      </c>
      <c r="B81" s="545">
        <v>19536.572000000106</v>
      </c>
      <c r="C81" s="546">
        <v>15163.82</v>
      </c>
      <c r="D81" s="546">
        <v>1872.3359999999955</v>
      </c>
      <c r="E81" s="546">
        <v>2500.4160000000597</v>
      </c>
      <c r="F81" s="547">
        <v>44979.841999999706</v>
      </c>
      <c r="G81" s="546">
        <v>44976.746999999705</v>
      </c>
      <c r="H81" s="546">
        <v>3.09</v>
      </c>
      <c r="I81" s="547">
        <v>2.6402576966306008</v>
      </c>
      <c r="J81" s="546">
        <v>14.140647260273958</v>
      </c>
      <c r="K81" s="546">
        <v>3.8545738584480375E-3</v>
      </c>
      <c r="L81" s="548">
        <f t="shared" si="1"/>
        <v>40.050913242005713</v>
      </c>
      <c r="M81" s="97"/>
      <c r="N81" s="60"/>
      <c r="O81" s="548">
        <v>0.40050913242005715</v>
      </c>
      <c r="P81" s="538" t="s">
        <v>138</v>
      </c>
      <c r="Q81" s="550">
        <v>7351</v>
      </c>
      <c r="R81" s="554">
        <v>202</v>
      </c>
      <c r="S81" s="551">
        <v>15</v>
      </c>
      <c r="T81" s="552">
        <v>18759</v>
      </c>
      <c r="U81" s="554">
        <v>156</v>
      </c>
      <c r="V81" s="551">
        <v>15</v>
      </c>
      <c r="W81" s="552">
        <v>4</v>
      </c>
      <c r="X81" s="554">
        <v>202</v>
      </c>
      <c r="Y81" s="551">
        <v>15</v>
      </c>
      <c r="Z81" s="552">
        <v>18764</v>
      </c>
      <c r="AA81" s="554">
        <v>202</v>
      </c>
      <c r="AB81" s="553">
        <v>15</v>
      </c>
      <c r="AD81" s="485"/>
      <c r="AG81" s="485"/>
    </row>
    <row r="82" spans="1:44" ht="15.75">
      <c r="A82" s="538" t="s">
        <v>138</v>
      </c>
      <c r="B82" s="550">
        <v>15791.080999999982</v>
      </c>
      <c r="C82" s="551">
        <v>12750.622999999985</v>
      </c>
      <c r="D82" s="551">
        <v>1301.7909999999904</v>
      </c>
      <c r="E82" s="551">
        <v>1738.6670000000074</v>
      </c>
      <c r="F82" s="552">
        <v>44775.109999999899</v>
      </c>
      <c r="G82" s="551">
        <v>44775.104999999901</v>
      </c>
      <c r="H82" s="551">
        <v>4.0000000000000001E-3</v>
      </c>
      <c r="I82" s="552">
        <v>3.186293116613272</v>
      </c>
      <c r="J82" s="551">
        <v>27.716633561643903</v>
      </c>
      <c r="K82" s="551">
        <v>6.7490358447480567E-3</v>
      </c>
      <c r="L82" s="553">
        <f t="shared" si="1"/>
        <v>36.874657534249643</v>
      </c>
      <c r="M82" s="97"/>
      <c r="N82" s="97"/>
      <c r="O82" s="553">
        <v>0.36874657534249644</v>
      </c>
    </row>
    <row r="83" spans="1:44">
      <c r="AR83" s="120"/>
    </row>
    <row r="84" spans="1:44" ht="15.75">
      <c r="A84" s="518"/>
      <c r="B84" s="519"/>
      <c r="C84" s="520"/>
      <c r="D84" s="520"/>
      <c r="E84" s="520" t="s">
        <v>141</v>
      </c>
      <c r="F84" s="520"/>
      <c r="G84" s="520"/>
      <c r="H84" s="520"/>
      <c r="I84" s="520"/>
      <c r="J84" s="520"/>
      <c r="K84" s="520"/>
      <c r="L84" s="521"/>
      <c r="P84" s="518"/>
      <c r="Q84" s="558"/>
      <c r="R84" s="558"/>
      <c r="S84" s="558"/>
      <c r="T84" s="558" t="s">
        <v>142</v>
      </c>
      <c r="U84" s="558"/>
      <c r="V84" s="558"/>
      <c r="W84" s="558"/>
      <c r="X84" s="558"/>
      <c r="Y84" s="558"/>
      <c r="Z84" s="558"/>
      <c r="AA84" s="558"/>
      <c r="AB84" s="558"/>
      <c r="AC84" s="558"/>
      <c r="AD84" s="558"/>
      <c r="AE84" s="558"/>
      <c r="AF84" s="558"/>
      <c r="AG84" s="558"/>
      <c r="AH84" s="558"/>
      <c r="AI84" s="558"/>
      <c r="AJ84" s="558"/>
      <c r="AK84" s="558"/>
      <c r="AL84" s="558"/>
      <c r="AM84" s="558"/>
      <c r="AN84" s="559"/>
      <c r="AR84" s="653"/>
    </row>
    <row r="85" spans="1:44" ht="15.75">
      <c r="A85" s="522"/>
      <c r="B85" s="523"/>
      <c r="C85" s="524"/>
      <c r="D85" s="524"/>
      <c r="E85" s="524"/>
      <c r="F85" s="524"/>
      <c r="G85" s="524"/>
      <c r="H85" s="524"/>
      <c r="I85" s="524"/>
      <c r="J85" s="524"/>
      <c r="K85" s="524"/>
      <c r="L85" s="525"/>
      <c r="P85" s="522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60"/>
      <c r="AB85" s="560"/>
      <c r="AC85" s="560"/>
      <c r="AD85" s="560"/>
      <c r="AE85" s="560"/>
      <c r="AF85" s="560"/>
      <c r="AG85" s="560"/>
      <c r="AH85" s="560"/>
      <c r="AI85" s="560"/>
      <c r="AJ85" s="560"/>
      <c r="AK85" s="560"/>
      <c r="AL85" s="560"/>
      <c r="AM85" s="560"/>
      <c r="AN85" s="561"/>
      <c r="AR85" s="653"/>
    </row>
    <row r="86" spans="1:44" ht="15.75">
      <c r="A86" s="522"/>
      <c r="B86" s="519" t="s">
        <v>143</v>
      </c>
      <c r="C86" s="521"/>
      <c r="D86" s="519" t="s">
        <v>369</v>
      </c>
      <c r="E86" s="520"/>
      <c r="F86" s="521"/>
      <c r="G86" s="562" t="s">
        <v>361</v>
      </c>
      <c r="H86" s="518"/>
      <c r="I86" s="519"/>
      <c r="J86" s="520"/>
      <c r="K86" s="521"/>
      <c r="L86" s="562" t="s">
        <v>370</v>
      </c>
      <c r="P86" s="522"/>
      <c r="Q86" s="110"/>
      <c r="R86" s="68"/>
      <c r="S86" s="68" t="s">
        <v>145</v>
      </c>
      <c r="T86" s="68"/>
      <c r="U86" s="68"/>
      <c r="V86" s="68"/>
      <c r="W86" s="69"/>
      <c r="X86" s="68" t="s">
        <v>146</v>
      </c>
      <c r="Y86" s="68"/>
      <c r="Z86" s="68"/>
      <c r="AA86" s="68"/>
      <c r="AB86" s="68"/>
      <c r="AC86" s="69"/>
      <c r="AD86" s="68" t="s">
        <v>147</v>
      </c>
      <c r="AE86" s="68"/>
      <c r="AF86" s="68"/>
      <c r="AG86" s="68"/>
      <c r="AH86" s="68"/>
      <c r="AI86" s="69"/>
      <c r="AJ86" s="68" t="s">
        <v>148</v>
      </c>
      <c r="AK86" s="68"/>
      <c r="AL86" s="68"/>
      <c r="AM86" s="68"/>
      <c r="AN86" s="563"/>
      <c r="AR86" s="653"/>
    </row>
    <row r="87" spans="1:44" ht="15.75">
      <c r="A87" s="522" t="s">
        <v>78</v>
      </c>
      <c r="B87" s="533" t="s">
        <v>5</v>
      </c>
      <c r="C87" s="531" t="s">
        <v>84</v>
      </c>
      <c r="D87" s="533" t="s">
        <v>4</v>
      </c>
      <c r="E87" s="530" t="s">
        <v>6</v>
      </c>
      <c r="F87" s="531" t="s">
        <v>7</v>
      </c>
      <c r="G87" s="564" t="s">
        <v>371</v>
      </c>
      <c r="H87" s="564" t="s">
        <v>150</v>
      </c>
      <c r="I87" s="533" t="s">
        <v>151</v>
      </c>
      <c r="J87" s="530" t="s">
        <v>152</v>
      </c>
      <c r="K87" s="531" t="s">
        <v>153</v>
      </c>
      <c r="L87" s="564" t="s">
        <v>371</v>
      </c>
      <c r="P87" s="522" t="s">
        <v>3</v>
      </c>
      <c r="Q87" s="110"/>
      <c r="R87" s="68" t="s">
        <v>154</v>
      </c>
      <c r="S87" s="68"/>
      <c r="T87" s="69"/>
      <c r="U87" s="68" t="s">
        <v>155</v>
      </c>
      <c r="V87" s="68"/>
      <c r="W87" s="69"/>
      <c r="X87" s="68" t="s">
        <v>154</v>
      </c>
      <c r="Y87" s="68"/>
      <c r="Z87" s="69"/>
      <c r="AA87" s="68" t="s">
        <v>400</v>
      </c>
      <c r="AB87" s="68"/>
      <c r="AC87" s="69"/>
      <c r="AD87" s="68" t="s">
        <v>154</v>
      </c>
      <c r="AE87" s="68"/>
      <c r="AF87" s="69"/>
      <c r="AG87" s="68" t="s">
        <v>400</v>
      </c>
      <c r="AH87" s="68"/>
      <c r="AI87" s="69"/>
      <c r="AJ87" s="68" t="s">
        <v>401</v>
      </c>
      <c r="AK87" s="68"/>
      <c r="AL87" s="69"/>
      <c r="AM87" s="68" t="s">
        <v>400</v>
      </c>
      <c r="AN87" s="563"/>
      <c r="AR87" s="653"/>
    </row>
    <row r="88" spans="1:44" ht="15.75">
      <c r="A88" s="538"/>
      <c r="B88" s="535" t="s">
        <v>156</v>
      </c>
      <c r="C88" s="537" t="s">
        <v>156</v>
      </c>
      <c r="D88" s="535" t="s">
        <v>156</v>
      </c>
      <c r="E88" s="536" t="s">
        <v>156</v>
      </c>
      <c r="F88" s="537" t="s">
        <v>156</v>
      </c>
      <c r="G88" s="565" t="s">
        <v>157</v>
      </c>
      <c r="H88" s="538"/>
      <c r="I88" s="535" t="s">
        <v>11</v>
      </c>
      <c r="J88" s="536" t="s">
        <v>11</v>
      </c>
      <c r="K88" s="537" t="s">
        <v>11</v>
      </c>
      <c r="L88" s="565" t="s">
        <v>22</v>
      </c>
      <c r="P88" s="538"/>
      <c r="Q88" s="530" t="s">
        <v>86</v>
      </c>
      <c r="R88" s="530" t="s">
        <v>77</v>
      </c>
      <c r="S88" s="530" t="s">
        <v>78</v>
      </c>
      <c r="T88" s="566" t="s">
        <v>86</v>
      </c>
      <c r="U88" s="530" t="s">
        <v>77</v>
      </c>
      <c r="V88" s="530" t="s">
        <v>78</v>
      </c>
      <c r="W88" s="566" t="s">
        <v>29</v>
      </c>
      <c r="X88" s="530" t="s">
        <v>77</v>
      </c>
      <c r="Y88" s="530" t="s">
        <v>78</v>
      </c>
      <c r="Z88" s="566" t="s">
        <v>29</v>
      </c>
      <c r="AA88" s="530" t="s">
        <v>77</v>
      </c>
      <c r="AB88" s="530" t="s">
        <v>78</v>
      </c>
      <c r="AC88" s="567" t="s">
        <v>30</v>
      </c>
      <c r="AD88" s="568" t="s">
        <v>77</v>
      </c>
      <c r="AE88" s="568" t="s">
        <v>78</v>
      </c>
      <c r="AF88" s="567" t="s">
        <v>30</v>
      </c>
      <c r="AG88" s="568" t="s">
        <v>77</v>
      </c>
      <c r="AH88" s="568" t="s">
        <v>78</v>
      </c>
      <c r="AI88" s="567" t="s">
        <v>158</v>
      </c>
      <c r="AJ88" s="568" t="s">
        <v>77</v>
      </c>
      <c r="AK88" s="568" t="s">
        <v>78</v>
      </c>
      <c r="AL88" s="567" t="s">
        <v>158</v>
      </c>
      <c r="AM88" s="568" t="s">
        <v>77</v>
      </c>
      <c r="AN88" s="569" t="s">
        <v>78</v>
      </c>
      <c r="AO88" s="90" t="s">
        <v>471</v>
      </c>
      <c r="AP88" s="90" t="s">
        <v>470</v>
      </c>
      <c r="AR88" s="653"/>
    </row>
    <row r="89" spans="1:44" ht="15.75">
      <c r="A89" s="518" t="s">
        <v>159</v>
      </c>
      <c r="B89" s="540">
        <v>1886</v>
      </c>
      <c r="C89" s="543">
        <v>237</v>
      </c>
      <c r="D89" s="540">
        <v>7472</v>
      </c>
      <c r="E89" s="541">
        <v>5788</v>
      </c>
      <c r="F89" s="543">
        <v>1684</v>
      </c>
      <c r="G89" s="570">
        <v>9.2759999999999995E-3</v>
      </c>
      <c r="H89" s="570">
        <v>3.5195478097032509</v>
      </c>
      <c r="I89" s="571">
        <v>17.8</v>
      </c>
      <c r="J89" s="572">
        <v>23.92</v>
      </c>
      <c r="K89" s="573">
        <v>17.155000000000001</v>
      </c>
      <c r="L89" s="574">
        <v>1.11E-2</v>
      </c>
      <c r="P89" s="518" t="s">
        <v>91</v>
      </c>
      <c r="Q89" s="540">
        <v>3.8706106870229005</v>
      </c>
      <c r="R89" s="544">
        <v>121</v>
      </c>
      <c r="S89" s="543">
        <v>16</v>
      </c>
      <c r="T89" s="540">
        <v>2.7856291503490547</v>
      </c>
      <c r="U89" s="544">
        <v>165</v>
      </c>
      <c r="V89" s="543">
        <v>17</v>
      </c>
      <c r="W89" s="540">
        <v>25.05</v>
      </c>
      <c r="X89" s="544">
        <v>52</v>
      </c>
      <c r="Y89" s="543">
        <v>17</v>
      </c>
      <c r="Z89" s="540">
        <v>8</v>
      </c>
      <c r="AA89" s="544">
        <v>6</v>
      </c>
      <c r="AB89" s="543">
        <v>5</v>
      </c>
      <c r="AC89" s="546">
        <v>1.3457E-2</v>
      </c>
      <c r="AD89" s="575">
        <v>321</v>
      </c>
      <c r="AE89" s="576">
        <v>16</v>
      </c>
      <c r="AF89" s="547">
        <v>1.9680000000000001E-3</v>
      </c>
      <c r="AG89" s="575">
        <v>11</v>
      </c>
      <c r="AH89" s="577">
        <v>3</v>
      </c>
      <c r="AI89" s="578">
        <v>68</v>
      </c>
      <c r="AJ89" s="575">
        <v>321</v>
      </c>
      <c r="AK89" s="577">
        <v>16</v>
      </c>
      <c r="AL89" s="579">
        <v>15</v>
      </c>
      <c r="AM89" s="575">
        <v>311</v>
      </c>
      <c r="AN89" s="580">
        <v>5</v>
      </c>
      <c r="AO89" s="492"/>
      <c r="AP89" s="653"/>
      <c r="AQ89" s="653"/>
      <c r="AR89" s="653"/>
    </row>
    <row r="90" spans="1:44" ht="15.75">
      <c r="A90" s="522" t="s">
        <v>166</v>
      </c>
      <c r="B90" s="545">
        <v>1964</v>
      </c>
      <c r="C90" s="548">
        <v>244</v>
      </c>
      <c r="D90" s="545">
        <v>7707</v>
      </c>
      <c r="E90" s="546">
        <v>5961</v>
      </c>
      <c r="F90" s="548">
        <v>1747</v>
      </c>
      <c r="G90" s="581">
        <v>9.3019999999999995E-3</v>
      </c>
      <c r="H90" s="581">
        <v>3.4904891304347823</v>
      </c>
      <c r="I90" s="555">
        <v>18.3</v>
      </c>
      <c r="J90" s="556">
        <v>24</v>
      </c>
      <c r="K90" s="557">
        <v>17.238</v>
      </c>
      <c r="L90" s="582">
        <v>1.1462E-2</v>
      </c>
      <c r="P90" s="522" t="s">
        <v>96</v>
      </c>
      <c r="Q90" s="545">
        <v>4.1276400367309449</v>
      </c>
      <c r="R90" s="549">
        <v>121</v>
      </c>
      <c r="S90" s="548">
        <v>15</v>
      </c>
      <c r="T90" s="545">
        <v>2.8726445743989606</v>
      </c>
      <c r="U90" s="549">
        <v>336</v>
      </c>
      <c r="V90" s="548">
        <v>15</v>
      </c>
      <c r="W90" s="545">
        <v>26.62</v>
      </c>
      <c r="X90" s="549">
        <v>202</v>
      </c>
      <c r="Y90" s="548">
        <v>15</v>
      </c>
      <c r="Z90" s="545">
        <v>8</v>
      </c>
      <c r="AA90" s="549">
        <v>6</v>
      </c>
      <c r="AB90" s="548">
        <v>5</v>
      </c>
      <c r="AC90" s="546">
        <v>1.5432E-2</v>
      </c>
      <c r="AD90" s="575">
        <v>276</v>
      </c>
      <c r="AE90" s="576">
        <v>8</v>
      </c>
      <c r="AF90" s="547">
        <v>2.019E-3</v>
      </c>
      <c r="AG90" s="575">
        <v>5</v>
      </c>
      <c r="AH90" s="548">
        <v>7</v>
      </c>
      <c r="AI90" s="578">
        <v>77</v>
      </c>
      <c r="AJ90" s="575">
        <v>164</v>
      </c>
      <c r="AK90" s="548">
        <v>8</v>
      </c>
      <c r="AL90" s="579">
        <v>16</v>
      </c>
      <c r="AM90" s="575">
        <v>311</v>
      </c>
      <c r="AN90" s="580">
        <v>8</v>
      </c>
      <c r="AO90" s="492"/>
      <c r="AP90" s="653"/>
      <c r="AQ90" s="653"/>
      <c r="AR90" s="653"/>
    </row>
    <row r="91" spans="1:44" ht="15.75">
      <c r="A91" s="522" t="s">
        <v>169</v>
      </c>
      <c r="B91" s="545">
        <v>1881</v>
      </c>
      <c r="C91" s="548">
        <v>236</v>
      </c>
      <c r="D91" s="545">
        <v>7445</v>
      </c>
      <c r="E91" s="546">
        <v>5788</v>
      </c>
      <c r="F91" s="548">
        <v>1657</v>
      </c>
      <c r="G91" s="581">
        <v>9.2390000000000007E-3</v>
      </c>
      <c r="H91" s="581">
        <v>3.5167690127538971</v>
      </c>
      <c r="I91" s="555">
        <v>17.8</v>
      </c>
      <c r="J91" s="556">
        <v>23.92</v>
      </c>
      <c r="K91" s="557">
        <v>17.12</v>
      </c>
      <c r="L91" s="582">
        <v>1.11E-2</v>
      </c>
      <c r="P91" s="522" t="s">
        <v>98</v>
      </c>
      <c r="Q91" s="545">
        <v>3.9433046993431025</v>
      </c>
      <c r="R91" s="549">
        <v>260</v>
      </c>
      <c r="S91" s="548">
        <v>15</v>
      </c>
      <c r="T91" s="545">
        <v>2.8145224940805051</v>
      </c>
      <c r="U91" s="549">
        <v>91</v>
      </c>
      <c r="V91" s="548">
        <v>15</v>
      </c>
      <c r="W91" s="545">
        <v>32.32</v>
      </c>
      <c r="X91" s="549">
        <v>202</v>
      </c>
      <c r="Y91" s="548">
        <v>15</v>
      </c>
      <c r="Z91" s="545">
        <v>8</v>
      </c>
      <c r="AA91" s="549">
        <v>6</v>
      </c>
      <c r="AB91" s="548">
        <v>5</v>
      </c>
      <c r="AC91" s="546">
        <v>1.7547E-2</v>
      </c>
      <c r="AD91" s="575">
        <v>192</v>
      </c>
      <c r="AE91" s="576">
        <v>12</v>
      </c>
      <c r="AF91" s="547">
        <v>1.9680000000000001E-3</v>
      </c>
      <c r="AG91" s="575">
        <v>11</v>
      </c>
      <c r="AH91" s="548">
        <v>3</v>
      </c>
      <c r="AI91" s="578">
        <v>83</v>
      </c>
      <c r="AJ91" s="575">
        <v>247</v>
      </c>
      <c r="AK91" s="548">
        <v>17</v>
      </c>
      <c r="AL91" s="579">
        <v>15</v>
      </c>
      <c r="AM91" s="575">
        <v>311</v>
      </c>
      <c r="AN91" s="580">
        <v>5</v>
      </c>
      <c r="AO91" s="492"/>
      <c r="AP91" s="653"/>
      <c r="AQ91" s="653"/>
      <c r="AR91" s="103"/>
    </row>
    <row r="92" spans="1:44" ht="15.75">
      <c r="A92" s="522" t="s">
        <v>171</v>
      </c>
      <c r="B92" s="545">
        <v>1878</v>
      </c>
      <c r="C92" s="548">
        <v>236</v>
      </c>
      <c r="D92" s="545">
        <v>7432</v>
      </c>
      <c r="E92" s="546">
        <v>5788</v>
      </c>
      <c r="F92" s="548">
        <v>1644</v>
      </c>
      <c r="G92" s="581">
        <v>9.2010000000000008E-3</v>
      </c>
      <c r="H92" s="581">
        <v>3.515610217596973</v>
      </c>
      <c r="I92" s="555">
        <v>17.8</v>
      </c>
      <c r="J92" s="556">
        <v>23.92</v>
      </c>
      <c r="K92" s="557">
        <v>17.102</v>
      </c>
      <c r="L92" s="582">
        <v>1.11E-2</v>
      </c>
      <c r="P92" s="522" t="s">
        <v>102</v>
      </c>
      <c r="Q92" s="545">
        <v>4.1219461046450672</v>
      </c>
      <c r="R92" s="549">
        <v>169</v>
      </c>
      <c r="S92" s="548">
        <v>16</v>
      </c>
      <c r="T92" s="545">
        <v>2.8233253269282095</v>
      </c>
      <c r="U92" s="549">
        <v>91</v>
      </c>
      <c r="V92" s="548">
        <v>15</v>
      </c>
      <c r="W92" s="545">
        <v>31.9</v>
      </c>
      <c r="X92" s="549">
        <v>202</v>
      </c>
      <c r="Y92" s="548">
        <v>15</v>
      </c>
      <c r="Z92" s="545">
        <v>8</v>
      </c>
      <c r="AA92" s="549">
        <v>6</v>
      </c>
      <c r="AB92" s="548">
        <v>5</v>
      </c>
      <c r="AC92" s="546">
        <v>1.7045000000000001E-2</v>
      </c>
      <c r="AD92" s="575">
        <v>192</v>
      </c>
      <c r="AE92" s="576">
        <v>13</v>
      </c>
      <c r="AF92" s="547">
        <v>1.9680000000000001E-3</v>
      </c>
      <c r="AG92" s="575">
        <v>11</v>
      </c>
      <c r="AH92" s="548">
        <v>3</v>
      </c>
      <c r="AI92" s="578">
        <v>76</v>
      </c>
      <c r="AJ92" s="575">
        <v>162</v>
      </c>
      <c r="AK92" s="548">
        <v>18</v>
      </c>
      <c r="AL92" s="579">
        <v>15</v>
      </c>
      <c r="AM92" s="575">
        <v>311</v>
      </c>
      <c r="AN92" s="580">
        <v>5</v>
      </c>
      <c r="AO92" s="492"/>
      <c r="AP92" s="653"/>
      <c r="AQ92" s="653"/>
      <c r="AR92" s="653"/>
    </row>
    <row r="93" spans="1:44" ht="15.75">
      <c r="A93" s="522" t="s">
        <v>173</v>
      </c>
      <c r="B93" s="545">
        <v>1756</v>
      </c>
      <c r="C93" s="548">
        <v>224</v>
      </c>
      <c r="D93" s="545">
        <v>7000</v>
      </c>
      <c r="E93" s="546">
        <v>5580</v>
      </c>
      <c r="F93" s="548">
        <v>1420</v>
      </c>
      <c r="G93" s="581">
        <v>8.9689999999999995E-3</v>
      </c>
      <c r="H93" s="581">
        <v>3.5353535353535355</v>
      </c>
      <c r="I93" s="555">
        <v>17.2</v>
      </c>
      <c r="J93" s="556">
        <v>23.83</v>
      </c>
      <c r="K93" s="557">
        <v>16.786999999999999</v>
      </c>
      <c r="L93" s="582">
        <v>1.018E-2</v>
      </c>
      <c r="P93" s="522" t="s">
        <v>356</v>
      </c>
      <c r="Q93" s="545">
        <v>4.0171608448415927</v>
      </c>
      <c r="R93" s="549">
        <v>260</v>
      </c>
      <c r="S93" s="548">
        <v>16</v>
      </c>
      <c r="T93" s="545">
        <v>2.8233253269282095</v>
      </c>
      <c r="U93" s="549">
        <v>91</v>
      </c>
      <c r="V93" s="548">
        <v>15</v>
      </c>
      <c r="W93" s="545">
        <v>32.15</v>
      </c>
      <c r="X93" s="549">
        <v>202</v>
      </c>
      <c r="Y93" s="548">
        <v>15</v>
      </c>
      <c r="Z93" s="545">
        <v>8</v>
      </c>
      <c r="AA93" s="549">
        <v>6</v>
      </c>
      <c r="AB93" s="548">
        <v>5</v>
      </c>
      <c r="AC93" s="546">
        <v>1.7271999999999999E-2</v>
      </c>
      <c r="AD93" s="575">
        <v>192</v>
      </c>
      <c r="AE93" s="576">
        <v>13</v>
      </c>
      <c r="AF93" s="547">
        <v>1.9680000000000001E-3</v>
      </c>
      <c r="AG93" s="575">
        <v>11</v>
      </c>
      <c r="AH93" s="548">
        <v>3</v>
      </c>
      <c r="AI93" s="578">
        <v>80</v>
      </c>
      <c r="AJ93" s="575">
        <v>247</v>
      </c>
      <c r="AK93" s="548">
        <v>17</v>
      </c>
      <c r="AL93" s="579">
        <v>15</v>
      </c>
      <c r="AM93" s="575">
        <v>311</v>
      </c>
      <c r="AN93" s="580">
        <v>5</v>
      </c>
      <c r="AO93" s="492"/>
      <c r="AP93" s="653"/>
      <c r="AQ93" s="653"/>
      <c r="AR93" s="653"/>
    </row>
    <row r="94" spans="1:44" ht="15.75">
      <c r="A94" s="522" t="s">
        <v>174</v>
      </c>
      <c r="B94" s="545">
        <v>2075</v>
      </c>
      <c r="C94" s="548">
        <v>253</v>
      </c>
      <c r="D94" s="545">
        <v>7915</v>
      </c>
      <c r="E94" s="546">
        <v>6341</v>
      </c>
      <c r="F94" s="548">
        <v>1574</v>
      </c>
      <c r="G94" s="581">
        <v>9.0119999999999992E-3</v>
      </c>
      <c r="H94" s="581">
        <v>3.3999140893470785</v>
      </c>
      <c r="I94" s="555">
        <v>19.399999999999999</v>
      </c>
      <c r="J94" s="556">
        <v>24.16</v>
      </c>
      <c r="K94" s="557">
        <v>17.032</v>
      </c>
      <c r="L94" s="582">
        <v>1.1001E-2</v>
      </c>
      <c r="P94" s="522" t="s">
        <v>105</v>
      </c>
      <c r="Q94" s="545">
        <v>3.9320987654320994</v>
      </c>
      <c r="R94" s="549">
        <v>278</v>
      </c>
      <c r="S94" s="548">
        <v>24</v>
      </c>
      <c r="T94" s="545">
        <v>2.7859087814840033</v>
      </c>
      <c r="U94" s="549">
        <v>165</v>
      </c>
      <c r="V94" s="548">
        <v>17</v>
      </c>
      <c r="W94" s="545">
        <v>35</v>
      </c>
      <c r="X94" s="549">
        <v>112</v>
      </c>
      <c r="Y94" s="548">
        <v>1</v>
      </c>
      <c r="Z94" s="545">
        <v>8</v>
      </c>
      <c r="AA94" s="549">
        <v>6</v>
      </c>
      <c r="AB94" s="548">
        <v>5</v>
      </c>
      <c r="AC94" s="546">
        <v>1.6479000000000001E-2</v>
      </c>
      <c r="AD94" s="575">
        <v>276</v>
      </c>
      <c r="AE94" s="576">
        <v>2</v>
      </c>
      <c r="AF94" s="547">
        <v>1.9680000000000001E-3</v>
      </c>
      <c r="AG94" s="575">
        <v>11</v>
      </c>
      <c r="AH94" s="548">
        <v>3</v>
      </c>
      <c r="AI94" s="578">
        <v>70</v>
      </c>
      <c r="AJ94" s="575">
        <v>276</v>
      </c>
      <c r="AK94" s="548">
        <v>8</v>
      </c>
      <c r="AL94" s="579">
        <v>15</v>
      </c>
      <c r="AM94" s="575">
        <v>311</v>
      </c>
      <c r="AN94" s="580">
        <v>5</v>
      </c>
      <c r="AO94" s="492"/>
      <c r="AP94" s="653"/>
      <c r="AQ94" s="653"/>
      <c r="AR94" s="653"/>
    </row>
    <row r="95" spans="1:44" ht="15.75">
      <c r="A95" s="522" t="s">
        <v>176</v>
      </c>
      <c r="B95" s="545">
        <v>3035</v>
      </c>
      <c r="C95" s="548">
        <v>334</v>
      </c>
      <c r="D95" s="545">
        <v>10450</v>
      </c>
      <c r="E95" s="546">
        <v>8277</v>
      </c>
      <c r="F95" s="548">
        <v>2173</v>
      </c>
      <c r="G95" s="581">
        <v>9.4900000000000002E-3</v>
      </c>
      <c r="H95" s="581">
        <v>3.1018106262986045</v>
      </c>
      <c r="I95" s="555">
        <v>25</v>
      </c>
      <c r="J95" s="556">
        <v>25</v>
      </c>
      <c r="K95" s="557">
        <v>17.911000000000001</v>
      </c>
      <c r="L95" s="582">
        <v>1.3140000000000001E-2</v>
      </c>
      <c r="P95" s="538" t="s">
        <v>108</v>
      </c>
      <c r="Q95" s="550">
        <v>4.4320100031259768</v>
      </c>
      <c r="R95" s="554">
        <v>278</v>
      </c>
      <c r="S95" s="553">
        <v>24</v>
      </c>
      <c r="T95" s="550">
        <v>2.8233253269282095</v>
      </c>
      <c r="U95" s="554">
        <v>91</v>
      </c>
      <c r="V95" s="553">
        <v>15</v>
      </c>
      <c r="W95" s="550">
        <v>33</v>
      </c>
      <c r="X95" s="554">
        <v>202</v>
      </c>
      <c r="Y95" s="553">
        <v>15</v>
      </c>
      <c r="Z95" s="550">
        <v>8</v>
      </c>
      <c r="AA95" s="554">
        <v>6</v>
      </c>
      <c r="AB95" s="553">
        <v>5</v>
      </c>
      <c r="AC95" s="546">
        <v>1.3457E-2</v>
      </c>
      <c r="AD95" s="575">
        <v>321</v>
      </c>
      <c r="AE95" s="576">
        <v>16</v>
      </c>
      <c r="AF95" s="547">
        <v>1.9680000000000001E-3</v>
      </c>
      <c r="AG95" s="575">
        <v>11</v>
      </c>
      <c r="AH95" s="548">
        <v>3</v>
      </c>
      <c r="AI95" s="578">
        <v>68</v>
      </c>
      <c r="AJ95" s="575">
        <v>321</v>
      </c>
      <c r="AK95" s="548">
        <v>16</v>
      </c>
      <c r="AL95" s="579">
        <v>15</v>
      </c>
      <c r="AM95" s="575">
        <v>311</v>
      </c>
      <c r="AN95" s="580">
        <v>5</v>
      </c>
      <c r="AO95" s="492"/>
      <c r="AP95" s="653"/>
      <c r="AQ95" s="653"/>
      <c r="AR95" s="653"/>
    </row>
    <row r="96" spans="1:44" ht="15.75">
      <c r="A96" s="522" t="s">
        <v>178</v>
      </c>
      <c r="B96" s="545">
        <v>3303</v>
      </c>
      <c r="C96" s="548">
        <v>352</v>
      </c>
      <c r="D96" s="545">
        <v>10813</v>
      </c>
      <c r="E96" s="546">
        <v>9038</v>
      </c>
      <c r="F96" s="548">
        <v>1775</v>
      </c>
      <c r="G96" s="581">
        <v>9.3139999999999994E-3</v>
      </c>
      <c r="H96" s="581">
        <v>2.9584131326949388</v>
      </c>
      <c r="I96" s="555">
        <v>27.2</v>
      </c>
      <c r="J96" s="556">
        <v>25.33</v>
      </c>
      <c r="K96" s="557">
        <v>17.646000000000001</v>
      </c>
      <c r="L96" s="582">
        <v>1.1075E-2</v>
      </c>
      <c r="P96" s="69" t="s">
        <v>109</v>
      </c>
      <c r="Q96" s="487"/>
      <c r="R96" s="490"/>
      <c r="S96" s="489"/>
      <c r="T96" s="487"/>
      <c r="U96" s="490"/>
      <c r="V96" s="489"/>
      <c r="W96" s="487"/>
      <c r="X96" s="490"/>
      <c r="Y96" s="489"/>
      <c r="Z96" s="487"/>
      <c r="AA96" s="490"/>
      <c r="AB96" s="489"/>
      <c r="AC96" s="487"/>
      <c r="AD96" s="490"/>
      <c r="AE96" s="489"/>
      <c r="AF96" s="487"/>
      <c r="AG96" s="490"/>
      <c r="AH96" s="583"/>
      <c r="AI96" s="489"/>
      <c r="AJ96" s="490"/>
      <c r="AK96" s="583"/>
      <c r="AL96" s="489"/>
      <c r="AM96" s="490"/>
      <c r="AN96" s="491"/>
      <c r="AP96" s="653"/>
      <c r="AQ96" s="653"/>
      <c r="AR96" s="653"/>
    </row>
    <row r="97" spans="1:44" ht="15.75">
      <c r="A97" s="522" t="s">
        <v>180</v>
      </c>
      <c r="B97" s="545">
        <v>4483</v>
      </c>
      <c r="C97" s="548">
        <v>463</v>
      </c>
      <c r="D97" s="545">
        <v>14631</v>
      </c>
      <c r="E97" s="546">
        <v>11971</v>
      </c>
      <c r="F97" s="548">
        <v>2660</v>
      </c>
      <c r="G97" s="581">
        <v>9.7079999999999996E-3</v>
      </c>
      <c r="H97" s="581">
        <v>2.9581479983825316</v>
      </c>
      <c r="I97" s="555">
        <v>28.9</v>
      </c>
      <c r="J97" s="556">
        <v>25.59</v>
      </c>
      <c r="K97" s="557">
        <v>18.117999999999999</v>
      </c>
      <c r="L97" s="582">
        <v>1.1995E-2</v>
      </c>
      <c r="P97" s="69" t="s">
        <v>111</v>
      </c>
      <c r="Q97" s="487"/>
      <c r="R97" s="490"/>
      <c r="S97" s="489"/>
      <c r="T97" s="487"/>
      <c r="U97" s="490"/>
      <c r="V97" s="489"/>
      <c r="W97" s="487"/>
      <c r="X97" s="490"/>
      <c r="Y97" s="489"/>
      <c r="Z97" s="487"/>
      <c r="AA97" s="490"/>
      <c r="AB97" s="489"/>
      <c r="AC97" s="487"/>
      <c r="AD97" s="490"/>
      <c r="AE97" s="489"/>
      <c r="AF97" s="487"/>
      <c r="AG97" s="490"/>
      <c r="AH97" s="583"/>
      <c r="AI97" s="489"/>
      <c r="AJ97" s="490"/>
      <c r="AK97" s="583"/>
      <c r="AL97" s="489"/>
      <c r="AM97" s="490"/>
      <c r="AN97" s="491"/>
      <c r="AP97" s="653"/>
      <c r="AQ97" s="653"/>
      <c r="AR97" s="653"/>
    </row>
    <row r="98" spans="1:44" ht="15.75">
      <c r="A98" s="522" t="s">
        <v>183</v>
      </c>
      <c r="B98" s="545">
        <v>4594</v>
      </c>
      <c r="C98" s="548">
        <v>472</v>
      </c>
      <c r="D98" s="545">
        <v>15099</v>
      </c>
      <c r="E98" s="546">
        <v>11971</v>
      </c>
      <c r="F98" s="548">
        <v>3128</v>
      </c>
      <c r="G98" s="581">
        <v>1.0041E-2</v>
      </c>
      <c r="H98" s="581">
        <v>2.980457954994078</v>
      </c>
      <c r="I98" s="555">
        <v>28.9</v>
      </c>
      <c r="J98" s="556">
        <v>25.59</v>
      </c>
      <c r="K98" s="557">
        <v>18.442</v>
      </c>
      <c r="L98" s="582">
        <v>1.2760000000000001E-2</v>
      </c>
      <c r="P98" s="69" t="s">
        <v>112</v>
      </c>
      <c r="Q98" s="487"/>
      <c r="R98" s="490"/>
      <c r="S98" s="489"/>
      <c r="T98" s="487"/>
      <c r="U98" s="490"/>
      <c r="V98" s="489"/>
      <c r="W98" s="487"/>
      <c r="X98" s="490"/>
      <c r="Y98" s="489"/>
      <c r="Z98" s="487"/>
      <c r="AA98" s="490"/>
      <c r="AB98" s="489"/>
      <c r="AC98" s="487"/>
      <c r="AD98" s="490"/>
      <c r="AE98" s="489"/>
      <c r="AF98" s="487"/>
      <c r="AG98" s="490"/>
      <c r="AH98" s="583"/>
      <c r="AI98" s="489"/>
      <c r="AJ98" s="490"/>
      <c r="AK98" s="583"/>
      <c r="AL98" s="489"/>
      <c r="AM98" s="490"/>
      <c r="AN98" s="491"/>
      <c r="AP98" s="653"/>
      <c r="AQ98" s="653"/>
      <c r="AR98" s="653"/>
    </row>
    <row r="99" spans="1:44" ht="15.75">
      <c r="A99" s="522" t="s">
        <v>186</v>
      </c>
      <c r="B99" s="545">
        <v>5238</v>
      </c>
      <c r="C99" s="548">
        <v>516</v>
      </c>
      <c r="D99" s="545">
        <v>16722</v>
      </c>
      <c r="E99" s="546">
        <v>12731</v>
      </c>
      <c r="F99" s="548">
        <v>3991</v>
      </c>
      <c r="G99" s="581">
        <v>1.0588E-2</v>
      </c>
      <c r="H99" s="581">
        <v>2.9061522419186652</v>
      </c>
      <c r="I99" s="555">
        <v>31.1</v>
      </c>
      <c r="J99" s="556">
        <v>25.91</v>
      </c>
      <c r="K99" s="557">
        <v>19.141999999999999</v>
      </c>
      <c r="L99" s="582">
        <v>1.4808999999999999E-2</v>
      </c>
      <c r="P99" s="69" t="s">
        <v>113</v>
      </c>
      <c r="Q99" s="487"/>
      <c r="R99" s="490"/>
      <c r="S99" s="489"/>
      <c r="T99" s="487"/>
      <c r="U99" s="490"/>
      <c r="V99" s="489"/>
      <c r="W99" s="487"/>
      <c r="X99" s="490"/>
      <c r="Y99" s="489"/>
      <c r="Z99" s="487"/>
      <c r="AA99" s="490"/>
      <c r="AB99" s="489"/>
      <c r="AC99" s="487"/>
      <c r="AD99" s="490"/>
      <c r="AE99" s="489"/>
      <c r="AF99" s="487"/>
      <c r="AG99" s="490"/>
      <c r="AH99" s="583"/>
      <c r="AI99" s="489"/>
      <c r="AJ99" s="490"/>
      <c r="AK99" s="583"/>
      <c r="AL99" s="489"/>
      <c r="AM99" s="490"/>
      <c r="AN99" s="491"/>
      <c r="AP99" s="653"/>
      <c r="AQ99" s="653"/>
      <c r="AR99" s="653"/>
    </row>
    <row r="100" spans="1:44" ht="15.75">
      <c r="A100" s="522" t="s">
        <v>187</v>
      </c>
      <c r="B100" s="545">
        <v>5066</v>
      </c>
      <c r="C100" s="548">
        <v>504</v>
      </c>
      <c r="D100" s="545">
        <v>16258</v>
      </c>
      <c r="E100" s="546">
        <v>12559</v>
      </c>
      <c r="F100" s="548">
        <v>3699</v>
      </c>
      <c r="G100" s="581">
        <v>1.0580000000000001E-2</v>
      </c>
      <c r="H100" s="581">
        <v>2.9188509874326747</v>
      </c>
      <c r="I100" s="555">
        <v>30.6</v>
      </c>
      <c r="J100" s="556">
        <v>25.84</v>
      </c>
      <c r="K100" s="557">
        <v>18.934999999999999</v>
      </c>
      <c r="L100" s="582">
        <v>1.3252999999999999E-2</v>
      </c>
      <c r="P100" s="69" t="s">
        <v>114</v>
      </c>
      <c r="Q100" s="487"/>
      <c r="R100" s="490"/>
      <c r="S100" s="489"/>
      <c r="T100" s="487"/>
      <c r="U100" s="490"/>
      <c r="V100" s="489"/>
      <c r="W100" s="487"/>
      <c r="X100" s="490"/>
      <c r="Y100" s="489"/>
      <c r="Z100" s="487"/>
      <c r="AA100" s="490"/>
      <c r="AB100" s="489"/>
      <c r="AC100" s="487"/>
      <c r="AD100" s="490"/>
      <c r="AE100" s="489"/>
      <c r="AF100" s="487"/>
      <c r="AG100" s="490"/>
      <c r="AH100" s="583"/>
      <c r="AI100" s="489"/>
      <c r="AJ100" s="490"/>
      <c r="AK100" s="583"/>
      <c r="AL100" s="489"/>
      <c r="AM100" s="490"/>
      <c r="AN100" s="491"/>
      <c r="AP100" s="653"/>
      <c r="AQ100" s="653"/>
      <c r="AR100" s="654"/>
    </row>
    <row r="101" spans="1:44" ht="15.75">
      <c r="A101" s="522" t="s">
        <v>191</v>
      </c>
      <c r="B101" s="545">
        <v>6442</v>
      </c>
      <c r="C101" s="548">
        <v>642</v>
      </c>
      <c r="D101" s="545">
        <v>21090</v>
      </c>
      <c r="E101" s="546">
        <v>17422</v>
      </c>
      <c r="F101" s="548">
        <v>3669</v>
      </c>
      <c r="G101" s="581">
        <v>9.9749999999999995E-3</v>
      </c>
      <c r="H101" s="581">
        <v>2.9771315640880855</v>
      </c>
      <c r="I101" s="555">
        <v>31.1</v>
      </c>
      <c r="J101" s="556">
        <v>25.91</v>
      </c>
      <c r="K101" s="557">
        <v>18.326000000000001</v>
      </c>
      <c r="L101" s="582">
        <v>1.1329000000000001E-2</v>
      </c>
      <c r="P101" s="518" t="s">
        <v>116</v>
      </c>
      <c r="Q101" s="540">
        <v>4.1846218842416558</v>
      </c>
      <c r="R101" s="544">
        <v>76</v>
      </c>
      <c r="S101" s="543">
        <v>10</v>
      </c>
      <c r="T101" s="540">
        <v>2.666464155528554</v>
      </c>
      <c r="U101" s="544">
        <v>212</v>
      </c>
      <c r="V101" s="543">
        <v>12</v>
      </c>
      <c r="W101" s="540">
        <v>25.02</v>
      </c>
      <c r="X101" s="544">
        <v>90</v>
      </c>
      <c r="Y101" s="543">
        <v>17</v>
      </c>
      <c r="Z101" s="540">
        <v>8.5399999999999991</v>
      </c>
      <c r="AA101" s="544">
        <v>355</v>
      </c>
      <c r="AB101" s="543">
        <v>20</v>
      </c>
      <c r="AC101" s="540">
        <v>1.1712999999999999E-2</v>
      </c>
      <c r="AD101" s="544">
        <v>202</v>
      </c>
      <c r="AE101" s="543">
        <v>15</v>
      </c>
      <c r="AF101" s="540">
        <v>6.9080000000000001E-3</v>
      </c>
      <c r="AG101" s="544">
        <v>355</v>
      </c>
      <c r="AH101" s="543">
        <v>20</v>
      </c>
      <c r="AI101" s="584">
        <v>100</v>
      </c>
      <c r="AJ101" s="544">
        <v>319</v>
      </c>
      <c r="AK101" s="543">
        <v>5</v>
      </c>
      <c r="AL101" s="585">
        <v>54</v>
      </c>
      <c r="AM101" s="544">
        <v>278</v>
      </c>
      <c r="AN101" s="543">
        <v>24</v>
      </c>
      <c r="AO101" s="655"/>
      <c r="AP101" s="653"/>
      <c r="AQ101" s="653"/>
      <c r="AR101" s="654"/>
    </row>
    <row r="102" spans="1:44" ht="15.75">
      <c r="A102" s="522" t="s">
        <v>194</v>
      </c>
      <c r="B102" s="545">
        <v>6523</v>
      </c>
      <c r="C102" s="548">
        <v>645</v>
      </c>
      <c r="D102" s="545">
        <v>21067</v>
      </c>
      <c r="E102" s="546">
        <v>17629</v>
      </c>
      <c r="F102" s="548">
        <v>3438</v>
      </c>
      <c r="G102" s="581">
        <v>9.7780000000000002E-3</v>
      </c>
      <c r="H102" s="581">
        <v>2.939034598214286</v>
      </c>
      <c r="I102" s="555">
        <v>31.7</v>
      </c>
      <c r="J102" s="556">
        <v>26</v>
      </c>
      <c r="K102" s="557">
        <v>18.268999999999998</v>
      </c>
      <c r="L102" s="582">
        <v>1.1729E-2</v>
      </c>
      <c r="P102" s="522" t="s">
        <v>121</v>
      </c>
      <c r="Q102" s="545">
        <v>4.6895843211632684</v>
      </c>
      <c r="R102" s="549">
        <v>278</v>
      </c>
      <c r="S102" s="548">
        <v>24</v>
      </c>
      <c r="T102" s="545">
        <v>2.88173609088261</v>
      </c>
      <c r="U102" s="549">
        <v>91</v>
      </c>
      <c r="V102" s="548">
        <v>15</v>
      </c>
      <c r="W102" s="545">
        <v>25.02</v>
      </c>
      <c r="X102" s="549">
        <v>90</v>
      </c>
      <c r="Y102" s="548">
        <v>17</v>
      </c>
      <c r="Z102" s="545">
        <v>8.5399999999999991</v>
      </c>
      <c r="AA102" s="549">
        <v>355</v>
      </c>
      <c r="AB102" s="548">
        <v>20</v>
      </c>
      <c r="AC102" s="545">
        <v>1.1716000000000001E-2</v>
      </c>
      <c r="AD102" s="549">
        <v>202</v>
      </c>
      <c r="AE102" s="548">
        <v>15</v>
      </c>
      <c r="AF102" s="545">
        <v>6.9080000000000001E-3</v>
      </c>
      <c r="AG102" s="549">
        <v>355</v>
      </c>
      <c r="AH102" s="548">
        <v>20</v>
      </c>
      <c r="AI102" s="586">
        <v>100</v>
      </c>
      <c r="AJ102" s="549">
        <v>319</v>
      </c>
      <c r="AK102" s="548">
        <v>5</v>
      </c>
      <c r="AL102" s="587">
        <v>54</v>
      </c>
      <c r="AM102" s="549">
        <v>278</v>
      </c>
      <c r="AN102" s="548">
        <v>23</v>
      </c>
      <c r="AO102" s="655"/>
      <c r="AP102" s="653"/>
      <c r="AQ102" s="653"/>
      <c r="AR102" s="654"/>
    </row>
    <row r="103" spans="1:44" ht="15.75">
      <c r="A103" s="522" t="s">
        <v>79</v>
      </c>
      <c r="B103" s="545">
        <v>8000</v>
      </c>
      <c r="C103" s="548">
        <v>785</v>
      </c>
      <c r="D103" s="545">
        <v>26636</v>
      </c>
      <c r="E103" s="546">
        <v>22491</v>
      </c>
      <c r="F103" s="548">
        <v>4145</v>
      </c>
      <c r="G103" s="581">
        <v>9.5790000000000007E-3</v>
      </c>
      <c r="H103" s="581">
        <v>3.0319863403528742</v>
      </c>
      <c r="I103" s="555">
        <v>32.200000000000003</v>
      </c>
      <c r="J103" s="556">
        <v>26.08</v>
      </c>
      <c r="K103" s="557">
        <v>18.239000000000001</v>
      </c>
      <c r="L103" s="582">
        <v>1.2378999999999999E-2</v>
      </c>
      <c r="P103" s="522" t="s">
        <v>125</v>
      </c>
      <c r="Q103" s="545">
        <v>3.8017291066282426</v>
      </c>
      <c r="R103" s="549">
        <v>121</v>
      </c>
      <c r="S103" s="548">
        <v>16</v>
      </c>
      <c r="T103" s="545">
        <v>2.3333333333333335</v>
      </c>
      <c r="U103" s="549">
        <v>29</v>
      </c>
      <c r="V103" s="548">
        <v>10</v>
      </c>
      <c r="W103" s="545">
        <v>15.98</v>
      </c>
      <c r="X103" s="549">
        <v>202</v>
      </c>
      <c r="Y103" s="548">
        <v>15</v>
      </c>
      <c r="Z103" s="545">
        <v>8.51</v>
      </c>
      <c r="AA103" s="549">
        <v>355</v>
      </c>
      <c r="AB103" s="548">
        <v>20</v>
      </c>
      <c r="AC103" s="545">
        <v>7.5659999999999998E-3</v>
      </c>
      <c r="AD103" s="549">
        <v>202</v>
      </c>
      <c r="AE103" s="548">
        <v>15</v>
      </c>
      <c r="AF103" s="545">
        <v>6.5250000000000004E-3</v>
      </c>
      <c r="AG103" s="549">
        <v>332</v>
      </c>
      <c r="AH103" s="548">
        <v>23</v>
      </c>
      <c r="AI103" s="586">
        <v>95</v>
      </c>
      <c r="AJ103" s="549">
        <v>355</v>
      </c>
      <c r="AK103" s="548">
        <v>17</v>
      </c>
      <c r="AL103" s="587">
        <v>61</v>
      </c>
      <c r="AM103" s="549">
        <v>332</v>
      </c>
      <c r="AN103" s="548">
        <v>22</v>
      </c>
      <c r="AO103" s="655"/>
      <c r="AP103" s="653"/>
      <c r="AQ103" s="653"/>
      <c r="AR103" s="654"/>
    </row>
    <row r="104" spans="1:44" ht="15.75">
      <c r="A104" s="522" t="s">
        <v>198</v>
      </c>
      <c r="B104" s="545">
        <v>8169</v>
      </c>
      <c r="C104" s="548">
        <v>799</v>
      </c>
      <c r="D104" s="545">
        <v>27416</v>
      </c>
      <c r="E104" s="546">
        <v>22491</v>
      </c>
      <c r="F104" s="548">
        <v>4925</v>
      </c>
      <c r="G104" s="581">
        <v>9.7330000000000003E-3</v>
      </c>
      <c r="H104" s="581">
        <v>3.0570918822479931</v>
      </c>
      <c r="I104" s="555">
        <v>32.200000000000003</v>
      </c>
      <c r="J104" s="556">
        <v>26.08</v>
      </c>
      <c r="K104" s="557">
        <v>18.556999999999999</v>
      </c>
      <c r="L104" s="582">
        <v>1.4232E-2</v>
      </c>
      <c r="P104" s="522" t="s">
        <v>127</v>
      </c>
      <c r="Q104" s="545">
        <v>3.9857984589817197</v>
      </c>
      <c r="R104" s="549">
        <v>121</v>
      </c>
      <c r="S104" s="548">
        <v>16</v>
      </c>
      <c r="T104" s="545">
        <v>2.4285714285714288</v>
      </c>
      <c r="U104" s="549">
        <v>90</v>
      </c>
      <c r="V104" s="548">
        <v>17</v>
      </c>
      <c r="W104" s="545">
        <v>20.05</v>
      </c>
      <c r="X104" s="549">
        <v>73</v>
      </c>
      <c r="Y104" s="548">
        <v>22</v>
      </c>
      <c r="Z104" s="545">
        <v>8.5399999999999991</v>
      </c>
      <c r="AA104" s="549">
        <v>355</v>
      </c>
      <c r="AB104" s="548">
        <v>20</v>
      </c>
      <c r="AC104" s="545">
        <v>9.3980000000000001E-3</v>
      </c>
      <c r="AD104" s="549">
        <v>202</v>
      </c>
      <c r="AE104" s="548">
        <v>15</v>
      </c>
      <c r="AF104" s="545">
        <v>6.9080000000000001E-3</v>
      </c>
      <c r="AG104" s="549">
        <v>355</v>
      </c>
      <c r="AH104" s="548">
        <v>20</v>
      </c>
      <c r="AI104" s="586">
        <v>100</v>
      </c>
      <c r="AJ104" s="549">
        <v>350</v>
      </c>
      <c r="AK104" s="548">
        <v>1</v>
      </c>
      <c r="AL104" s="587">
        <v>60</v>
      </c>
      <c r="AM104" s="549">
        <v>278</v>
      </c>
      <c r="AN104" s="548">
        <v>23</v>
      </c>
      <c r="AO104" s="655"/>
      <c r="AP104" s="653"/>
      <c r="AQ104" s="653"/>
      <c r="AR104" s="120"/>
    </row>
    <row r="105" spans="1:44" ht="15.75">
      <c r="A105" s="522" t="s">
        <v>201</v>
      </c>
      <c r="B105" s="545">
        <v>5306</v>
      </c>
      <c r="C105" s="548">
        <v>519</v>
      </c>
      <c r="D105" s="545">
        <v>16702</v>
      </c>
      <c r="E105" s="546">
        <v>12939</v>
      </c>
      <c r="F105" s="548">
        <v>3763</v>
      </c>
      <c r="G105" s="581">
        <v>1.044E-2</v>
      </c>
      <c r="H105" s="581">
        <v>2.8672961373390562</v>
      </c>
      <c r="I105" s="555">
        <v>31.7</v>
      </c>
      <c r="J105" s="556">
        <v>26</v>
      </c>
      <c r="K105" s="557">
        <v>19.062999999999999</v>
      </c>
      <c r="L105" s="582">
        <v>1.473E-2</v>
      </c>
      <c r="P105" s="522" t="s">
        <v>130</v>
      </c>
      <c r="Q105" s="545">
        <v>4.6380543633762521</v>
      </c>
      <c r="R105" s="549">
        <v>76</v>
      </c>
      <c r="S105" s="548">
        <v>10</v>
      </c>
      <c r="T105" s="545">
        <v>2.8940734188412205</v>
      </c>
      <c r="U105" s="549">
        <v>211</v>
      </c>
      <c r="V105" s="548">
        <v>12</v>
      </c>
      <c r="W105" s="545">
        <v>35</v>
      </c>
      <c r="X105" s="549">
        <v>71</v>
      </c>
      <c r="Y105" s="548">
        <v>10</v>
      </c>
      <c r="Z105" s="555">
        <v>8.5399999999999991</v>
      </c>
      <c r="AA105" s="549">
        <v>355</v>
      </c>
      <c r="AB105" s="557">
        <v>20</v>
      </c>
      <c r="AC105" s="545">
        <v>1.7625999999999999E-2</v>
      </c>
      <c r="AD105" s="549">
        <v>202</v>
      </c>
      <c r="AE105" s="548">
        <v>15</v>
      </c>
      <c r="AF105" s="555">
        <v>6.9090000000000002E-3</v>
      </c>
      <c r="AG105" s="549">
        <v>355</v>
      </c>
      <c r="AH105" s="557">
        <v>20</v>
      </c>
      <c r="AI105" s="586">
        <v>100</v>
      </c>
      <c r="AJ105" s="549">
        <v>316</v>
      </c>
      <c r="AK105" s="557">
        <v>23</v>
      </c>
      <c r="AL105" s="587">
        <v>44</v>
      </c>
      <c r="AM105" s="549">
        <v>125</v>
      </c>
      <c r="AN105" s="557">
        <v>4</v>
      </c>
      <c r="AO105" s="493"/>
      <c r="AP105" s="653"/>
      <c r="AQ105" s="653"/>
    </row>
    <row r="106" spans="1:44" ht="15.75">
      <c r="A106" s="522" t="s">
        <v>204</v>
      </c>
      <c r="B106" s="545">
        <v>5381</v>
      </c>
      <c r="C106" s="548">
        <v>528</v>
      </c>
      <c r="D106" s="545">
        <v>17312</v>
      </c>
      <c r="E106" s="546">
        <v>12729</v>
      </c>
      <c r="F106" s="548">
        <v>4582</v>
      </c>
      <c r="G106" s="581">
        <v>1.0912E-2</v>
      </c>
      <c r="H106" s="581">
        <v>2.929768150279235</v>
      </c>
      <c r="I106" s="555">
        <v>31.1</v>
      </c>
      <c r="J106" s="556">
        <v>25.91</v>
      </c>
      <c r="K106" s="557">
        <v>19.457999999999998</v>
      </c>
      <c r="L106" s="582">
        <v>1.5684E-2</v>
      </c>
      <c r="P106" s="522" t="s">
        <v>132</v>
      </c>
      <c r="Q106" s="555">
        <v>3.8400447427293063</v>
      </c>
      <c r="R106" s="549">
        <v>76</v>
      </c>
      <c r="S106" s="557">
        <v>10</v>
      </c>
      <c r="T106" s="555">
        <v>2.4732824427480917</v>
      </c>
      <c r="U106" s="549">
        <v>211</v>
      </c>
      <c r="V106" s="557">
        <v>12</v>
      </c>
      <c r="W106" s="555">
        <v>25.02</v>
      </c>
      <c r="X106" s="549">
        <v>90</v>
      </c>
      <c r="Y106" s="557">
        <v>17</v>
      </c>
      <c r="Z106" s="555">
        <v>8.5399999999999991</v>
      </c>
      <c r="AA106" s="549">
        <v>355</v>
      </c>
      <c r="AB106" s="557">
        <v>20</v>
      </c>
      <c r="AC106" s="555">
        <v>5.4910000000000002E-3</v>
      </c>
      <c r="AD106" s="549">
        <v>92</v>
      </c>
      <c r="AE106" s="557">
        <v>1</v>
      </c>
      <c r="AF106" s="555">
        <v>5.4539999999999996E-3</v>
      </c>
      <c r="AG106" s="549">
        <v>306</v>
      </c>
      <c r="AH106" s="557">
        <v>21</v>
      </c>
      <c r="AI106" s="586">
        <v>79</v>
      </c>
      <c r="AJ106" s="549">
        <v>355</v>
      </c>
      <c r="AK106" s="557">
        <v>8</v>
      </c>
      <c r="AL106" s="587">
        <v>28</v>
      </c>
      <c r="AM106" s="549">
        <v>92</v>
      </c>
      <c r="AN106" s="557">
        <v>10</v>
      </c>
      <c r="AO106" s="494"/>
      <c r="AP106" s="653"/>
      <c r="AQ106" s="653"/>
    </row>
    <row r="107" spans="1:44" ht="15.75">
      <c r="A107" s="522" t="s">
        <v>206</v>
      </c>
      <c r="B107" s="545">
        <v>4791</v>
      </c>
      <c r="C107" s="548">
        <v>492</v>
      </c>
      <c r="D107" s="545">
        <v>16232</v>
      </c>
      <c r="E107" s="546">
        <v>11761</v>
      </c>
      <c r="F107" s="548">
        <v>4470</v>
      </c>
      <c r="G107" s="581">
        <v>1.0914E-2</v>
      </c>
      <c r="H107" s="581">
        <v>3.0724966874881692</v>
      </c>
      <c r="I107" s="555">
        <v>28.3</v>
      </c>
      <c r="J107" s="556">
        <v>25.5</v>
      </c>
      <c r="K107" s="557">
        <v>19.199000000000002</v>
      </c>
      <c r="L107" s="582">
        <v>1.4539E-2</v>
      </c>
      <c r="P107" s="522" t="s">
        <v>135</v>
      </c>
      <c r="Q107" s="555">
        <v>3.6666666666666665</v>
      </c>
      <c r="R107" s="549">
        <v>71</v>
      </c>
      <c r="S107" s="557">
        <v>22</v>
      </c>
      <c r="T107" s="555">
        <v>2.1428571428571428</v>
      </c>
      <c r="U107" s="549">
        <v>96</v>
      </c>
      <c r="V107" s="557">
        <v>20</v>
      </c>
      <c r="W107" s="555">
        <v>15.05</v>
      </c>
      <c r="X107" s="549">
        <v>28</v>
      </c>
      <c r="Y107" s="557">
        <v>20</v>
      </c>
      <c r="Z107" s="555">
        <v>8.51</v>
      </c>
      <c r="AA107" s="549">
        <v>355</v>
      </c>
      <c r="AB107" s="557">
        <v>20</v>
      </c>
      <c r="AC107" s="555">
        <v>3.2560000000000002E-3</v>
      </c>
      <c r="AD107" s="549">
        <v>92</v>
      </c>
      <c r="AE107" s="557">
        <v>1</v>
      </c>
      <c r="AF107" s="555">
        <v>3.2529999999999998E-3</v>
      </c>
      <c r="AG107" s="549">
        <v>120</v>
      </c>
      <c r="AH107" s="557">
        <v>23</v>
      </c>
      <c r="AI107" s="586">
        <v>47</v>
      </c>
      <c r="AJ107" s="549">
        <v>355</v>
      </c>
      <c r="AK107" s="557">
        <v>6</v>
      </c>
      <c r="AL107" s="587">
        <v>31</v>
      </c>
      <c r="AM107" s="549">
        <v>92</v>
      </c>
      <c r="AN107" s="557">
        <v>1</v>
      </c>
      <c r="AO107" s="494"/>
      <c r="AP107" s="653"/>
      <c r="AQ107" s="653"/>
    </row>
    <row r="108" spans="1:44" ht="15.75">
      <c r="A108" s="522" t="s">
        <v>207</v>
      </c>
      <c r="B108" s="545">
        <v>4809</v>
      </c>
      <c r="C108" s="548">
        <v>498</v>
      </c>
      <c r="D108" s="545">
        <v>16867</v>
      </c>
      <c r="E108" s="546">
        <v>11381</v>
      </c>
      <c r="F108" s="548">
        <v>5486</v>
      </c>
      <c r="G108" s="581">
        <v>1.1269E-2</v>
      </c>
      <c r="H108" s="581">
        <v>3.1782551347277179</v>
      </c>
      <c r="I108" s="555">
        <v>27.2</v>
      </c>
      <c r="J108" s="556">
        <v>25.33</v>
      </c>
      <c r="K108" s="557">
        <v>19.649999999999999</v>
      </c>
      <c r="L108" s="582">
        <v>1.6878000000000001E-2</v>
      </c>
      <c r="P108" s="538" t="s">
        <v>138</v>
      </c>
      <c r="Q108" s="588">
        <v>4.1564885496183201</v>
      </c>
      <c r="R108" s="554">
        <v>76</v>
      </c>
      <c r="S108" s="589">
        <v>10</v>
      </c>
      <c r="T108" s="588">
        <v>2.6920206659012629</v>
      </c>
      <c r="U108" s="554">
        <v>211</v>
      </c>
      <c r="V108" s="589">
        <v>12</v>
      </c>
      <c r="W108" s="588">
        <v>35</v>
      </c>
      <c r="X108" s="554">
        <v>71</v>
      </c>
      <c r="Y108" s="589">
        <v>10</v>
      </c>
      <c r="Z108" s="588">
        <v>8.5399999999999991</v>
      </c>
      <c r="AA108" s="554">
        <v>355</v>
      </c>
      <c r="AB108" s="589">
        <v>20</v>
      </c>
      <c r="AC108" s="588">
        <v>6.6889999999999996E-3</v>
      </c>
      <c r="AD108" s="554">
        <v>92</v>
      </c>
      <c r="AE108" s="589">
        <v>1</v>
      </c>
      <c r="AF108" s="588">
        <v>6.685E-3</v>
      </c>
      <c r="AG108" s="554">
        <v>202</v>
      </c>
      <c r="AH108" s="589">
        <v>15</v>
      </c>
      <c r="AI108" s="590">
        <v>97</v>
      </c>
      <c r="AJ108" s="554">
        <v>355</v>
      </c>
      <c r="AK108" s="589">
        <v>4</v>
      </c>
      <c r="AL108" s="591">
        <v>19</v>
      </c>
      <c r="AM108" s="554">
        <v>92</v>
      </c>
      <c r="AN108" s="589">
        <v>10</v>
      </c>
      <c r="AO108" s="495"/>
      <c r="AP108" s="653"/>
      <c r="AQ108" s="653"/>
    </row>
    <row r="109" spans="1:44" ht="15.75">
      <c r="A109" s="522" t="s">
        <v>208</v>
      </c>
      <c r="B109" s="545">
        <v>3939</v>
      </c>
      <c r="C109" s="548">
        <v>408</v>
      </c>
      <c r="D109" s="545">
        <v>13484</v>
      </c>
      <c r="E109" s="546">
        <v>9036</v>
      </c>
      <c r="F109" s="548">
        <v>4447</v>
      </c>
      <c r="G109" s="581">
        <v>1.1348E-2</v>
      </c>
      <c r="H109" s="581">
        <v>3.1019093627789278</v>
      </c>
      <c r="I109" s="555">
        <v>27.2</v>
      </c>
      <c r="J109" s="556">
        <v>25.33</v>
      </c>
      <c r="K109" s="557">
        <v>19.706</v>
      </c>
      <c r="L109" s="582">
        <v>1.6878000000000001E-2</v>
      </c>
      <c r="P109" s="592" t="s">
        <v>409</v>
      </c>
    </row>
    <row r="110" spans="1:44" ht="15.75">
      <c r="A110" s="522" t="s">
        <v>209</v>
      </c>
      <c r="B110" s="545">
        <v>3852</v>
      </c>
      <c r="C110" s="548">
        <v>402</v>
      </c>
      <c r="D110" s="545">
        <v>13322</v>
      </c>
      <c r="E110" s="546">
        <v>8864</v>
      </c>
      <c r="F110" s="548">
        <v>4459</v>
      </c>
      <c r="G110" s="581">
        <v>1.1383000000000001E-2</v>
      </c>
      <c r="H110" s="581">
        <v>3.131640808650682</v>
      </c>
      <c r="I110" s="555">
        <v>26.7</v>
      </c>
      <c r="J110" s="556">
        <v>25.25</v>
      </c>
      <c r="K110" s="557">
        <v>19.696999999999999</v>
      </c>
      <c r="L110" s="582">
        <v>1.6832E-2</v>
      </c>
      <c r="AI110" s="496"/>
    </row>
    <row r="111" spans="1:44" ht="15.75">
      <c r="A111" s="522" t="s">
        <v>210</v>
      </c>
      <c r="B111" s="545">
        <v>3752</v>
      </c>
      <c r="C111" s="548">
        <v>395</v>
      </c>
      <c r="D111" s="545">
        <v>13139</v>
      </c>
      <c r="E111" s="546">
        <v>8656</v>
      </c>
      <c r="F111" s="548">
        <v>4482</v>
      </c>
      <c r="G111" s="581">
        <v>1.1416000000000001E-2</v>
      </c>
      <c r="H111" s="581">
        <v>3.168314444176513</v>
      </c>
      <c r="I111" s="555">
        <v>26.1</v>
      </c>
      <c r="J111" s="556">
        <v>25.16</v>
      </c>
      <c r="K111" s="557">
        <v>19.693999999999999</v>
      </c>
      <c r="L111" s="582">
        <v>1.6889000000000001E-2</v>
      </c>
    </row>
    <row r="112" spans="1:44" ht="15.75">
      <c r="A112" s="538" t="s">
        <v>211</v>
      </c>
      <c r="B112" s="550">
        <v>3794</v>
      </c>
      <c r="C112" s="553">
        <v>399</v>
      </c>
      <c r="D112" s="550">
        <v>13323</v>
      </c>
      <c r="E112" s="551">
        <v>8656</v>
      </c>
      <c r="F112" s="553">
        <v>4666</v>
      </c>
      <c r="G112" s="593">
        <v>1.1507E-2</v>
      </c>
      <c r="H112" s="593">
        <v>3.1774385881230627</v>
      </c>
      <c r="I112" s="588">
        <v>26.1</v>
      </c>
      <c r="J112" s="594">
        <v>25.16</v>
      </c>
      <c r="K112" s="589">
        <v>19.805</v>
      </c>
      <c r="L112" s="595">
        <v>1.7329000000000001E-2</v>
      </c>
    </row>
    <row r="115" spans="1:12">
      <c r="A115" s="518"/>
      <c r="B115" s="519" t="s">
        <v>212</v>
      </c>
      <c r="C115" s="520"/>
      <c r="D115" s="520"/>
      <c r="E115" s="520"/>
      <c r="F115" s="520"/>
      <c r="G115" s="520"/>
      <c r="H115" s="520"/>
      <c r="I115" s="520"/>
      <c r="J115" s="520"/>
      <c r="K115" s="520"/>
      <c r="L115" s="521"/>
    </row>
    <row r="116" spans="1:12">
      <c r="A116" s="522"/>
      <c r="B116" s="523"/>
      <c r="C116" s="524"/>
      <c r="D116" s="524"/>
      <c r="E116" s="524"/>
      <c r="F116" s="524"/>
      <c r="G116" s="524"/>
      <c r="H116" s="524"/>
      <c r="I116" s="524"/>
      <c r="J116" s="524"/>
      <c r="K116" s="524"/>
      <c r="L116" s="525"/>
    </row>
    <row r="117" spans="1:12">
      <c r="A117" s="522"/>
      <c r="B117" s="747" t="s">
        <v>143</v>
      </c>
      <c r="C117" s="748"/>
      <c r="D117" s="748"/>
      <c r="E117" s="749"/>
      <c r="F117" s="519" t="s">
        <v>144</v>
      </c>
      <c r="G117" s="520"/>
      <c r="H117" s="521"/>
      <c r="I117" s="562" t="s">
        <v>361</v>
      </c>
      <c r="J117" s="518"/>
      <c r="K117" s="519"/>
      <c r="L117" s="521"/>
    </row>
    <row r="118" spans="1:12">
      <c r="A118" s="522" t="s">
        <v>213</v>
      </c>
      <c r="B118" s="533" t="s">
        <v>4</v>
      </c>
      <c r="C118" s="530" t="s">
        <v>5</v>
      </c>
      <c r="D118" s="530" t="s">
        <v>84</v>
      </c>
      <c r="E118" s="531" t="s">
        <v>85</v>
      </c>
      <c r="F118" s="533" t="s">
        <v>4</v>
      </c>
      <c r="G118" s="530" t="s">
        <v>6</v>
      </c>
      <c r="H118" s="531" t="s">
        <v>7</v>
      </c>
      <c r="I118" s="564" t="s">
        <v>372</v>
      </c>
      <c r="J118" s="564" t="s">
        <v>150</v>
      </c>
      <c r="K118" s="533" t="s">
        <v>151</v>
      </c>
      <c r="L118" s="531" t="s">
        <v>152</v>
      </c>
    </row>
    <row r="119" spans="1:12">
      <c r="A119" s="538"/>
      <c r="B119" s="535" t="s">
        <v>156</v>
      </c>
      <c r="C119" s="536" t="s">
        <v>156</v>
      </c>
      <c r="D119" s="536" t="s">
        <v>156</v>
      </c>
      <c r="E119" s="537" t="s">
        <v>156</v>
      </c>
      <c r="F119" s="535" t="s">
        <v>156</v>
      </c>
      <c r="G119" s="536" t="s">
        <v>156</v>
      </c>
      <c r="H119" s="537" t="s">
        <v>156</v>
      </c>
      <c r="I119" s="565" t="s">
        <v>157</v>
      </c>
      <c r="J119" s="538"/>
      <c r="K119" s="535" t="s">
        <v>11</v>
      </c>
      <c r="L119" s="537" t="s">
        <v>11</v>
      </c>
    </row>
    <row r="120" spans="1:12" ht="15.75">
      <c r="A120" s="596" t="s">
        <v>214</v>
      </c>
      <c r="B120" s="540">
        <v>3901.0416666666665</v>
      </c>
      <c r="C120" s="541">
        <v>3020.0416666666665</v>
      </c>
      <c r="D120" s="541">
        <v>377.25</v>
      </c>
      <c r="E120" s="543">
        <v>503.75</v>
      </c>
      <c r="F120" s="540">
        <v>13169.541666666666</v>
      </c>
      <c r="G120" s="541">
        <v>9365.4583333333339</v>
      </c>
      <c r="H120" s="543">
        <v>3804.375</v>
      </c>
      <c r="I120" s="570">
        <v>1.0937624999999999E-2</v>
      </c>
      <c r="J120" s="570">
        <v>3.8371600399082859</v>
      </c>
      <c r="K120" s="571">
        <v>16.883333333333329</v>
      </c>
      <c r="L120" s="573">
        <v>25</v>
      </c>
    </row>
    <row r="121" spans="1:12" ht="15.75">
      <c r="A121" s="597" t="s">
        <v>215</v>
      </c>
      <c r="B121" s="550">
        <v>5066.5</v>
      </c>
      <c r="C121" s="551">
        <v>4105.958333333333</v>
      </c>
      <c r="D121" s="551">
        <v>411.33333333333331</v>
      </c>
      <c r="E121" s="553">
        <v>549.20833333333337</v>
      </c>
      <c r="F121" s="550">
        <v>13198.083333333334</v>
      </c>
      <c r="G121" s="551">
        <v>9387.625</v>
      </c>
      <c r="H121" s="553">
        <v>3810.4166666666665</v>
      </c>
      <c r="I121" s="593">
        <v>1.1478791666666668E-2</v>
      </c>
      <c r="J121" s="593">
        <v>2.9212653715068941</v>
      </c>
      <c r="K121" s="588">
        <v>29.516666666666666</v>
      </c>
      <c r="L121" s="589">
        <v>25</v>
      </c>
    </row>
    <row r="124" spans="1:12">
      <c r="A124" s="518"/>
      <c r="B124" s="520" t="s">
        <v>216</v>
      </c>
      <c r="C124" s="520"/>
      <c r="D124" s="520"/>
      <c r="E124" s="520"/>
      <c r="F124" s="520"/>
      <c r="G124" s="520"/>
      <c r="H124" s="520"/>
      <c r="I124" s="520"/>
      <c r="J124" s="520"/>
      <c r="K124" s="520"/>
      <c r="L124" s="521"/>
    </row>
    <row r="125" spans="1:12">
      <c r="A125" s="522"/>
      <c r="B125" s="524"/>
      <c r="C125" s="524"/>
      <c r="D125" s="524"/>
      <c r="E125" s="524"/>
      <c r="F125" s="524"/>
      <c r="G125" s="524"/>
      <c r="H125" s="524"/>
      <c r="I125" s="524"/>
      <c r="J125" s="524"/>
      <c r="K125" s="524"/>
      <c r="L125" s="525"/>
    </row>
    <row r="126" spans="1:12">
      <c r="A126" s="522"/>
      <c r="B126" s="747" t="s">
        <v>143</v>
      </c>
      <c r="C126" s="748"/>
      <c r="D126" s="748"/>
      <c r="E126" s="749"/>
      <c r="F126" s="519" t="s">
        <v>144</v>
      </c>
      <c r="G126" s="520"/>
      <c r="H126" s="521"/>
      <c r="I126" s="562" t="s">
        <v>361</v>
      </c>
      <c r="J126" s="518"/>
      <c r="K126" s="519"/>
      <c r="L126" s="521"/>
    </row>
    <row r="127" spans="1:12">
      <c r="A127" s="522" t="s">
        <v>213</v>
      </c>
      <c r="B127" s="533" t="s">
        <v>4</v>
      </c>
      <c r="C127" s="530" t="s">
        <v>5</v>
      </c>
      <c r="D127" s="530" t="s">
        <v>84</v>
      </c>
      <c r="E127" s="531" t="s">
        <v>85</v>
      </c>
      <c r="F127" s="533" t="s">
        <v>4</v>
      </c>
      <c r="G127" s="530" t="s">
        <v>6</v>
      </c>
      <c r="H127" s="531" t="s">
        <v>7</v>
      </c>
      <c r="I127" s="564" t="s">
        <v>372</v>
      </c>
      <c r="J127" s="564" t="s">
        <v>150</v>
      </c>
      <c r="K127" s="533" t="s">
        <v>151</v>
      </c>
      <c r="L127" s="531" t="s">
        <v>152</v>
      </c>
    </row>
    <row r="128" spans="1:12">
      <c r="A128" s="538"/>
      <c r="B128" s="535" t="s">
        <v>156</v>
      </c>
      <c r="C128" s="536" t="s">
        <v>156</v>
      </c>
      <c r="D128" s="536" t="s">
        <v>156</v>
      </c>
      <c r="E128" s="537" t="s">
        <v>156</v>
      </c>
      <c r="F128" s="535" t="s">
        <v>156</v>
      </c>
      <c r="G128" s="536" t="s">
        <v>156</v>
      </c>
      <c r="H128" s="537" t="s">
        <v>156</v>
      </c>
      <c r="I128" s="565" t="s">
        <v>157</v>
      </c>
      <c r="J128" s="538"/>
      <c r="K128" s="535" t="s">
        <v>11</v>
      </c>
      <c r="L128" s="537" t="s">
        <v>11</v>
      </c>
    </row>
    <row r="129" spans="1:12" ht="15.75">
      <c r="A129" s="596" t="s">
        <v>214</v>
      </c>
      <c r="B129" s="540">
        <v>3091.5416666666665</v>
      </c>
      <c r="C129" s="541">
        <v>2378.4583333333335</v>
      </c>
      <c r="D129" s="541">
        <v>305.33333333333331</v>
      </c>
      <c r="E129" s="543">
        <v>407.75</v>
      </c>
      <c r="F129" s="540">
        <v>9365.4583333333339</v>
      </c>
      <c r="G129" s="541">
        <v>9365.4583333333339</v>
      </c>
      <c r="H129" s="543">
        <v>0</v>
      </c>
      <c r="I129" s="570">
        <v>5.4850000000000012E-3</v>
      </c>
      <c r="J129" s="570">
        <v>3.4604350566376669</v>
      </c>
      <c r="K129" s="571">
        <v>16.883333333333329</v>
      </c>
      <c r="L129" s="573">
        <v>25</v>
      </c>
    </row>
    <row r="130" spans="1:12" ht="15.75">
      <c r="A130" s="597" t="s">
        <v>215</v>
      </c>
      <c r="B130" s="550">
        <v>3934.625</v>
      </c>
      <c r="C130" s="551">
        <v>3165.5833333333335</v>
      </c>
      <c r="D130" s="551">
        <v>329.25</v>
      </c>
      <c r="E130" s="553">
        <v>439.79166666666669</v>
      </c>
      <c r="F130" s="550">
        <v>9387.625</v>
      </c>
      <c r="G130" s="551">
        <v>9387.625</v>
      </c>
      <c r="H130" s="553">
        <v>0</v>
      </c>
      <c r="I130" s="593">
        <v>5.4779999999999994E-3</v>
      </c>
      <c r="J130" s="593">
        <v>2.6900388272911857</v>
      </c>
      <c r="K130" s="588">
        <v>29.516666666666666</v>
      </c>
      <c r="L130" s="589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23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30"/>
  <sheetViews>
    <sheetView zoomScale="75" workbookViewId="0">
      <selection activeCell="P56" sqref="P56:AN109"/>
    </sheetView>
  </sheetViews>
  <sheetFormatPr defaultRowHeight="15"/>
  <sheetData>
    <row r="1" spans="1:4">
      <c r="A1" t="s">
        <v>399</v>
      </c>
    </row>
    <row r="2" spans="1:4">
      <c r="A2" t="s">
        <v>32</v>
      </c>
    </row>
    <row r="3" spans="1:4" ht="15.75">
      <c r="A3" s="71" t="s">
        <v>485</v>
      </c>
    </row>
    <row r="4" spans="1:4">
      <c r="A4" t="s">
        <v>0</v>
      </c>
    </row>
    <row r="6" spans="1:4">
      <c r="A6" t="s">
        <v>21</v>
      </c>
    </row>
    <row r="8" spans="1:4">
      <c r="A8" t="s">
        <v>33</v>
      </c>
    </row>
    <row r="10" spans="1:4">
      <c r="B10" s="49" t="s">
        <v>377</v>
      </c>
      <c r="C10" s="49"/>
      <c r="D10" t="s">
        <v>34</v>
      </c>
    </row>
    <row r="11" spans="1:4">
      <c r="B11" s="49" t="s">
        <v>378</v>
      </c>
      <c r="C11" s="49"/>
      <c r="D11" t="s">
        <v>379</v>
      </c>
    </row>
    <row r="12" spans="1:4">
      <c r="B12" s="49" t="s">
        <v>380</v>
      </c>
      <c r="C12" s="49"/>
      <c r="D12" t="s">
        <v>35</v>
      </c>
    </row>
    <row r="13" spans="1:4">
      <c r="B13" s="49" t="s">
        <v>381</v>
      </c>
      <c r="C13" s="49"/>
      <c r="D13" t="s">
        <v>36</v>
      </c>
    </row>
    <row r="14" spans="1:4">
      <c r="B14" s="49" t="s">
        <v>382</v>
      </c>
      <c r="C14" s="49"/>
      <c r="D14" t="s">
        <v>37</v>
      </c>
    </row>
    <row r="15" spans="1:4">
      <c r="B15" s="49" t="s">
        <v>383</v>
      </c>
      <c r="C15" s="49"/>
      <c r="D15" t="s">
        <v>38</v>
      </c>
    </row>
    <row r="16" spans="1:4">
      <c r="B16" s="49" t="s">
        <v>384</v>
      </c>
      <c r="C16" s="49"/>
      <c r="D16" t="s">
        <v>385</v>
      </c>
    </row>
    <row r="17" spans="1:4">
      <c r="B17" s="49" t="s">
        <v>386</v>
      </c>
      <c r="C17" s="49"/>
      <c r="D17" t="s">
        <v>39</v>
      </c>
    </row>
    <row r="18" spans="1:4">
      <c r="B18" s="49"/>
      <c r="C18" s="49"/>
    </row>
    <row r="19" spans="1:4">
      <c r="A19" t="s">
        <v>40</v>
      </c>
    </row>
    <row r="20" spans="1:4">
      <c r="A20" t="s">
        <v>41</v>
      </c>
    </row>
    <row r="21" spans="1:4">
      <c r="A21" t="s">
        <v>42</v>
      </c>
    </row>
    <row r="22" spans="1:4">
      <c r="A22" t="s">
        <v>43</v>
      </c>
    </row>
    <row r="24" spans="1:4">
      <c r="A24" t="s">
        <v>44</v>
      </c>
    </row>
    <row r="25" spans="1:4">
      <c r="A25" t="s">
        <v>45</v>
      </c>
    </row>
    <row r="27" spans="1:4">
      <c r="A27" t="s">
        <v>46</v>
      </c>
    </row>
    <row r="28" spans="1:4">
      <c r="A28" t="s">
        <v>47</v>
      </c>
    </row>
    <row r="30" spans="1:4">
      <c r="A30" t="s">
        <v>48</v>
      </c>
    </row>
    <row r="32" spans="1:4">
      <c r="B32" t="s">
        <v>49</v>
      </c>
      <c r="D32" s="72" t="s">
        <v>50</v>
      </c>
    </row>
    <row r="34" spans="1:4">
      <c r="B34" t="s">
        <v>51</v>
      </c>
      <c r="D34" s="72" t="s">
        <v>52</v>
      </c>
    </row>
    <row r="35" spans="1:4">
      <c r="B35" t="s">
        <v>53</v>
      </c>
      <c r="D35" s="72" t="s">
        <v>54</v>
      </c>
    </row>
    <row r="36" spans="1:4">
      <c r="B36" t="s">
        <v>55</v>
      </c>
      <c r="D36" s="72" t="s">
        <v>56</v>
      </c>
    </row>
    <row r="37" spans="1:4">
      <c r="B37" t="s">
        <v>57</v>
      </c>
      <c r="D37" s="72" t="s">
        <v>58</v>
      </c>
    </row>
    <row r="38" spans="1:4">
      <c r="B38" t="s">
        <v>59</v>
      </c>
      <c r="D38" s="72" t="s">
        <v>60</v>
      </c>
    </row>
    <row r="39" spans="1:4">
      <c r="B39" t="s">
        <v>61</v>
      </c>
      <c r="D39" s="72" t="s">
        <v>62</v>
      </c>
    </row>
    <row r="40" spans="1:4">
      <c r="B40" t="s">
        <v>63</v>
      </c>
      <c r="D40" s="72" t="s">
        <v>64</v>
      </c>
    </row>
    <row r="41" spans="1:4">
      <c r="B41" t="s">
        <v>65</v>
      </c>
      <c r="D41" s="72" t="s">
        <v>66</v>
      </c>
    </row>
    <row r="42" spans="1:4">
      <c r="B42" t="s">
        <v>67</v>
      </c>
      <c r="D42" s="72" t="s">
        <v>68</v>
      </c>
    </row>
    <row r="43" spans="1:4">
      <c r="B43" t="s">
        <v>69</v>
      </c>
      <c r="D43" s="72" t="s">
        <v>70</v>
      </c>
    </row>
    <row r="44" spans="1:4">
      <c r="B44" t="s">
        <v>71</v>
      </c>
      <c r="D44" s="72" t="s">
        <v>72</v>
      </c>
    </row>
    <row r="45" spans="1:4">
      <c r="B45" t="s">
        <v>73</v>
      </c>
      <c r="D45" s="72" t="s">
        <v>74</v>
      </c>
    </row>
    <row r="47" spans="1:4">
      <c r="A47" t="s">
        <v>75</v>
      </c>
    </row>
    <row r="48" spans="1:4">
      <c r="A48" t="s">
        <v>76</v>
      </c>
    </row>
    <row r="49" spans="1:34">
      <c r="B49" s="49" t="s">
        <v>77</v>
      </c>
      <c r="C49" s="49"/>
      <c r="D49" s="72" t="s">
        <v>78</v>
      </c>
    </row>
    <row r="51" spans="1:34">
      <c r="B51" s="73">
        <v>36388</v>
      </c>
      <c r="C51" s="73"/>
      <c r="D51" s="72" t="s">
        <v>79</v>
      </c>
    </row>
    <row r="54" spans="1:34" ht="15.75">
      <c r="A54" s="71" t="s">
        <v>485</v>
      </c>
    </row>
    <row r="56" spans="1:34">
      <c r="A56" s="41"/>
      <c r="B56" s="41"/>
      <c r="C56" s="42"/>
      <c r="D56" s="42" t="s">
        <v>80</v>
      </c>
      <c r="E56" s="42"/>
      <c r="F56" s="42"/>
      <c r="G56" s="42"/>
      <c r="H56" s="42"/>
      <c r="I56" s="41" t="s">
        <v>81</v>
      </c>
      <c r="J56" s="42"/>
      <c r="K56" s="42"/>
      <c r="L56" s="42"/>
      <c r="M56" s="41" t="s">
        <v>357</v>
      </c>
      <c r="N56" s="43"/>
      <c r="O56" s="42"/>
      <c r="P56" s="41"/>
      <c r="Q56" s="250" t="s">
        <v>358</v>
      </c>
      <c r="R56" s="251"/>
      <c r="S56" s="251"/>
      <c r="T56" s="251"/>
      <c r="U56" s="251"/>
      <c r="V56" s="251"/>
      <c r="W56" s="42"/>
      <c r="X56" s="42"/>
      <c r="Y56" s="42"/>
      <c r="Z56" s="42"/>
      <c r="AA56" s="42"/>
      <c r="AB56" s="43"/>
      <c r="AC56" s="41"/>
      <c r="AD56" s="42" t="s">
        <v>359</v>
      </c>
      <c r="AE56" s="42"/>
      <c r="AF56" s="42"/>
      <c r="AG56" s="42"/>
      <c r="AH56" s="43"/>
    </row>
    <row r="57" spans="1:34">
      <c r="A57" s="44"/>
      <c r="B57" s="45"/>
      <c r="C57" s="46"/>
      <c r="D57" s="46"/>
      <c r="E57" s="46"/>
      <c r="F57" s="46"/>
      <c r="G57" s="46"/>
      <c r="H57" s="46"/>
      <c r="I57" s="45"/>
      <c r="J57" s="46"/>
      <c r="K57" s="46"/>
      <c r="L57" s="46"/>
      <c r="M57" s="45" t="s">
        <v>360</v>
      </c>
      <c r="N57" s="47"/>
      <c r="O57" s="120"/>
      <c r="P57" s="44"/>
      <c r="Q57" s="45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7"/>
      <c r="AC57" s="45"/>
      <c r="AD57" s="46"/>
      <c r="AE57" s="46"/>
      <c r="AF57" s="46"/>
      <c r="AG57" s="46"/>
      <c r="AH57" s="47"/>
    </row>
    <row r="58" spans="1:34">
      <c r="A58" s="44"/>
      <c r="B58" s="44"/>
      <c r="C58" s="120"/>
      <c r="D58" s="120"/>
      <c r="E58" s="120"/>
      <c r="F58" s="120"/>
      <c r="G58" s="120"/>
      <c r="H58" s="120"/>
      <c r="I58" s="44"/>
      <c r="J58" s="120"/>
      <c r="K58" s="252" t="s">
        <v>361</v>
      </c>
      <c r="L58" s="252" t="s">
        <v>361</v>
      </c>
      <c r="M58" s="44"/>
      <c r="N58" s="50" t="s">
        <v>362</v>
      </c>
      <c r="O58" s="49"/>
      <c r="P58" s="44"/>
      <c r="Q58" s="41"/>
      <c r="R58" s="42"/>
      <c r="S58" s="43"/>
      <c r="T58" s="120"/>
      <c r="U58" s="120"/>
      <c r="V58" s="120"/>
      <c r="W58" s="120"/>
      <c r="X58" s="120"/>
      <c r="Y58" s="120"/>
      <c r="Z58" s="120"/>
      <c r="AA58" s="120"/>
      <c r="AB58" s="48"/>
      <c r="AD58" t="s">
        <v>363</v>
      </c>
      <c r="AH58" s="43"/>
    </row>
    <row r="59" spans="1:34">
      <c r="A59" s="44"/>
      <c r="B59" s="44" t="s">
        <v>364</v>
      </c>
      <c r="C59" s="120"/>
      <c r="F59" s="44" t="s">
        <v>365</v>
      </c>
      <c r="G59" s="120"/>
      <c r="I59" s="44"/>
      <c r="K59" s="49" t="s">
        <v>2</v>
      </c>
      <c r="L59" s="49" t="s">
        <v>82</v>
      </c>
      <c r="M59" s="44"/>
      <c r="N59" s="50" t="s">
        <v>2</v>
      </c>
      <c r="O59" s="49"/>
      <c r="P59" s="44"/>
      <c r="Q59" s="253" t="s">
        <v>366</v>
      </c>
      <c r="R59" s="120"/>
      <c r="S59" s="48"/>
      <c r="T59" s="120"/>
      <c r="V59" t="s">
        <v>83</v>
      </c>
      <c r="AB59" s="48"/>
      <c r="AE59" s="48"/>
      <c r="AH59" s="48"/>
    </row>
    <row r="60" spans="1:34">
      <c r="A60" s="44" t="s">
        <v>3</v>
      </c>
      <c r="B60" s="51" t="s">
        <v>4</v>
      </c>
      <c r="C60" s="252" t="s">
        <v>5</v>
      </c>
      <c r="D60" s="49" t="s">
        <v>84</v>
      </c>
      <c r="E60" s="49" t="s">
        <v>85</v>
      </c>
      <c r="F60" s="51" t="s">
        <v>4</v>
      </c>
      <c r="G60" s="252" t="s">
        <v>6</v>
      </c>
      <c r="H60" s="49" t="s">
        <v>7</v>
      </c>
      <c r="I60" s="51" t="s">
        <v>86</v>
      </c>
      <c r="J60" s="49" t="s">
        <v>8</v>
      </c>
      <c r="K60" s="49" t="s">
        <v>9</v>
      </c>
      <c r="L60" s="49" t="s">
        <v>2</v>
      </c>
      <c r="M60" s="51" t="s">
        <v>151</v>
      </c>
      <c r="N60" s="50" t="s">
        <v>9</v>
      </c>
      <c r="O60" s="49"/>
      <c r="P60" s="44" t="s">
        <v>3</v>
      </c>
      <c r="Q60" s="44" t="s">
        <v>87</v>
      </c>
      <c r="T60" s="44"/>
      <c r="U60" s="49" t="s">
        <v>6</v>
      </c>
      <c r="W60" s="44"/>
      <c r="X60" s="49" t="s">
        <v>7</v>
      </c>
      <c r="Z60" s="44" t="s">
        <v>88</v>
      </c>
      <c r="AB60" s="48"/>
      <c r="AD60" t="s">
        <v>367</v>
      </c>
      <c r="AE60" s="48"/>
      <c r="AF60" t="s">
        <v>368</v>
      </c>
      <c r="AH60" s="48"/>
    </row>
    <row r="61" spans="1:34">
      <c r="A61" s="45"/>
      <c r="B61" s="52" t="s">
        <v>10</v>
      </c>
      <c r="C61" s="53" t="s">
        <v>10</v>
      </c>
      <c r="D61" s="53" t="s">
        <v>10</v>
      </c>
      <c r="E61" s="53" t="s">
        <v>10</v>
      </c>
      <c r="F61" s="52" t="s">
        <v>10</v>
      </c>
      <c r="G61" s="53" t="s">
        <v>10</v>
      </c>
      <c r="H61" s="53" t="s">
        <v>10</v>
      </c>
      <c r="I61" s="45"/>
      <c r="J61" s="53" t="s">
        <v>11</v>
      </c>
      <c r="K61" s="53" t="s">
        <v>22</v>
      </c>
      <c r="L61" s="53" t="s">
        <v>89</v>
      </c>
      <c r="M61" s="52" t="s">
        <v>11</v>
      </c>
      <c r="N61" s="54" t="s">
        <v>22</v>
      </c>
      <c r="O61" s="53"/>
      <c r="P61" s="45"/>
      <c r="Q61" s="52" t="s">
        <v>90</v>
      </c>
      <c r="R61" s="53" t="s">
        <v>77</v>
      </c>
      <c r="S61" s="53" t="s">
        <v>78</v>
      </c>
      <c r="T61" s="52" t="s">
        <v>90</v>
      </c>
      <c r="U61" s="53" t="s">
        <v>77</v>
      </c>
      <c r="V61" s="53" t="s">
        <v>78</v>
      </c>
      <c r="W61" s="52" t="s">
        <v>90</v>
      </c>
      <c r="X61" s="53" t="s">
        <v>77</v>
      </c>
      <c r="Y61" s="53" t="s">
        <v>78</v>
      </c>
      <c r="Z61" s="52" t="s">
        <v>90</v>
      </c>
      <c r="AA61" s="53" t="s">
        <v>77</v>
      </c>
      <c r="AB61" s="54" t="s">
        <v>78</v>
      </c>
      <c r="AC61" s="52" t="s">
        <v>29</v>
      </c>
      <c r="AD61" s="53" t="s">
        <v>77</v>
      </c>
      <c r="AE61" s="54" t="s">
        <v>78</v>
      </c>
      <c r="AF61" s="53" t="s">
        <v>30</v>
      </c>
      <c r="AG61" s="53" t="s">
        <v>77</v>
      </c>
      <c r="AH61" s="54" t="s">
        <v>78</v>
      </c>
    </row>
    <row r="62" spans="1:34" ht="15.75">
      <c r="A62" s="44" t="s">
        <v>91</v>
      </c>
      <c r="B62" s="74">
        <v>35070</v>
      </c>
      <c r="C62" s="97">
        <v>21876</v>
      </c>
      <c r="D62" s="60">
        <v>2323</v>
      </c>
      <c r="E62" s="60">
        <v>10880</v>
      </c>
      <c r="F62" s="74">
        <v>78257</v>
      </c>
      <c r="G62" s="97">
        <v>55191</v>
      </c>
      <c r="H62" s="60">
        <v>23067</v>
      </c>
      <c r="I62" s="74">
        <v>3.23</v>
      </c>
      <c r="J62" s="60">
        <v>23.99</v>
      </c>
      <c r="K62" s="60">
        <v>9.1999999999999998E-3</v>
      </c>
      <c r="L62" s="60">
        <v>47.93</v>
      </c>
      <c r="M62" s="254">
        <v>19.91</v>
      </c>
      <c r="N62" s="255">
        <v>1.1599999999999999E-2</v>
      </c>
      <c r="O62" s="97"/>
      <c r="P62" s="44" t="s">
        <v>91</v>
      </c>
      <c r="Q62" s="74">
        <v>11548</v>
      </c>
      <c r="R62" s="80">
        <v>37822</v>
      </c>
      <c r="S62" s="60">
        <v>15</v>
      </c>
      <c r="T62" s="74">
        <v>22908</v>
      </c>
      <c r="U62" s="80">
        <v>37776</v>
      </c>
      <c r="V62" s="60">
        <v>15</v>
      </c>
      <c r="W62" s="74">
        <v>10392</v>
      </c>
      <c r="X62" s="80">
        <v>37867</v>
      </c>
      <c r="Y62" s="60">
        <v>15</v>
      </c>
      <c r="Z62" s="74">
        <v>32072</v>
      </c>
      <c r="AA62" s="80">
        <v>37822</v>
      </c>
      <c r="AB62" s="79">
        <v>15</v>
      </c>
      <c r="AC62" s="256">
        <v>35</v>
      </c>
      <c r="AD62" s="312">
        <v>37822</v>
      </c>
      <c r="AE62" s="258">
        <v>15</v>
      </c>
      <c r="AF62" s="257">
        <v>2.23E-2</v>
      </c>
      <c r="AG62" s="312">
        <v>37896</v>
      </c>
      <c r="AH62" s="258">
        <v>9</v>
      </c>
    </row>
    <row r="63" spans="1:34" ht="15.75">
      <c r="A63" s="44" t="s">
        <v>96</v>
      </c>
      <c r="B63" s="74">
        <v>39608</v>
      </c>
      <c r="C63" s="97">
        <v>26053</v>
      </c>
      <c r="D63" s="60">
        <v>2691</v>
      </c>
      <c r="E63" s="60">
        <v>10880</v>
      </c>
      <c r="F63" s="74">
        <v>97261</v>
      </c>
      <c r="G63" s="97">
        <v>55083</v>
      </c>
      <c r="H63" s="60">
        <v>42178</v>
      </c>
      <c r="I63" s="74">
        <v>3.38</v>
      </c>
      <c r="J63" s="60">
        <v>24.01</v>
      </c>
      <c r="K63" s="60">
        <v>1.11E-2</v>
      </c>
      <c r="L63" s="60">
        <v>57.8</v>
      </c>
      <c r="M63" s="74"/>
      <c r="N63" s="60"/>
      <c r="O63" s="60"/>
      <c r="P63" s="44" t="s">
        <v>96</v>
      </c>
      <c r="Q63" s="74">
        <v>12162</v>
      </c>
      <c r="R63" s="80">
        <v>37849</v>
      </c>
      <c r="S63" s="60">
        <v>16</v>
      </c>
      <c r="T63" s="74">
        <v>22649</v>
      </c>
      <c r="U63" s="80">
        <v>37785</v>
      </c>
      <c r="V63" s="60">
        <v>16</v>
      </c>
      <c r="W63" s="74">
        <v>16077</v>
      </c>
      <c r="X63" s="80">
        <v>37867</v>
      </c>
      <c r="Y63" s="60">
        <v>16</v>
      </c>
      <c r="Z63" s="74">
        <v>36991</v>
      </c>
      <c r="AA63" s="80">
        <v>37867</v>
      </c>
      <c r="AB63" s="79">
        <v>16</v>
      </c>
    </row>
    <row r="64" spans="1:34" ht="15.75">
      <c r="A64" s="44" t="s">
        <v>98</v>
      </c>
      <c r="B64" s="74">
        <v>39457</v>
      </c>
      <c r="C64" s="97">
        <v>25912</v>
      </c>
      <c r="D64" s="60">
        <v>2681</v>
      </c>
      <c r="E64" s="60">
        <v>10880</v>
      </c>
      <c r="F64" s="74">
        <v>96957</v>
      </c>
      <c r="G64" s="97">
        <v>62734</v>
      </c>
      <c r="H64" s="60">
        <v>34224</v>
      </c>
      <c r="I64" s="74">
        <v>3.39</v>
      </c>
      <c r="J64" s="60">
        <v>24.53</v>
      </c>
      <c r="K64" s="60">
        <v>9.9000000000000008E-3</v>
      </c>
      <c r="L64" s="60">
        <v>49.94</v>
      </c>
      <c r="M64" s="74"/>
      <c r="N64" s="60"/>
      <c r="O64" s="60"/>
      <c r="P64" s="44" t="s">
        <v>98</v>
      </c>
      <c r="Q64" s="74">
        <v>12875</v>
      </c>
      <c r="R64" s="80">
        <v>37822</v>
      </c>
      <c r="S64" s="60">
        <v>14</v>
      </c>
      <c r="T64" s="74">
        <v>30967</v>
      </c>
      <c r="U64" s="80">
        <v>37735</v>
      </c>
      <c r="V64" s="60">
        <v>15</v>
      </c>
      <c r="W64" s="74">
        <v>21929</v>
      </c>
      <c r="X64" s="80">
        <v>37895</v>
      </c>
      <c r="Y64" s="60">
        <v>20</v>
      </c>
      <c r="Z64" s="74">
        <v>39920</v>
      </c>
      <c r="AA64" s="80">
        <v>37867</v>
      </c>
      <c r="AB64" s="79">
        <v>16</v>
      </c>
    </row>
    <row r="65" spans="1:28" ht="15.75">
      <c r="A65" s="44" t="s">
        <v>102</v>
      </c>
      <c r="B65" s="74">
        <v>40330</v>
      </c>
      <c r="C65" s="97">
        <v>26775</v>
      </c>
      <c r="D65" s="60">
        <v>2693</v>
      </c>
      <c r="E65" s="60">
        <v>10880</v>
      </c>
      <c r="F65" s="74">
        <v>102008</v>
      </c>
      <c r="G65" s="97">
        <v>61822</v>
      </c>
      <c r="H65" s="60">
        <v>40186</v>
      </c>
      <c r="I65" s="74">
        <v>3.46</v>
      </c>
      <c r="J65" s="60">
        <v>24.18</v>
      </c>
      <c r="K65" s="60">
        <v>9.9000000000000008E-3</v>
      </c>
      <c r="L65" s="60">
        <v>50.7</v>
      </c>
      <c r="M65" s="74"/>
      <c r="N65" s="60"/>
      <c r="O65" s="60"/>
      <c r="P65" s="44" t="s">
        <v>102</v>
      </c>
      <c r="Q65" s="74">
        <v>13335</v>
      </c>
      <c r="R65" s="80">
        <v>37822</v>
      </c>
      <c r="S65" s="60">
        <v>15</v>
      </c>
      <c r="T65" s="74">
        <v>33421</v>
      </c>
      <c r="U65" s="80">
        <v>37873</v>
      </c>
      <c r="V65" s="60">
        <v>14</v>
      </c>
      <c r="W65" s="74">
        <v>27488</v>
      </c>
      <c r="X65" s="80">
        <v>37882</v>
      </c>
      <c r="Y65" s="60">
        <v>15</v>
      </c>
      <c r="Z65" s="74">
        <v>42415</v>
      </c>
      <c r="AA65" s="80">
        <v>37812</v>
      </c>
      <c r="AB65" s="79">
        <v>11</v>
      </c>
    </row>
    <row r="66" spans="1:28" ht="15.75">
      <c r="A66" s="44" t="s">
        <v>356</v>
      </c>
      <c r="B66" s="74">
        <v>39947</v>
      </c>
      <c r="C66" s="97">
        <v>26400</v>
      </c>
      <c r="D66" s="60">
        <v>2684</v>
      </c>
      <c r="E66" s="60">
        <v>10880</v>
      </c>
      <c r="F66" s="74">
        <v>99753</v>
      </c>
      <c r="G66" s="97">
        <v>61406</v>
      </c>
      <c r="H66" s="60">
        <v>38346</v>
      </c>
      <c r="I66" s="74">
        <v>3.42</v>
      </c>
      <c r="J66" s="60">
        <v>24.21</v>
      </c>
      <c r="K66" s="60">
        <v>9.9000000000000008E-3</v>
      </c>
      <c r="L66" s="60">
        <v>50.78</v>
      </c>
      <c r="M66" s="74"/>
      <c r="N66" s="60"/>
      <c r="O66" s="60"/>
      <c r="P66" s="44" t="s">
        <v>356</v>
      </c>
      <c r="Q66" s="74">
        <v>13101</v>
      </c>
      <c r="R66" s="80">
        <v>37822</v>
      </c>
      <c r="S66" s="60">
        <v>14</v>
      </c>
      <c r="T66" s="74">
        <v>32180</v>
      </c>
      <c r="U66" s="80">
        <v>37735</v>
      </c>
      <c r="V66" s="60">
        <v>15</v>
      </c>
      <c r="W66" s="74">
        <v>23794</v>
      </c>
      <c r="X66" s="80">
        <v>37895</v>
      </c>
      <c r="Y66" s="60">
        <v>20</v>
      </c>
      <c r="Z66" s="74">
        <v>41132</v>
      </c>
      <c r="AA66" s="80">
        <v>37867</v>
      </c>
      <c r="AB66" s="79">
        <v>16</v>
      </c>
    </row>
    <row r="67" spans="1:28" ht="15.75">
      <c r="A67" s="44" t="s">
        <v>105</v>
      </c>
      <c r="B67" s="74">
        <v>31742</v>
      </c>
      <c r="C67" s="97">
        <v>18891</v>
      </c>
      <c r="D67" s="60">
        <v>1970</v>
      </c>
      <c r="E67" s="60">
        <v>10880</v>
      </c>
      <c r="F67" s="74">
        <v>67389</v>
      </c>
      <c r="G67" s="97">
        <v>48768</v>
      </c>
      <c r="H67" s="60">
        <v>18621</v>
      </c>
      <c r="I67" s="74">
        <v>3.23</v>
      </c>
      <c r="J67" s="60">
        <v>26.15</v>
      </c>
      <c r="K67" s="60">
        <v>9.7699999999999992E-3</v>
      </c>
      <c r="L67" s="60">
        <v>44.56</v>
      </c>
      <c r="M67" s="74"/>
      <c r="N67" s="60"/>
      <c r="O67" s="60"/>
      <c r="P67" s="44" t="s">
        <v>105</v>
      </c>
      <c r="Q67" s="74">
        <v>11546</v>
      </c>
      <c r="R67" s="80">
        <v>37822</v>
      </c>
      <c r="S67" s="60">
        <v>15</v>
      </c>
      <c r="T67" s="74">
        <v>22876</v>
      </c>
      <c r="U67" s="80">
        <v>37812</v>
      </c>
      <c r="V67" s="60">
        <v>15</v>
      </c>
      <c r="W67" s="74">
        <v>11603</v>
      </c>
      <c r="X67" s="80">
        <v>37836</v>
      </c>
      <c r="Y67" s="60">
        <v>7</v>
      </c>
      <c r="Z67" s="74">
        <v>32077</v>
      </c>
      <c r="AA67" s="80">
        <v>37822</v>
      </c>
      <c r="AB67" s="79">
        <v>15</v>
      </c>
    </row>
    <row r="68" spans="1:28" ht="15.75">
      <c r="A68" s="44" t="s">
        <v>108</v>
      </c>
      <c r="B68" s="74">
        <v>55068</v>
      </c>
      <c r="C68" s="97">
        <v>39941</v>
      </c>
      <c r="D68" s="60">
        <v>4272</v>
      </c>
      <c r="E68" s="60">
        <v>10880</v>
      </c>
      <c r="F68" s="74">
        <v>162168</v>
      </c>
      <c r="G68" s="97">
        <v>134697</v>
      </c>
      <c r="H68" s="60">
        <v>27470</v>
      </c>
      <c r="I68" s="74">
        <v>3.66</v>
      </c>
      <c r="J68" s="60">
        <v>25.37</v>
      </c>
      <c r="K68" s="60">
        <v>8.5800000000000008E-3</v>
      </c>
      <c r="L68" s="60">
        <v>41.21</v>
      </c>
      <c r="M68" s="74"/>
      <c r="N68" s="60"/>
      <c r="O68" s="60"/>
      <c r="P68" s="44" t="s">
        <v>108</v>
      </c>
      <c r="Q68" s="74">
        <v>12762</v>
      </c>
      <c r="R68" s="80">
        <v>37822</v>
      </c>
      <c r="S68" s="60">
        <v>14</v>
      </c>
      <c r="T68" s="74">
        <v>32179</v>
      </c>
      <c r="U68" s="80">
        <v>37735</v>
      </c>
      <c r="V68" s="60">
        <v>15</v>
      </c>
      <c r="W68" s="74">
        <v>8934</v>
      </c>
      <c r="X68" s="80">
        <v>37867</v>
      </c>
      <c r="Y68" s="60">
        <v>17</v>
      </c>
      <c r="Z68" s="74">
        <v>38451</v>
      </c>
      <c r="AA68" s="80">
        <v>37896</v>
      </c>
      <c r="AB68" s="79">
        <v>10</v>
      </c>
    </row>
    <row r="69" spans="1:28" ht="15.75">
      <c r="A69" s="44" t="s">
        <v>109</v>
      </c>
      <c r="B69" s="74">
        <v>31413</v>
      </c>
      <c r="C69" s="97">
        <v>18629</v>
      </c>
      <c r="D69" s="60">
        <v>1902</v>
      </c>
      <c r="E69" s="60">
        <v>10880</v>
      </c>
      <c r="F69" s="74">
        <v>66898</v>
      </c>
      <c r="G69" s="97">
        <v>41181</v>
      </c>
      <c r="H69" s="60">
        <v>25717</v>
      </c>
      <c r="I69" s="74">
        <v>3.26</v>
      </c>
      <c r="J69" s="60">
        <v>23.99</v>
      </c>
      <c r="K69" s="60">
        <v>0.01</v>
      </c>
      <c r="L69" s="60">
        <v>52.01</v>
      </c>
      <c r="M69" s="74"/>
      <c r="N69" s="60"/>
      <c r="O69" s="60"/>
      <c r="P69" s="44" t="s">
        <v>109</v>
      </c>
      <c r="Q69" s="74">
        <v>11519</v>
      </c>
      <c r="R69" s="80">
        <v>37822</v>
      </c>
      <c r="S69" s="60">
        <v>15</v>
      </c>
      <c r="T69" s="74">
        <v>22877</v>
      </c>
      <c r="U69" s="80">
        <v>37810</v>
      </c>
      <c r="V69" s="60">
        <v>16</v>
      </c>
      <c r="W69" s="74">
        <v>26645</v>
      </c>
      <c r="X69" s="80">
        <v>37880</v>
      </c>
      <c r="Y69" s="60">
        <v>14</v>
      </c>
      <c r="Z69" s="74">
        <v>40774</v>
      </c>
      <c r="AA69" s="80">
        <v>37880</v>
      </c>
      <c r="AB69" s="79">
        <v>14</v>
      </c>
    </row>
    <row r="70" spans="1:28" ht="15.75">
      <c r="A70" s="44" t="s">
        <v>111</v>
      </c>
      <c r="B70" s="74">
        <v>31503</v>
      </c>
      <c r="C70" s="97">
        <v>18685</v>
      </c>
      <c r="D70" s="60">
        <v>1936</v>
      </c>
      <c r="E70" s="60">
        <v>10880</v>
      </c>
      <c r="F70" s="74">
        <v>66175</v>
      </c>
      <c r="G70" s="97">
        <v>45585</v>
      </c>
      <c r="H70" s="60">
        <v>20590</v>
      </c>
      <c r="I70" s="74">
        <v>3.21</v>
      </c>
      <c r="J70" s="60">
        <v>23.99</v>
      </c>
      <c r="K70" s="60">
        <v>9.4999999999999998E-3</v>
      </c>
      <c r="L70" s="60">
        <v>49.75</v>
      </c>
      <c r="M70" s="74"/>
      <c r="N70" s="60"/>
      <c r="O70" s="60"/>
      <c r="P70" s="44" t="s">
        <v>111</v>
      </c>
      <c r="Q70" s="74">
        <v>11549</v>
      </c>
      <c r="R70" s="80">
        <v>37822</v>
      </c>
      <c r="S70" s="60">
        <v>15</v>
      </c>
      <c r="T70" s="74">
        <v>22893</v>
      </c>
      <c r="U70" s="80">
        <v>37831</v>
      </c>
      <c r="V70" s="60">
        <v>15</v>
      </c>
      <c r="W70" s="74">
        <v>10377</v>
      </c>
      <c r="X70" s="80">
        <v>37873</v>
      </c>
      <c r="Y70" s="60">
        <v>15</v>
      </c>
      <c r="Z70" s="74">
        <v>32073</v>
      </c>
      <c r="AA70" s="80">
        <v>37822</v>
      </c>
      <c r="AB70" s="79">
        <v>15</v>
      </c>
    </row>
    <row r="71" spans="1:28" ht="15.75">
      <c r="A71" s="44" t="s">
        <v>112</v>
      </c>
      <c r="B71" s="74">
        <v>33208</v>
      </c>
      <c r="C71" s="97">
        <v>20214</v>
      </c>
      <c r="D71" s="60">
        <v>2115</v>
      </c>
      <c r="E71" s="60">
        <v>10880</v>
      </c>
      <c r="F71" s="74">
        <v>71803</v>
      </c>
      <c r="G71" s="97">
        <v>49984</v>
      </c>
      <c r="H71" s="60">
        <v>21855</v>
      </c>
      <c r="I71" s="74">
        <v>3.21</v>
      </c>
      <c r="J71" s="60">
        <v>23.99</v>
      </c>
      <c r="K71" s="60">
        <v>9.2999999999999992E-3</v>
      </c>
      <c r="L71" s="60">
        <v>48.76</v>
      </c>
      <c r="M71" s="74"/>
      <c r="N71" s="60"/>
      <c r="O71" s="60"/>
      <c r="P71" s="44" t="s">
        <v>112</v>
      </c>
      <c r="Q71" s="74">
        <v>11548</v>
      </c>
      <c r="R71" s="80">
        <v>37822</v>
      </c>
      <c r="S71" s="60">
        <v>15</v>
      </c>
      <c r="T71" s="74">
        <v>22893</v>
      </c>
      <c r="U71" s="80">
        <v>37831</v>
      </c>
      <c r="V71" s="60">
        <v>15</v>
      </c>
      <c r="W71" s="74">
        <v>10394</v>
      </c>
      <c r="X71" s="80">
        <v>37867</v>
      </c>
      <c r="Y71" s="60">
        <v>15</v>
      </c>
      <c r="Z71" s="74">
        <v>32072</v>
      </c>
      <c r="AA71" s="80">
        <v>37822</v>
      </c>
      <c r="AB71" s="79">
        <v>15</v>
      </c>
    </row>
    <row r="72" spans="1:28" ht="15.75">
      <c r="A72" s="44" t="s">
        <v>113</v>
      </c>
      <c r="B72" s="74">
        <v>31818</v>
      </c>
      <c r="C72" s="97">
        <v>18966</v>
      </c>
      <c r="D72" s="60">
        <v>1970</v>
      </c>
      <c r="E72" s="60">
        <v>10880</v>
      </c>
      <c r="F72" s="74">
        <v>67200</v>
      </c>
      <c r="G72" s="97">
        <v>46143</v>
      </c>
      <c r="H72" s="60">
        <v>21057</v>
      </c>
      <c r="I72" s="74">
        <v>3.21</v>
      </c>
      <c r="J72" s="60">
        <v>23.99</v>
      </c>
      <c r="K72" s="60">
        <v>9.4000000000000004E-3</v>
      </c>
      <c r="L72" s="60">
        <v>49.17</v>
      </c>
      <c r="M72" s="74"/>
      <c r="N72" s="60"/>
      <c r="O72" s="60"/>
      <c r="P72" s="44" t="s">
        <v>113</v>
      </c>
      <c r="Q72" s="74">
        <v>11548</v>
      </c>
      <c r="R72" s="80">
        <v>37822</v>
      </c>
      <c r="S72" s="60">
        <v>15</v>
      </c>
      <c r="T72" s="74">
        <v>22893</v>
      </c>
      <c r="U72" s="80">
        <v>37831</v>
      </c>
      <c r="V72" s="60">
        <v>15</v>
      </c>
      <c r="W72" s="74">
        <v>10394</v>
      </c>
      <c r="X72" s="80">
        <v>37867</v>
      </c>
      <c r="Y72" s="60">
        <v>15</v>
      </c>
      <c r="Z72" s="74">
        <v>32072</v>
      </c>
      <c r="AA72" s="80">
        <v>37822</v>
      </c>
      <c r="AB72" s="79">
        <v>15</v>
      </c>
    </row>
    <row r="73" spans="1:28" ht="15.75">
      <c r="A73" s="44" t="s">
        <v>114</v>
      </c>
      <c r="B73" s="74">
        <v>33248</v>
      </c>
      <c r="C73" s="97">
        <v>20249</v>
      </c>
      <c r="D73" s="60">
        <v>2120</v>
      </c>
      <c r="E73" s="60">
        <v>10880</v>
      </c>
      <c r="F73" s="74">
        <v>72029</v>
      </c>
      <c r="G73" s="97">
        <v>49785</v>
      </c>
      <c r="H73" s="60">
        <v>22244</v>
      </c>
      <c r="I73" s="74">
        <v>3.22</v>
      </c>
      <c r="J73" s="60">
        <v>23.99</v>
      </c>
      <c r="K73" s="60">
        <v>9.1999999999999998E-3</v>
      </c>
      <c r="L73" s="60">
        <v>48.23</v>
      </c>
      <c r="M73" s="74"/>
      <c r="N73" s="60"/>
      <c r="O73" s="60"/>
      <c r="P73" s="44" t="s">
        <v>114</v>
      </c>
      <c r="Q73" s="74">
        <v>11461</v>
      </c>
      <c r="R73" s="80">
        <v>37849</v>
      </c>
      <c r="S73" s="60">
        <v>16</v>
      </c>
      <c r="T73" s="74">
        <v>22875</v>
      </c>
      <c r="U73" s="80">
        <v>37849</v>
      </c>
      <c r="V73" s="60">
        <v>16</v>
      </c>
      <c r="W73" s="74">
        <v>10139</v>
      </c>
      <c r="X73" s="80">
        <v>37867</v>
      </c>
      <c r="Y73" s="60">
        <v>15</v>
      </c>
      <c r="Z73" s="74">
        <v>31777</v>
      </c>
      <c r="AA73" s="80">
        <v>37810</v>
      </c>
      <c r="AB73" s="79">
        <v>16</v>
      </c>
    </row>
    <row r="74" spans="1:28" ht="15.75">
      <c r="A74" s="44" t="s">
        <v>115</v>
      </c>
      <c r="B74" s="74">
        <v>23138</v>
      </c>
      <c r="C74" s="97">
        <v>18522</v>
      </c>
      <c r="D74" s="60">
        <v>1976</v>
      </c>
      <c r="E74" s="60">
        <v>2639</v>
      </c>
      <c r="F74" s="74">
        <v>65614</v>
      </c>
      <c r="G74" s="97">
        <v>47530</v>
      </c>
      <c r="H74" s="60">
        <v>18084</v>
      </c>
      <c r="I74" s="74">
        <v>3.2</v>
      </c>
      <c r="J74" s="60">
        <v>22.86</v>
      </c>
      <c r="K74" s="60">
        <v>1.0699999999999999E-2</v>
      </c>
      <c r="L74" s="60">
        <v>63.73</v>
      </c>
      <c r="M74" s="74"/>
      <c r="N74" s="60"/>
      <c r="O74" s="60"/>
      <c r="P74" s="44" t="s">
        <v>116</v>
      </c>
      <c r="Q74" s="74">
        <v>10274</v>
      </c>
      <c r="R74" s="80">
        <v>37776</v>
      </c>
      <c r="S74" s="60">
        <v>15</v>
      </c>
      <c r="T74" s="74">
        <v>19818</v>
      </c>
      <c r="U74" s="80">
        <v>37831</v>
      </c>
      <c r="V74" s="60">
        <v>15</v>
      </c>
      <c r="W74" s="74">
        <v>7762</v>
      </c>
      <c r="X74" s="80">
        <v>37801</v>
      </c>
      <c r="Y74" s="60">
        <v>15</v>
      </c>
      <c r="Z74" s="74">
        <v>27555</v>
      </c>
      <c r="AA74" s="80">
        <v>37801</v>
      </c>
      <c r="AB74" s="79">
        <v>15</v>
      </c>
    </row>
    <row r="75" spans="1:28" ht="15.75">
      <c r="A75" s="44" t="s">
        <v>120</v>
      </c>
      <c r="B75" s="74">
        <v>18051</v>
      </c>
      <c r="C75" s="97">
        <v>14491</v>
      </c>
      <c r="D75" s="60">
        <v>1524</v>
      </c>
      <c r="E75" s="60">
        <v>2035</v>
      </c>
      <c r="F75" s="74">
        <v>50357</v>
      </c>
      <c r="G75" s="97">
        <v>36480</v>
      </c>
      <c r="H75" s="60">
        <v>13877</v>
      </c>
      <c r="I75" s="74">
        <v>3.14</v>
      </c>
      <c r="J75" s="60">
        <v>25</v>
      </c>
      <c r="K75" s="60">
        <v>1.09E-2</v>
      </c>
      <c r="L75" s="60">
        <v>55.13</v>
      </c>
      <c r="M75" s="74"/>
      <c r="N75" s="60"/>
      <c r="O75" s="60"/>
      <c r="P75" s="44" t="s">
        <v>121</v>
      </c>
      <c r="Q75" s="74">
        <v>11344</v>
      </c>
      <c r="R75" s="80">
        <v>37822</v>
      </c>
      <c r="S75" s="60">
        <v>14</v>
      </c>
      <c r="T75" s="74">
        <v>22269</v>
      </c>
      <c r="U75" s="80">
        <v>37822</v>
      </c>
      <c r="V75" s="60">
        <v>14</v>
      </c>
      <c r="W75" s="74">
        <v>8874</v>
      </c>
      <c r="X75" s="80">
        <v>37789</v>
      </c>
      <c r="Y75" s="60">
        <v>13</v>
      </c>
      <c r="Z75" s="74">
        <v>31097</v>
      </c>
      <c r="AA75" s="80">
        <v>37789</v>
      </c>
      <c r="AB75" s="79">
        <v>13</v>
      </c>
    </row>
    <row r="76" spans="1:28" ht="15.75">
      <c r="A76" s="44" t="s">
        <v>124</v>
      </c>
      <c r="B76" s="74">
        <v>35845</v>
      </c>
      <c r="C76" s="97">
        <v>28721</v>
      </c>
      <c r="D76" s="60">
        <v>3050</v>
      </c>
      <c r="E76" s="60">
        <v>4073</v>
      </c>
      <c r="F76" s="74">
        <v>112781</v>
      </c>
      <c r="G76" s="97">
        <v>81563</v>
      </c>
      <c r="H76" s="60">
        <v>31217</v>
      </c>
      <c r="I76" s="74">
        <v>3.55</v>
      </c>
      <c r="J76" s="60">
        <v>25</v>
      </c>
      <c r="K76" s="60">
        <v>1.09E-2</v>
      </c>
      <c r="L76" s="60">
        <v>55.24</v>
      </c>
      <c r="M76" s="74"/>
      <c r="N76" s="60"/>
      <c r="O76" s="60"/>
      <c r="P76" s="44" t="s">
        <v>125</v>
      </c>
      <c r="Q76" s="656">
        <v>10684</v>
      </c>
      <c r="R76" s="80">
        <v>37776</v>
      </c>
      <c r="S76" s="60">
        <v>15</v>
      </c>
      <c r="T76" s="74">
        <v>20378</v>
      </c>
      <c r="U76" s="80">
        <v>37764</v>
      </c>
      <c r="V76" s="60">
        <v>15</v>
      </c>
      <c r="W76" s="74">
        <v>7964</v>
      </c>
      <c r="X76" s="80">
        <v>37764</v>
      </c>
      <c r="Y76" s="60">
        <v>15</v>
      </c>
      <c r="Z76" s="74">
        <v>28343</v>
      </c>
      <c r="AA76" s="80">
        <v>37764</v>
      </c>
      <c r="AB76" s="79">
        <v>15</v>
      </c>
    </row>
    <row r="77" spans="1:28" ht="15.75">
      <c r="A77" s="44" t="s">
        <v>125</v>
      </c>
      <c r="B77" s="74">
        <v>25781</v>
      </c>
      <c r="C77" s="97">
        <v>20185</v>
      </c>
      <c r="D77" s="60">
        <v>2396</v>
      </c>
      <c r="E77" s="60">
        <v>3200</v>
      </c>
      <c r="F77" s="74">
        <v>66146</v>
      </c>
      <c r="G77" s="97">
        <v>48059</v>
      </c>
      <c r="H77" s="60">
        <v>18087</v>
      </c>
      <c r="I77" s="74">
        <v>2.92</v>
      </c>
      <c r="J77" s="60">
        <v>14.89</v>
      </c>
      <c r="K77" s="60">
        <v>7.6299999999999996E-3</v>
      </c>
      <c r="L77" s="60">
        <v>72.17</v>
      </c>
      <c r="M77" s="74"/>
      <c r="N77" s="60"/>
      <c r="O77" s="60"/>
      <c r="P77" s="44" t="s">
        <v>127</v>
      </c>
      <c r="Q77" s="74">
        <v>10747</v>
      </c>
      <c r="R77" s="80">
        <v>37849</v>
      </c>
      <c r="S77" s="60">
        <v>15</v>
      </c>
      <c r="T77" s="74">
        <v>19920</v>
      </c>
      <c r="U77" s="80">
        <v>37849</v>
      </c>
      <c r="V77" s="60">
        <v>15</v>
      </c>
      <c r="W77" s="74">
        <v>7745</v>
      </c>
      <c r="X77" s="80">
        <v>37801</v>
      </c>
      <c r="Y77" s="60">
        <v>15</v>
      </c>
      <c r="Z77" s="74">
        <v>27636</v>
      </c>
      <c r="AA77" s="80">
        <v>37801</v>
      </c>
      <c r="AB77" s="79">
        <v>15</v>
      </c>
    </row>
    <row r="78" spans="1:28" ht="15.75">
      <c r="A78" s="44" t="s">
        <v>127</v>
      </c>
      <c r="B78" s="74">
        <v>24360</v>
      </c>
      <c r="C78" s="97">
        <v>19281</v>
      </c>
      <c r="D78" s="60">
        <v>2174</v>
      </c>
      <c r="E78" s="60">
        <v>2904</v>
      </c>
      <c r="F78" s="74">
        <v>65900</v>
      </c>
      <c r="G78" s="97">
        <v>47795</v>
      </c>
      <c r="H78" s="60">
        <v>18104</v>
      </c>
      <c r="I78" s="74">
        <v>3.07</v>
      </c>
      <c r="J78" s="60">
        <v>18.7</v>
      </c>
      <c r="K78" s="60">
        <v>9.0100000000000006E-3</v>
      </c>
      <c r="L78" s="60">
        <v>68.11</v>
      </c>
      <c r="M78" s="74"/>
      <c r="N78" s="60"/>
      <c r="O78" s="60"/>
      <c r="P78" s="44" t="s">
        <v>130</v>
      </c>
      <c r="Q78" s="74">
        <v>9585</v>
      </c>
      <c r="R78" s="80">
        <v>37849</v>
      </c>
      <c r="S78" s="60">
        <v>15</v>
      </c>
      <c r="T78" s="74">
        <v>19661</v>
      </c>
      <c r="U78" s="80">
        <v>37776</v>
      </c>
      <c r="V78" s="60">
        <v>15</v>
      </c>
      <c r="W78" s="74">
        <v>7820</v>
      </c>
      <c r="X78" s="80">
        <v>37801</v>
      </c>
      <c r="Y78" s="60">
        <v>15</v>
      </c>
      <c r="Z78" s="74">
        <v>27462</v>
      </c>
      <c r="AA78" s="80">
        <v>37801</v>
      </c>
      <c r="AB78" s="79">
        <v>15</v>
      </c>
    </row>
    <row r="79" spans="1:28" ht="15.75">
      <c r="A79" s="44" t="s">
        <v>130</v>
      </c>
      <c r="B79" s="74">
        <v>21323</v>
      </c>
      <c r="C79" s="97">
        <v>17443</v>
      </c>
      <c r="D79" s="60">
        <v>1663</v>
      </c>
      <c r="E79" s="60">
        <v>2221</v>
      </c>
      <c r="F79" s="74">
        <v>65155</v>
      </c>
      <c r="G79" s="97">
        <v>47110</v>
      </c>
      <c r="H79" s="60">
        <v>18045</v>
      </c>
      <c r="I79" s="74">
        <v>3.41</v>
      </c>
      <c r="J79" s="60">
        <v>30.69</v>
      </c>
      <c r="K79" s="60">
        <v>1.5100000000000001E-2</v>
      </c>
      <c r="L79" s="60">
        <v>57.37</v>
      </c>
      <c r="M79" s="74"/>
      <c r="N79" s="60"/>
      <c r="O79" s="60"/>
      <c r="P79" s="44" t="s">
        <v>132</v>
      </c>
      <c r="Q79" s="74">
        <v>8089</v>
      </c>
      <c r="R79" s="80">
        <v>37849</v>
      </c>
      <c r="S79" s="60">
        <v>15</v>
      </c>
      <c r="T79" s="74">
        <v>19626</v>
      </c>
      <c r="U79" s="80">
        <v>37810</v>
      </c>
      <c r="V79" s="60">
        <v>15</v>
      </c>
      <c r="W79" s="74">
        <v>35.9</v>
      </c>
      <c r="X79" s="80">
        <v>37926</v>
      </c>
      <c r="Y79" s="60">
        <v>20</v>
      </c>
      <c r="Z79" s="74">
        <v>19626</v>
      </c>
      <c r="AA79" s="80">
        <v>37810</v>
      </c>
      <c r="AB79" s="79">
        <v>15</v>
      </c>
    </row>
    <row r="80" spans="1:28" ht="15.75">
      <c r="A80" s="44" t="s">
        <v>132</v>
      </c>
      <c r="B80" s="74">
        <v>17875</v>
      </c>
      <c r="C80" s="97">
        <v>14172</v>
      </c>
      <c r="D80" s="60">
        <v>1585</v>
      </c>
      <c r="E80" s="60">
        <v>2117</v>
      </c>
      <c r="F80" s="74">
        <v>47002</v>
      </c>
      <c r="G80" s="97">
        <v>47002</v>
      </c>
      <c r="H80" s="60">
        <v>0</v>
      </c>
      <c r="I80" s="74">
        <v>2.98</v>
      </c>
      <c r="J80" s="60">
        <v>22.86</v>
      </c>
      <c r="K80" s="60">
        <v>6.6699999999999997E-3</v>
      </c>
      <c r="L80" s="60">
        <v>39.6</v>
      </c>
      <c r="M80" s="74"/>
      <c r="N80" s="60"/>
      <c r="O80" s="60"/>
      <c r="P80" s="44" t="s">
        <v>135</v>
      </c>
      <c r="Q80" s="74">
        <v>8985</v>
      </c>
      <c r="R80" s="80">
        <v>37849</v>
      </c>
      <c r="S80" s="60">
        <v>15</v>
      </c>
      <c r="T80" s="74">
        <v>19799</v>
      </c>
      <c r="U80" s="80">
        <v>37849</v>
      </c>
      <c r="V80" s="60">
        <v>15</v>
      </c>
      <c r="W80" s="74">
        <v>1181</v>
      </c>
      <c r="X80" s="80">
        <v>37691</v>
      </c>
      <c r="Y80" s="60">
        <v>10</v>
      </c>
      <c r="Z80" s="74">
        <v>19799</v>
      </c>
      <c r="AA80" s="80">
        <v>37849</v>
      </c>
      <c r="AB80" s="79">
        <v>15</v>
      </c>
    </row>
    <row r="81" spans="1:40" ht="15.75">
      <c r="A81" s="44" t="s">
        <v>135</v>
      </c>
      <c r="B81" s="74">
        <v>20164</v>
      </c>
      <c r="C81" s="97">
        <v>15664</v>
      </c>
      <c r="D81" s="60">
        <v>1926</v>
      </c>
      <c r="E81" s="60">
        <v>2573</v>
      </c>
      <c r="F81" s="74">
        <v>47462</v>
      </c>
      <c r="G81" s="97">
        <v>47460</v>
      </c>
      <c r="H81" s="60">
        <v>2</v>
      </c>
      <c r="I81" s="74">
        <v>2.69</v>
      </c>
      <c r="J81" s="60">
        <v>14.98</v>
      </c>
      <c r="K81" s="60">
        <v>4.6299999999999996E-3</v>
      </c>
      <c r="L81" s="60">
        <v>43.82</v>
      </c>
      <c r="M81" s="74"/>
      <c r="N81" s="60"/>
      <c r="O81" s="60"/>
      <c r="P81" s="45" t="s">
        <v>138</v>
      </c>
      <c r="Q81" s="81">
        <v>7471</v>
      </c>
      <c r="R81" s="82">
        <v>37776</v>
      </c>
      <c r="S81" s="64">
        <v>15</v>
      </c>
      <c r="T81" s="81">
        <v>19497</v>
      </c>
      <c r="U81" s="82">
        <v>37776</v>
      </c>
      <c r="V81" s="64">
        <v>15</v>
      </c>
      <c r="W81" s="81">
        <v>0</v>
      </c>
      <c r="X81" s="82">
        <v>37622</v>
      </c>
      <c r="Y81" s="64">
        <v>1</v>
      </c>
      <c r="Z81" s="81">
        <v>19497</v>
      </c>
      <c r="AA81" s="82">
        <v>37776</v>
      </c>
      <c r="AB81" s="84">
        <v>15</v>
      </c>
    </row>
    <row r="82" spans="1:40" ht="15.75">
      <c r="A82" s="45" t="s">
        <v>138</v>
      </c>
      <c r="B82" s="81">
        <v>16339</v>
      </c>
      <c r="C82" s="64">
        <v>13215</v>
      </c>
      <c r="D82" s="64">
        <v>1337</v>
      </c>
      <c r="E82" s="64">
        <v>1786</v>
      </c>
      <c r="F82" s="81">
        <v>46668</v>
      </c>
      <c r="G82" s="64">
        <v>46668</v>
      </c>
      <c r="H82" s="64">
        <v>0</v>
      </c>
      <c r="I82" s="81">
        <v>3.2</v>
      </c>
      <c r="J82" s="64">
        <v>30.69</v>
      </c>
      <c r="K82" s="64">
        <v>7.2199999999999999E-3</v>
      </c>
      <c r="L82" s="64">
        <v>29.2</v>
      </c>
      <c r="M82" s="74"/>
      <c r="N82" s="97"/>
      <c r="O82" s="97"/>
    </row>
    <row r="84" spans="1:40">
      <c r="A84" s="41"/>
      <c r="B84" s="41"/>
      <c r="C84" s="42"/>
      <c r="D84" s="42"/>
      <c r="E84" s="42" t="s">
        <v>141</v>
      </c>
      <c r="F84" s="42"/>
      <c r="G84" s="42"/>
      <c r="H84" s="42"/>
      <c r="I84" s="42"/>
      <c r="J84" s="42"/>
      <c r="K84" s="42"/>
      <c r="L84" s="43"/>
      <c r="P84" s="41"/>
      <c r="Q84" s="41"/>
      <c r="R84" s="42"/>
      <c r="S84" s="42"/>
      <c r="T84" s="42" t="s">
        <v>142</v>
      </c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3"/>
    </row>
    <row r="85" spans="1:40">
      <c r="A85" s="44"/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7"/>
      <c r="P85" s="44"/>
      <c r="Q85" s="45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7"/>
    </row>
    <row r="86" spans="1:40">
      <c r="A86" s="44"/>
      <c r="B86" s="44" t="s">
        <v>143</v>
      </c>
      <c r="C86" s="120"/>
      <c r="D86" s="41" t="s">
        <v>369</v>
      </c>
      <c r="E86" s="120"/>
      <c r="G86" s="51" t="s">
        <v>361</v>
      </c>
      <c r="H86" s="88"/>
      <c r="K86" s="43"/>
      <c r="L86" s="259" t="s">
        <v>370</v>
      </c>
      <c r="P86" s="44"/>
      <c r="Q86" s="44"/>
      <c r="S86" t="s">
        <v>145</v>
      </c>
      <c r="W86" s="44"/>
      <c r="X86" t="s">
        <v>146</v>
      </c>
      <c r="AC86" s="44"/>
      <c r="AD86" t="s">
        <v>147</v>
      </c>
      <c r="AI86" s="44"/>
      <c r="AJ86" t="s">
        <v>148</v>
      </c>
      <c r="AN86" s="48"/>
    </row>
    <row r="87" spans="1:40">
      <c r="A87" s="44" t="s">
        <v>78</v>
      </c>
      <c r="B87" s="51" t="s">
        <v>5</v>
      </c>
      <c r="C87" s="49" t="s">
        <v>84</v>
      </c>
      <c r="D87" s="51" t="s">
        <v>4</v>
      </c>
      <c r="E87" s="252" t="s">
        <v>6</v>
      </c>
      <c r="F87" s="49" t="s">
        <v>7</v>
      </c>
      <c r="G87" s="51" t="s">
        <v>371</v>
      </c>
      <c r="H87" s="89" t="s">
        <v>150</v>
      </c>
      <c r="I87" s="90" t="s">
        <v>151</v>
      </c>
      <c r="J87" s="90" t="s">
        <v>152</v>
      </c>
      <c r="K87" s="91" t="s">
        <v>153</v>
      </c>
      <c r="L87" s="91" t="s">
        <v>371</v>
      </c>
      <c r="P87" s="44" t="s">
        <v>3</v>
      </c>
      <c r="Q87" s="44"/>
      <c r="R87" t="s">
        <v>154</v>
      </c>
      <c r="T87" s="44"/>
      <c r="U87" t="s">
        <v>155</v>
      </c>
      <c r="W87" s="44"/>
      <c r="X87" t="s">
        <v>154</v>
      </c>
      <c r="Z87" s="44"/>
      <c r="AA87" t="s">
        <v>400</v>
      </c>
      <c r="AC87" s="44"/>
      <c r="AD87" t="s">
        <v>154</v>
      </c>
      <c r="AF87" s="44"/>
      <c r="AG87" t="s">
        <v>400</v>
      </c>
      <c r="AI87" s="44"/>
      <c r="AJ87" t="s">
        <v>401</v>
      </c>
      <c r="AL87" s="44"/>
      <c r="AM87" t="s">
        <v>400</v>
      </c>
      <c r="AN87" s="48"/>
    </row>
    <row r="88" spans="1:40">
      <c r="A88" s="45"/>
      <c r="B88" s="52" t="s">
        <v>156</v>
      </c>
      <c r="C88" s="53" t="s">
        <v>156</v>
      </c>
      <c r="D88" s="52" t="s">
        <v>156</v>
      </c>
      <c r="E88" s="53" t="s">
        <v>156</v>
      </c>
      <c r="F88" s="53" t="s">
        <v>156</v>
      </c>
      <c r="G88" s="52" t="s">
        <v>157</v>
      </c>
      <c r="H88" s="92"/>
      <c r="I88" s="53" t="s">
        <v>11</v>
      </c>
      <c r="J88" s="53" t="s">
        <v>11</v>
      </c>
      <c r="K88" s="54" t="s">
        <v>11</v>
      </c>
      <c r="L88" s="260" t="s">
        <v>22</v>
      </c>
      <c r="P88" s="45"/>
      <c r="Q88" s="52" t="s">
        <v>86</v>
      </c>
      <c r="R88" s="53" t="s">
        <v>77</v>
      </c>
      <c r="S88" s="53" t="s">
        <v>78</v>
      </c>
      <c r="T88" s="52" t="s">
        <v>86</v>
      </c>
      <c r="U88" s="53" t="s">
        <v>77</v>
      </c>
      <c r="V88" s="53" t="s">
        <v>78</v>
      </c>
      <c r="W88" s="52" t="s">
        <v>29</v>
      </c>
      <c r="X88" s="53" t="s">
        <v>77</v>
      </c>
      <c r="Y88" s="53" t="s">
        <v>78</v>
      </c>
      <c r="Z88" s="52" t="s">
        <v>29</v>
      </c>
      <c r="AA88" s="53" t="s">
        <v>77</v>
      </c>
      <c r="AB88" s="53" t="s">
        <v>78</v>
      </c>
      <c r="AC88" s="52" t="s">
        <v>30</v>
      </c>
      <c r="AD88" s="53" t="s">
        <v>77</v>
      </c>
      <c r="AE88" s="53" t="s">
        <v>78</v>
      </c>
      <c r="AF88" s="52" t="s">
        <v>30</v>
      </c>
      <c r="AG88" s="53" t="s">
        <v>77</v>
      </c>
      <c r="AH88" s="53" t="s">
        <v>78</v>
      </c>
      <c r="AI88" s="52" t="s">
        <v>158</v>
      </c>
      <c r="AJ88" s="53" t="s">
        <v>77</v>
      </c>
      <c r="AK88" s="53" t="s">
        <v>78</v>
      </c>
      <c r="AL88" s="52" t="s">
        <v>158</v>
      </c>
      <c r="AM88" s="53" t="s">
        <v>77</v>
      </c>
      <c r="AN88" s="54" t="s">
        <v>78</v>
      </c>
    </row>
    <row r="89" spans="1:40" ht="15.75">
      <c r="A89" s="44" t="s">
        <v>159</v>
      </c>
      <c r="B89" s="657">
        <v>1942.81</v>
      </c>
      <c r="C89" s="657">
        <v>240.93799999999999</v>
      </c>
      <c r="D89" s="657">
        <v>7667.56</v>
      </c>
      <c r="E89" s="657">
        <v>5870.06</v>
      </c>
      <c r="F89" s="657">
        <v>1797.5</v>
      </c>
      <c r="G89" s="658">
        <v>9.2501500000000004E-3</v>
      </c>
      <c r="H89" s="657">
        <v>3.5112000000000001</v>
      </c>
      <c r="I89" s="657">
        <v>17.8</v>
      </c>
      <c r="J89" s="657">
        <v>23.936699999999998</v>
      </c>
      <c r="K89" s="657">
        <v>17.304200000000002</v>
      </c>
      <c r="L89" s="657">
        <v>1.1071715500000001E-2</v>
      </c>
      <c r="P89" s="44" t="s">
        <v>91</v>
      </c>
      <c r="Q89" s="74">
        <v>3.88</v>
      </c>
      <c r="R89" s="80">
        <v>37741</v>
      </c>
      <c r="S89" s="60">
        <v>16</v>
      </c>
      <c r="T89" s="74">
        <v>2.81</v>
      </c>
      <c r="U89" s="80">
        <v>37786</v>
      </c>
      <c r="V89" s="60">
        <v>12</v>
      </c>
      <c r="W89" s="74">
        <v>26.19</v>
      </c>
      <c r="X89" s="80">
        <v>37928</v>
      </c>
      <c r="Y89" s="60">
        <v>15</v>
      </c>
      <c r="Z89" s="74">
        <v>6.99</v>
      </c>
      <c r="AA89" s="80">
        <v>37627</v>
      </c>
      <c r="AB89" s="60">
        <v>5</v>
      </c>
      <c r="AC89" s="74">
        <v>1.34E-2</v>
      </c>
      <c r="AD89" s="80">
        <v>37941</v>
      </c>
      <c r="AE89" s="60">
        <v>16</v>
      </c>
      <c r="AF89" s="74">
        <v>1.97E-3</v>
      </c>
      <c r="AG89" s="80">
        <v>37626</v>
      </c>
      <c r="AH89" s="60">
        <v>6</v>
      </c>
      <c r="AI89" s="74">
        <v>67.44</v>
      </c>
      <c r="AJ89" s="80">
        <v>37941</v>
      </c>
      <c r="AK89" s="60">
        <v>16</v>
      </c>
      <c r="AL89" s="74">
        <v>14.94</v>
      </c>
      <c r="AM89" s="80">
        <v>37931</v>
      </c>
      <c r="AN89" s="79">
        <v>8</v>
      </c>
    </row>
    <row r="90" spans="1:40" ht="15.75">
      <c r="A90" s="44" t="s">
        <v>166</v>
      </c>
      <c r="B90" s="657">
        <v>1950.53</v>
      </c>
      <c r="C90" s="657">
        <v>241.10400000000001</v>
      </c>
      <c r="D90" s="657">
        <v>7674.46</v>
      </c>
      <c r="E90" s="657">
        <v>5871.7</v>
      </c>
      <c r="F90" s="657">
        <v>1802.77</v>
      </c>
      <c r="G90" s="658">
        <v>9.2582099999999994E-3</v>
      </c>
      <c r="H90" s="657">
        <v>3.5017</v>
      </c>
      <c r="I90" s="657">
        <v>18.3</v>
      </c>
      <c r="J90" s="657">
        <v>23.936699999999998</v>
      </c>
      <c r="K90" s="657">
        <v>17.309999999999999</v>
      </c>
      <c r="L90" s="657">
        <v>1.1431797E-2</v>
      </c>
      <c r="P90" s="44" t="s">
        <v>96</v>
      </c>
      <c r="Q90" s="74">
        <v>4.12</v>
      </c>
      <c r="R90" s="80">
        <v>37741</v>
      </c>
      <c r="S90" s="60">
        <v>15</v>
      </c>
      <c r="T90" s="74">
        <v>2.87</v>
      </c>
      <c r="U90" s="80">
        <v>37956</v>
      </c>
      <c r="V90" s="60">
        <v>14</v>
      </c>
      <c r="W90" s="74">
        <v>27.19</v>
      </c>
      <c r="X90" s="80">
        <v>37810</v>
      </c>
      <c r="Y90" s="60">
        <v>15</v>
      </c>
      <c r="Z90" s="74">
        <v>6.99</v>
      </c>
      <c r="AA90" s="80">
        <v>37627</v>
      </c>
      <c r="AB90" s="60">
        <v>5</v>
      </c>
      <c r="AC90" s="74">
        <v>1.5699999999999999E-2</v>
      </c>
      <c r="AD90" s="80">
        <v>37896</v>
      </c>
      <c r="AE90" s="60">
        <v>8</v>
      </c>
      <c r="AF90" s="74">
        <v>1.9599999999999999E-3</v>
      </c>
      <c r="AG90" s="80">
        <v>37626</v>
      </c>
      <c r="AH90" s="60">
        <v>7</v>
      </c>
      <c r="AI90" s="74">
        <v>78.19</v>
      </c>
      <c r="AJ90" s="80">
        <v>37896</v>
      </c>
      <c r="AK90" s="60">
        <v>8</v>
      </c>
      <c r="AL90" s="74">
        <v>15.93</v>
      </c>
      <c r="AM90" s="80">
        <v>37931</v>
      </c>
      <c r="AN90" s="79">
        <v>8</v>
      </c>
    </row>
    <row r="91" spans="1:40" ht="15.75">
      <c r="A91" s="44" t="s">
        <v>169</v>
      </c>
      <c r="B91" s="657">
        <v>1902.33</v>
      </c>
      <c r="C91" s="657">
        <v>236.85</v>
      </c>
      <c r="D91" s="657">
        <v>7527.94</v>
      </c>
      <c r="E91" s="657">
        <v>5782.88</v>
      </c>
      <c r="F91" s="657">
        <v>1745.07</v>
      </c>
      <c r="G91" s="658">
        <v>9.2067699999999995E-3</v>
      </c>
      <c r="H91" s="657">
        <v>3.5190899999999998</v>
      </c>
      <c r="I91" s="657">
        <v>17.8</v>
      </c>
      <c r="J91" s="657">
        <v>23.895800000000001</v>
      </c>
      <c r="K91" s="657">
        <v>17.236699999999999</v>
      </c>
      <c r="L91" s="657">
        <v>1.1071715500000001E-2</v>
      </c>
      <c r="P91" s="44" t="s">
        <v>98</v>
      </c>
      <c r="Q91" s="74">
        <v>4.38</v>
      </c>
      <c r="R91" s="80">
        <v>37973</v>
      </c>
      <c r="S91" s="60">
        <v>3</v>
      </c>
      <c r="T91" s="74">
        <v>2.83</v>
      </c>
      <c r="U91" s="80">
        <v>37711</v>
      </c>
      <c r="V91" s="60">
        <v>14</v>
      </c>
      <c r="W91" s="74">
        <v>31.65</v>
      </c>
      <c r="X91" s="80">
        <v>37810</v>
      </c>
      <c r="Y91" s="60">
        <v>15</v>
      </c>
      <c r="Z91" s="74">
        <v>6.99</v>
      </c>
      <c r="AA91" s="80">
        <v>37627</v>
      </c>
      <c r="AB91" s="60">
        <v>5</v>
      </c>
      <c r="AC91" s="74">
        <v>1.77E-2</v>
      </c>
      <c r="AD91" s="80">
        <v>37812</v>
      </c>
      <c r="AE91" s="60">
        <v>12</v>
      </c>
      <c r="AF91" s="74">
        <v>1.97E-3</v>
      </c>
      <c r="AG91" s="80">
        <v>37626</v>
      </c>
      <c r="AH91" s="60">
        <v>6</v>
      </c>
      <c r="AI91" s="74">
        <v>81.88</v>
      </c>
      <c r="AJ91" s="80">
        <v>37880</v>
      </c>
      <c r="AK91" s="60">
        <v>20</v>
      </c>
      <c r="AL91" s="74">
        <v>12.92</v>
      </c>
      <c r="AM91" s="80">
        <v>37975</v>
      </c>
      <c r="AN91" s="79">
        <v>5</v>
      </c>
    </row>
    <row r="92" spans="1:40" ht="15.75">
      <c r="A92" s="44" t="s">
        <v>171</v>
      </c>
      <c r="B92" s="657">
        <v>1845.43</v>
      </c>
      <c r="C92" s="657">
        <v>231.11799999999999</v>
      </c>
      <c r="D92" s="657">
        <v>7317.22</v>
      </c>
      <c r="E92" s="657">
        <v>5683.06</v>
      </c>
      <c r="F92" s="657">
        <v>1634.17</v>
      </c>
      <c r="G92" s="658">
        <v>9.1047200000000002E-3</v>
      </c>
      <c r="H92" s="657">
        <v>3.5237500000000002</v>
      </c>
      <c r="I92" s="657">
        <v>17.8</v>
      </c>
      <c r="J92" s="657">
        <v>23.837499999999999</v>
      </c>
      <c r="K92" s="657">
        <v>17.078499999999998</v>
      </c>
      <c r="L92" s="657">
        <v>1.1071715500000001E-2</v>
      </c>
      <c r="P92" s="44" t="s">
        <v>102</v>
      </c>
      <c r="Q92" s="74">
        <v>4.05</v>
      </c>
      <c r="R92" s="80">
        <v>37789</v>
      </c>
      <c r="S92" s="60">
        <v>16</v>
      </c>
      <c r="T92" s="74">
        <v>2.84</v>
      </c>
      <c r="U92" s="80">
        <v>37711</v>
      </c>
      <c r="V92" s="60">
        <v>14</v>
      </c>
      <c r="W92" s="74">
        <v>31.3</v>
      </c>
      <c r="X92" s="80">
        <v>37810</v>
      </c>
      <c r="Y92" s="60">
        <v>15</v>
      </c>
      <c r="Z92" s="74">
        <v>6.99</v>
      </c>
      <c r="AA92" s="80">
        <v>37627</v>
      </c>
      <c r="AB92" s="60">
        <v>5</v>
      </c>
      <c r="AC92" s="74">
        <v>1.77E-2</v>
      </c>
      <c r="AD92" s="80">
        <v>37812</v>
      </c>
      <c r="AE92" s="60">
        <v>12</v>
      </c>
      <c r="AF92" s="74">
        <v>1.97E-3</v>
      </c>
      <c r="AG92" s="80">
        <v>37626</v>
      </c>
      <c r="AH92" s="60">
        <v>6</v>
      </c>
      <c r="AI92" s="74">
        <v>78.7</v>
      </c>
      <c r="AJ92" s="80">
        <v>37866</v>
      </c>
      <c r="AK92" s="60">
        <v>12</v>
      </c>
      <c r="AL92" s="74">
        <v>14.94</v>
      </c>
      <c r="AM92" s="80">
        <v>37931</v>
      </c>
      <c r="AN92" s="79">
        <v>8</v>
      </c>
    </row>
    <row r="93" spans="1:40" ht="15.75">
      <c r="A93" s="44" t="s">
        <v>173</v>
      </c>
      <c r="B93" s="657">
        <v>1914.46</v>
      </c>
      <c r="C93" s="657">
        <v>238.68700000000001</v>
      </c>
      <c r="D93" s="657">
        <v>7514.35</v>
      </c>
      <c r="E93" s="657">
        <v>5955.01</v>
      </c>
      <c r="F93" s="657">
        <v>1559.34</v>
      </c>
      <c r="G93" s="658">
        <v>8.9519200000000004E-3</v>
      </c>
      <c r="H93" s="657">
        <v>3.4899399999999998</v>
      </c>
      <c r="I93" s="657">
        <v>17.2</v>
      </c>
      <c r="J93" s="657">
        <v>23.9757</v>
      </c>
      <c r="K93" s="657">
        <v>17.0075</v>
      </c>
      <c r="L93" s="657">
        <v>1.0155272999999999E-2</v>
      </c>
      <c r="P93" s="44" t="s">
        <v>356</v>
      </c>
      <c r="Q93" s="74">
        <v>3.95</v>
      </c>
      <c r="R93" s="80">
        <v>37880</v>
      </c>
      <c r="S93" s="60">
        <v>16</v>
      </c>
      <c r="T93" s="74">
        <v>2.84</v>
      </c>
      <c r="U93" s="80">
        <v>37711</v>
      </c>
      <c r="V93" s="60">
        <v>14</v>
      </c>
      <c r="W93" s="74">
        <v>31.58</v>
      </c>
      <c r="X93" s="80">
        <v>37810</v>
      </c>
      <c r="Y93" s="60">
        <v>15</v>
      </c>
      <c r="Z93" s="74">
        <v>6.99</v>
      </c>
      <c r="AA93" s="80">
        <v>37627</v>
      </c>
      <c r="AB93" s="60">
        <v>5</v>
      </c>
      <c r="AC93" s="74">
        <v>1.77E-2</v>
      </c>
      <c r="AD93" s="80">
        <v>37812</v>
      </c>
      <c r="AE93" s="60">
        <v>12</v>
      </c>
      <c r="AF93" s="74">
        <v>1.97E-3</v>
      </c>
      <c r="AG93" s="80">
        <v>37626</v>
      </c>
      <c r="AH93" s="60">
        <v>6</v>
      </c>
      <c r="AI93" s="74">
        <v>80.25</v>
      </c>
      <c r="AJ93" s="80">
        <v>37880</v>
      </c>
      <c r="AK93" s="60">
        <v>20</v>
      </c>
      <c r="AL93" s="74">
        <v>14.94</v>
      </c>
      <c r="AM93" s="80">
        <v>37931</v>
      </c>
      <c r="AN93" s="79">
        <v>8</v>
      </c>
    </row>
    <row r="94" spans="1:40" ht="15.75">
      <c r="A94" s="44" t="s">
        <v>174</v>
      </c>
      <c r="B94" s="657">
        <v>2506.5700000000002</v>
      </c>
      <c r="C94" s="657">
        <v>292.58800000000002</v>
      </c>
      <c r="D94" s="657">
        <v>9222.93</v>
      </c>
      <c r="E94" s="657">
        <v>7311.79</v>
      </c>
      <c r="F94" s="657">
        <v>1911.15</v>
      </c>
      <c r="G94" s="658">
        <v>9.1582799999999995E-3</v>
      </c>
      <c r="H94" s="657">
        <v>3.2949000000000002</v>
      </c>
      <c r="I94" s="657">
        <v>19.399999999999999</v>
      </c>
      <c r="J94" s="657">
        <v>24.575600000000001</v>
      </c>
      <c r="K94" s="657">
        <v>17.5412</v>
      </c>
      <c r="L94" s="657">
        <v>1.0970428000000001E-2</v>
      </c>
      <c r="P94" s="44" t="s">
        <v>105</v>
      </c>
      <c r="Q94" s="74">
        <v>3.88</v>
      </c>
      <c r="R94" s="80">
        <v>37741</v>
      </c>
      <c r="S94" s="60">
        <v>16</v>
      </c>
      <c r="T94" s="74">
        <v>2.81</v>
      </c>
      <c r="U94" s="80">
        <v>37786</v>
      </c>
      <c r="V94" s="60">
        <v>12</v>
      </c>
      <c r="W94" s="74">
        <v>35</v>
      </c>
      <c r="X94" s="80">
        <v>37732</v>
      </c>
      <c r="Y94" s="60">
        <v>2</v>
      </c>
      <c r="Z94" s="74">
        <v>6.99</v>
      </c>
      <c r="AA94" s="80">
        <v>37627</v>
      </c>
      <c r="AB94" s="60">
        <v>5</v>
      </c>
      <c r="AC94" s="74">
        <v>1.66E-2</v>
      </c>
      <c r="AD94" s="80">
        <v>37896</v>
      </c>
      <c r="AE94" s="60">
        <v>1</v>
      </c>
      <c r="AF94" s="74">
        <v>1.97E-3</v>
      </c>
      <c r="AG94" s="80">
        <v>37626</v>
      </c>
      <c r="AH94" s="60">
        <v>6</v>
      </c>
      <c r="AI94" s="74">
        <v>72.650000000000006</v>
      </c>
      <c r="AJ94" s="80">
        <v>37836</v>
      </c>
      <c r="AK94" s="60">
        <v>7</v>
      </c>
      <c r="AL94" s="74">
        <v>14.94</v>
      </c>
      <c r="AM94" s="80">
        <v>37931</v>
      </c>
      <c r="AN94" s="79">
        <v>8</v>
      </c>
    </row>
    <row r="95" spans="1:40" ht="15.75">
      <c r="A95" s="44" t="s">
        <v>176</v>
      </c>
      <c r="B95" s="657">
        <v>3170.95</v>
      </c>
      <c r="C95" s="657">
        <v>342.96899999999999</v>
      </c>
      <c r="D95" s="657">
        <v>10769.5</v>
      </c>
      <c r="E95" s="657">
        <v>8646.8700000000008</v>
      </c>
      <c r="F95" s="657">
        <v>2122.59</v>
      </c>
      <c r="G95" s="658">
        <v>9.4778299999999996E-3</v>
      </c>
      <c r="H95" s="657">
        <v>3.0648</v>
      </c>
      <c r="I95" s="657">
        <v>25</v>
      </c>
      <c r="J95" s="657">
        <v>25.164300000000001</v>
      </c>
      <c r="K95" s="657">
        <v>17.992599999999999</v>
      </c>
      <c r="L95" s="657">
        <v>1.3098754000000001E-2</v>
      </c>
      <c r="P95" s="44" t="s">
        <v>108</v>
      </c>
      <c r="Q95" s="74">
        <v>4.4400000000000004</v>
      </c>
      <c r="R95" s="80">
        <v>37898</v>
      </c>
      <c r="S95" s="60">
        <v>24</v>
      </c>
      <c r="T95" s="74">
        <v>2.84</v>
      </c>
      <c r="U95" s="80">
        <v>37711</v>
      </c>
      <c r="V95" s="60">
        <v>14</v>
      </c>
      <c r="W95" s="74">
        <v>33.130000000000003</v>
      </c>
      <c r="X95" s="80">
        <v>37812</v>
      </c>
      <c r="Y95" s="60">
        <v>12</v>
      </c>
      <c r="Z95" s="74">
        <v>6.99</v>
      </c>
      <c r="AA95" s="80">
        <v>37627</v>
      </c>
      <c r="AB95" s="60">
        <v>5</v>
      </c>
      <c r="AC95" s="74">
        <v>1.34E-2</v>
      </c>
      <c r="AD95" s="80">
        <v>37941</v>
      </c>
      <c r="AE95" s="60">
        <v>16</v>
      </c>
      <c r="AF95" s="74">
        <v>1.97E-3</v>
      </c>
      <c r="AG95" s="80">
        <v>37626</v>
      </c>
      <c r="AH95" s="60">
        <v>6</v>
      </c>
      <c r="AI95" s="74">
        <v>67.44</v>
      </c>
      <c r="AJ95" s="80">
        <v>37941</v>
      </c>
      <c r="AK95" s="60">
        <v>16</v>
      </c>
      <c r="AL95" s="74">
        <v>14.94</v>
      </c>
      <c r="AM95" s="80">
        <v>37931</v>
      </c>
      <c r="AN95" s="79">
        <v>8</v>
      </c>
    </row>
    <row r="96" spans="1:40" ht="15.75">
      <c r="A96" s="44" t="s">
        <v>178</v>
      </c>
      <c r="B96" s="657">
        <v>3433.96</v>
      </c>
      <c r="C96" s="657">
        <v>360.59800000000001</v>
      </c>
      <c r="D96" s="657">
        <v>11186.4</v>
      </c>
      <c r="E96" s="657">
        <v>9298.6299999999992</v>
      </c>
      <c r="F96" s="657">
        <v>1887.81</v>
      </c>
      <c r="G96" s="658">
        <v>9.3737100000000004E-3</v>
      </c>
      <c r="H96" s="657">
        <v>2.9480200000000001</v>
      </c>
      <c r="I96" s="657">
        <v>27.2</v>
      </c>
      <c r="J96" s="657">
        <v>25.453299999999999</v>
      </c>
      <c r="K96" s="657">
        <v>17.959099999999999</v>
      </c>
      <c r="L96" s="657">
        <v>1.1039306E-2</v>
      </c>
      <c r="P96" s="44" t="s">
        <v>109</v>
      </c>
      <c r="Q96" s="74">
        <v>4.05</v>
      </c>
      <c r="R96" s="80">
        <v>37789</v>
      </c>
      <c r="S96" s="60">
        <v>16</v>
      </c>
      <c r="T96" s="74">
        <v>2.81</v>
      </c>
      <c r="U96" s="80">
        <v>37786</v>
      </c>
      <c r="V96" s="60">
        <v>12</v>
      </c>
      <c r="W96" s="74">
        <v>26.04</v>
      </c>
      <c r="X96" s="80">
        <v>37848</v>
      </c>
      <c r="Y96" s="60">
        <v>15</v>
      </c>
      <c r="Z96" s="74">
        <v>6.99</v>
      </c>
      <c r="AA96" s="80">
        <v>37627</v>
      </c>
      <c r="AB96" s="60">
        <v>5</v>
      </c>
      <c r="AC96" s="74">
        <v>1.7299999999999999E-2</v>
      </c>
      <c r="AD96" s="80">
        <v>37733</v>
      </c>
      <c r="AE96" s="60">
        <v>6</v>
      </c>
      <c r="AF96" s="74">
        <v>1.97E-3</v>
      </c>
      <c r="AG96" s="80">
        <v>37626</v>
      </c>
      <c r="AH96" s="60">
        <v>6</v>
      </c>
      <c r="AI96" s="74">
        <v>86.31</v>
      </c>
      <c r="AJ96" s="80">
        <v>37733</v>
      </c>
      <c r="AK96" s="60">
        <v>6</v>
      </c>
      <c r="AL96" s="74">
        <v>14.57</v>
      </c>
      <c r="AM96" s="80">
        <v>37931</v>
      </c>
      <c r="AN96" s="79">
        <v>5</v>
      </c>
    </row>
    <row r="97" spans="1:40" ht="15.75">
      <c r="A97" s="44" t="s">
        <v>180</v>
      </c>
      <c r="B97" s="657">
        <v>4489.1499999999996</v>
      </c>
      <c r="C97" s="657">
        <v>460.78800000000001</v>
      </c>
      <c r="D97" s="657">
        <v>14744.4</v>
      </c>
      <c r="E97" s="657">
        <v>11923.2</v>
      </c>
      <c r="F97" s="657">
        <v>2821.19</v>
      </c>
      <c r="G97" s="658">
        <v>9.7160500000000004E-3</v>
      </c>
      <c r="H97" s="657">
        <v>2.9786999999999999</v>
      </c>
      <c r="I97" s="657">
        <v>28.9</v>
      </c>
      <c r="J97" s="657">
        <v>25.578499999999998</v>
      </c>
      <c r="K97" s="657">
        <v>18.325099999999999</v>
      </c>
      <c r="L97" s="657">
        <v>1.1956723000000001E-2</v>
      </c>
      <c r="P97" s="44" t="s">
        <v>111</v>
      </c>
      <c r="Q97" s="74">
        <v>3.84</v>
      </c>
      <c r="R97" s="80">
        <v>37762</v>
      </c>
      <c r="S97" s="60">
        <v>15</v>
      </c>
      <c r="T97" s="74">
        <v>2.81</v>
      </c>
      <c r="U97" s="80">
        <v>37786</v>
      </c>
      <c r="V97" s="60">
        <v>12</v>
      </c>
      <c r="W97" s="74">
        <v>26.19</v>
      </c>
      <c r="X97" s="80">
        <v>37928</v>
      </c>
      <c r="Y97" s="60">
        <v>15</v>
      </c>
      <c r="Z97" s="74">
        <v>6.99</v>
      </c>
      <c r="AA97" s="80">
        <v>37627</v>
      </c>
      <c r="AB97" s="60">
        <v>5</v>
      </c>
      <c r="AC97" s="74">
        <v>1.7299999999999999E-2</v>
      </c>
      <c r="AD97" s="80">
        <v>37733</v>
      </c>
      <c r="AE97" s="60">
        <v>6</v>
      </c>
      <c r="AF97" s="74">
        <v>1.97E-3</v>
      </c>
      <c r="AG97" s="80">
        <v>37626</v>
      </c>
      <c r="AH97" s="60">
        <v>6</v>
      </c>
      <c r="AI97" s="74">
        <v>86.18</v>
      </c>
      <c r="AJ97" s="80">
        <v>37733</v>
      </c>
      <c r="AK97" s="60">
        <v>6</v>
      </c>
      <c r="AL97" s="74">
        <v>14.58</v>
      </c>
      <c r="AM97" s="80">
        <v>37931</v>
      </c>
      <c r="AN97" s="79">
        <v>5</v>
      </c>
    </row>
    <row r="98" spans="1:40" ht="15.75">
      <c r="A98" s="44" t="s">
        <v>183</v>
      </c>
      <c r="B98" s="657">
        <v>4853.28</v>
      </c>
      <c r="C98" s="657">
        <v>489.45499999999998</v>
      </c>
      <c r="D98" s="657">
        <v>15882.1</v>
      </c>
      <c r="E98" s="657">
        <v>12287.1</v>
      </c>
      <c r="F98" s="657">
        <v>3595.03</v>
      </c>
      <c r="G98" s="658">
        <v>1.02366E-2</v>
      </c>
      <c r="H98" s="657">
        <v>2.9726499999999998</v>
      </c>
      <c r="I98" s="657">
        <v>28.9</v>
      </c>
      <c r="J98" s="657">
        <v>25.7393</v>
      </c>
      <c r="K98" s="657">
        <v>18.854299999999999</v>
      </c>
      <c r="L98" s="657">
        <v>1.2719301000000001E-2</v>
      </c>
      <c r="P98" s="44" t="s">
        <v>112</v>
      </c>
      <c r="Q98" s="74">
        <v>3.94</v>
      </c>
      <c r="R98" s="80">
        <v>37762</v>
      </c>
      <c r="S98" s="60">
        <v>13</v>
      </c>
      <c r="T98" s="74">
        <v>2.81</v>
      </c>
      <c r="U98" s="80">
        <v>37786</v>
      </c>
      <c r="V98" s="60">
        <v>12</v>
      </c>
      <c r="W98" s="74">
        <v>26.23</v>
      </c>
      <c r="X98" s="80">
        <v>37914</v>
      </c>
      <c r="Y98" s="60">
        <v>15</v>
      </c>
      <c r="Z98" s="74">
        <v>6.99</v>
      </c>
      <c r="AA98" s="80">
        <v>37627</v>
      </c>
      <c r="AB98" s="60">
        <v>5</v>
      </c>
      <c r="AC98" s="74">
        <v>1.47E-2</v>
      </c>
      <c r="AD98" s="80">
        <v>37713</v>
      </c>
      <c r="AE98" s="60">
        <v>18</v>
      </c>
      <c r="AF98" s="74">
        <v>1.97E-3</v>
      </c>
      <c r="AG98" s="80">
        <v>37626</v>
      </c>
      <c r="AH98" s="60">
        <v>6</v>
      </c>
      <c r="AI98" s="74">
        <v>73.849999999999994</v>
      </c>
      <c r="AJ98" s="80">
        <v>37713</v>
      </c>
      <c r="AK98" s="60">
        <v>18</v>
      </c>
      <c r="AL98" s="74">
        <v>14.59</v>
      </c>
      <c r="AM98" s="80">
        <v>37931</v>
      </c>
      <c r="AN98" s="79">
        <v>5</v>
      </c>
    </row>
    <row r="99" spans="1:40" ht="15.75">
      <c r="A99" s="44" t="s">
        <v>186</v>
      </c>
      <c r="B99" s="657">
        <v>5164.22</v>
      </c>
      <c r="C99" s="657">
        <v>508.21800000000002</v>
      </c>
      <c r="D99" s="657">
        <v>16614.5</v>
      </c>
      <c r="E99" s="657">
        <v>12561.8</v>
      </c>
      <c r="F99" s="657">
        <v>4052.76</v>
      </c>
      <c r="G99" s="658">
        <v>1.0622400000000001E-2</v>
      </c>
      <c r="H99" s="657">
        <v>2.9289900000000002</v>
      </c>
      <c r="I99" s="657">
        <v>31.1</v>
      </c>
      <c r="J99" s="657">
        <v>25.863099999999999</v>
      </c>
      <c r="K99" s="657">
        <v>19.1876</v>
      </c>
      <c r="L99" s="657">
        <v>1.4761318000000001E-2</v>
      </c>
      <c r="P99" s="44" t="s">
        <v>113</v>
      </c>
      <c r="Q99" s="74">
        <v>3.93</v>
      </c>
      <c r="R99" s="80">
        <v>37741</v>
      </c>
      <c r="S99" s="60">
        <v>13</v>
      </c>
      <c r="T99" s="74">
        <v>2.81</v>
      </c>
      <c r="U99" s="80">
        <v>37786</v>
      </c>
      <c r="V99" s="60">
        <v>12</v>
      </c>
      <c r="W99" s="74">
        <v>26.45</v>
      </c>
      <c r="X99" s="80">
        <v>37917</v>
      </c>
      <c r="Y99" s="60">
        <v>15</v>
      </c>
      <c r="Z99" s="74">
        <v>6.99</v>
      </c>
      <c r="AA99" s="80">
        <v>37627</v>
      </c>
      <c r="AB99" s="60">
        <v>5</v>
      </c>
      <c r="AC99" s="74">
        <v>1.5800000000000002E-2</v>
      </c>
      <c r="AD99" s="80">
        <v>37713</v>
      </c>
      <c r="AE99" s="60">
        <v>5</v>
      </c>
      <c r="AF99" s="74">
        <v>1.97E-3</v>
      </c>
      <c r="AG99" s="80">
        <v>37626</v>
      </c>
      <c r="AH99" s="60">
        <v>6</v>
      </c>
      <c r="AI99" s="74">
        <v>78.94</v>
      </c>
      <c r="AJ99" s="80">
        <v>37713</v>
      </c>
      <c r="AK99" s="60">
        <v>5</v>
      </c>
      <c r="AL99" s="74">
        <v>14.58</v>
      </c>
      <c r="AM99" s="80">
        <v>37931</v>
      </c>
      <c r="AN99" s="79">
        <v>5</v>
      </c>
    </row>
    <row r="100" spans="1:40" ht="15.75">
      <c r="A100" s="44" t="s">
        <v>187</v>
      </c>
      <c r="B100" s="657">
        <v>5004.96</v>
      </c>
      <c r="C100" s="657">
        <v>496.50400000000002</v>
      </c>
      <c r="D100" s="657">
        <v>16029.6</v>
      </c>
      <c r="E100" s="657">
        <v>12561.3</v>
      </c>
      <c r="F100" s="657">
        <v>3468.23</v>
      </c>
      <c r="G100" s="658">
        <v>1.04329E-2</v>
      </c>
      <c r="H100" s="657">
        <v>2.9136899999999999</v>
      </c>
      <c r="I100" s="657">
        <v>30.6</v>
      </c>
      <c r="J100" s="657">
        <v>25.8628</v>
      </c>
      <c r="K100" s="657">
        <v>18.867100000000001</v>
      </c>
      <c r="L100" s="657">
        <v>1.3210559E-2</v>
      </c>
      <c r="P100" s="44" t="s">
        <v>114</v>
      </c>
      <c r="Q100" s="74">
        <v>3.81</v>
      </c>
      <c r="R100" s="80">
        <v>37741</v>
      </c>
      <c r="S100" s="60">
        <v>15</v>
      </c>
      <c r="T100" s="74">
        <v>2.81</v>
      </c>
      <c r="U100" s="80">
        <v>37719</v>
      </c>
      <c r="V100" s="60">
        <v>13</v>
      </c>
      <c r="W100" s="74">
        <v>26.26</v>
      </c>
      <c r="X100" s="80">
        <v>37917</v>
      </c>
      <c r="Y100" s="60">
        <v>15</v>
      </c>
      <c r="Z100" s="74">
        <v>7</v>
      </c>
      <c r="AA100" s="80">
        <v>37627</v>
      </c>
      <c r="AB100" s="60">
        <v>5</v>
      </c>
      <c r="AC100" s="74">
        <v>1.34E-2</v>
      </c>
      <c r="AD100" s="80">
        <v>37941</v>
      </c>
      <c r="AE100" s="60">
        <v>16</v>
      </c>
      <c r="AF100" s="74">
        <v>1.97E-3</v>
      </c>
      <c r="AG100" s="80">
        <v>37626</v>
      </c>
      <c r="AH100" s="60">
        <v>7</v>
      </c>
      <c r="AI100" s="74">
        <v>67.510000000000005</v>
      </c>
      <c r="AJ100" s="80">
        <v>37941</v>
      </c>
      <c r="AK100" s="60">
        <v>16</v>
      </c>
      <c r="AL100" s="74">
        <v>14.54</v>
      </c>
      <c r="AM100" s="80">
        <v>37931</v>
      </c>
      <c r="AN100" s="79">
        <v>5</v>
      </c>
    </row>
    <row r="101" spans="1:40" ht="15.75">
      <c r="A101" s="44" t="s">
        <v>191</v>
      </c>
      <c r="B101" s="657">
        <v>6454.59</v>
      </c>
      <c r="C101" s="657">
        <v>639.274</v>
      </c>
      <c r="D101" s="657">
        <v>21179.7</v>
      </c>
      <c r="E101" s="657">
        <v>17430.7</v>
      </c>
      <c r="F101" s="657">
        <v>3749.01</v>
      </c>
      <c r="G101" s="658">
        <v>9.9714899999999995E-3</v>
      </c>
      <c r="H101" s="657">
        <v>2.98563</v>
      </c>
      <c r="I101" s="657">
        <v>31.1</v>
      </c>
      <c r="J101" s="657">
        <v>25.942399999999999</v>
      </c>
      <c r="K101" s="657">
        <v>18.518000000000001</v>
      </c>
      <c r="L101" s="657">
        <v>1.1293012E-2</v>
      </c>
      <c r="P101" s="44" t="s">
        <v>116</v>
      </c>
      <c r="Q101" s="74">
        <v>4.1399999999999997</v>
      </c>
      <c r="R101" s="80">
        <v>37741</v>
      </c>
      <c r="S101" s="60">
        <v>16</v>
      </c>
      <c r="T101" s="74">
        <v>2.71</v>
      </c>
      <c r="U101" s="80">
        <v>37831</v>
      </c>
      <c r="V101" s="60">
        <v>12</v>
      </c>
      <c r="W101" s="74">
        <v>25</v>
      </c>
      <c r="X101" s="80">
        <v>37691</v>
      </c>
      <c r="Y101" s="60">
        <v>11</v>
      </c>
      <c r="Z101" s="74">
        <v>24.04</v>
      </c>
      <c r="AA101" s="80">
        <v>37726</v>
      </c>
      <c r="AB101" s="60">
        <v>5</v>
      </c>
      <c r="AC101" s="74">
        <v>1.15E-2</v>
      </c>
      <c r="AD101" s="80">
        <v>37691</v>
      </c>
      <c r="AE101" s="60">
        <v>10</v>
      </c>
      <c r="AF101" s="74">
        <v>1.03E-2</v>
      </c>
      <c r="AG101" s="80">
        <v>37927</v>
      </c>
      <c r="AH101" s="60">
        <v>2</v>
      </c>
      <c r="AI101" s="74">
        <v>60.08</v>
      </c>
      <c r="AJ101" s="80">
        <v>37712</v>
      </c>
      <c r="AK101" s="60">
        <v>5</v>
      </c>
      <c r="AL101" s="74">
        <v>52.83</v>
      </c>
      <c r="AM101" s="80">
        <v>37899</v>
      </c>
      <c r="AN101" s="79">
        <v>1</v>
      </c>
    </row>
    <row r="102" spans="1:40" ht="15.75">
      <c r="A102" s="44" t="s">
        <v>194</v>
      </c>
      <c r="B102" s="657">
        <v>6503.4</v>
      </c>
      <c r="C102" s="657">
        <v>639.95299999999997</v>
      </c>
      <c r="D102" s="657">
        <v>21055.4</v>
      </c>
      <c r="E102" s="657">
        <v>17608.599999999999</v>
      </c>
      <c r="F102" s="657">
        <v>3446.79</v>
      </c>
      <c r="G102" s="658">
        <v>9.7435999999999998E-3</v>
      </c>
      <c r="H102" s="657">
        <v>2.9475600000000002</v>
      </c>
      <c r="I102" s="657">
        <v>31.7</v>
      </c>
      <c r="J102" s="657">
        <v>26.021999999999998</v>
      </c>
      <c r="K102" s="657">
        <v>18.4421</v>
      </c>
      <c r="L102" s="657">
        <v>1.1691814E-2</v>
      </c>
      <c r="P102" s="44" t="s">
        <v>121</v>
      </c>
      <c r="Q102" s="74">
        <v>4.53</v>
      </c>
      <c r="R102" s="80">
        <v>37745</v>
      </c>
      <c r="S102" s="60">
        <v>3</v>
      </c>
      <c r="T102" s="74">
        <v>2.9</v>
      </c>
      <c r="U102" s="80">
        <v>37711</v>
      </c>
      <c r="V102" s="60">
        <v>14</v>
      </c>
      <c r="W102" s="74">
        <v>25</v>
      </c>
      <c r="X102" s="80">
        <v>37735</v>
      </c>
      <c r="Y102" s="60">
        <v>12</v>
      </c>
      <c r="Z102" s="74">
        <v>24.04</v>
      </c>
      <c r="AA102" s="80">
        <v>37726</v>
      </c>
      <c r="AB102" s="60">
        <v>5</v>
      </c>
      <c r="AC102" s="74">
        <v>1.15E-2</v>
      </c>
      <c r="AD102" s="80">
        <v>37691</v>
      </c>
      <c r="AE102" s="60">
        <v>10</v>
      </c>
      <c r="AF102" s="74">
        <v>1.0500000000000001E-2</v>
      </c>
      <c r="AG102" s="80">
        <v>37713</v>
      </c>
      <c r="AH102" s="60">
        <v>22</v>
      </c>
      <c r="AI102" s="74">
        <v>57.51</v>
      </c>
      <c r="AJ102" s="80">
        <v>37712</v>
      </c>
      <c r="AK102" s="60">
        <v>5</v>
      </c>
      <c r="AL102" s="74">
        <v>53.15</v>
      </c>
      <c r="AM102" s="80">
        <v>37745</v>
      </c>
      <c r="AN102" s="79">
        <v>4</v>
      </c>
    </row>
    <row r="103" spans="1:40" ht="15.75">
      <c r="A103" s="44" t="s">
        <v>79</v>
      </c>
      <c r="B103" s="657">
        <v>8040.55</v>
      </c>
      <c r="C103" s="657">
        <v>784.90499999999997</v>
      </c>
      <c r="D103" s="657">
        <v>27069.8</v>
      </c>
      <c r="E103" s="657">
        <v>22350.400000000001</v>
      </c>
      <c r="F103" s="657">
        <v>4719.45</v>
      </c>
      <c r="G103" s="658">
        <v>9.7833899999999994E-3</v>
      </c>
      <c r="H103" s="657">
        <v>3.06724</v>
      </c>
      <c r="I103" s="657">
        <v>32.200000000000003</v>
      </c>
      <c r="J103" s="657">
        <v>26.1296</v>
      </c>
      <c r="K103" s="657">
        <v>18.647099999999998</v>
      </c>
      <c r="L103" s="657">
        <v>1.2340472999999999E-2</v>
      </c>
      <c r="P103" s="44" t="s">
        <v>125</v>
      </c>
      <c r="Q103" s="74">
        <v>3.84</v>
      </c>
      <c r="R103" s="80">
        <v>37741</v>
      </c>
      <c r="S103" s="60">
        <v>16</v>
      </c>
      <c r="T103" s="74">
        <v>2.4700000000000002</v>
      </c>
      <c r="U103" s="80">
        <v>37832</v>
      </c>
      <c r="V103" s="60">
        <v>12</v>
      </c>
      <c r="W103" s="74">
        <v>18.62</v>
      </c>
      <c r="X103" s="80">
        <v>37776</v>
      </c>
      <c r="Y103" s="60">
        <v>16</v>
      </c>
      <c r="Z103" s="74">
        <v>13.57</v>
      </c>
      <c r="AA103" s="80">
        <v>37926</v>
      </c>
      <c r="AB103" s="60">
        <v>7</v>
      </c>
      <c r="AC103" s="74">
        <v>1.06E-2</v>
      </c>
      <c r="AD103" s="80">
        <v>37626</v>
      </c>
      <c r="AE103" s="60">
        <v>16</v>
      </c>
      <c r="AF103" s="74">
        <v>6.5700000000000003E-3</v>
      </c>
      <c r="AG103" s="80">
        <v>37926</v>
      </c>
      <c r="AH103" s="60">
        <v>7</v>
      </c>
      <c r="AI103" s="74">
        <v>71.77</v>
      </c>
      <c r="AJ103" s="80">
        <v>37849</v>
      </c>
      <c r="AK103" s="60">
        <v>17</v>
      </c>
      <c r="AL103" s="74">
        <v>61.9</v>
      </c>
      <c r="AM103" s="80">
        <v>37822</v>
      </c>
      <c r="AN103" s="79">
        <v>15</v>
      </c>
    </row>
    <row r="104" spans="1:40" ht="15.75">
      <c r="A104" s="44" t="s">
        <v>198</v>
      </c>
      <c r="B104" s="657">
        <v>8133.59</v>
      </c>
      <c r="C104" s="657">
        <v>793.61</v>
      </c>
      <c r="D104" s="657">
        <v>27623.3</v>
      </c>
      <c r="E104" s="657">
        <v>22292</v>
      </c>
      <c r="F104" s="657">
        <v>5331.25</v>
      </c>
      <c r="G104" s="658">
        <v>9.8255200000000008E-3</v>
      </c>
      <c r="H104" s="657">
        <v>3.0942799999999999</v>
      </c>
      <c r="I104" s="657">
        <v>32.200000000000003</v>
      </c>
      <c r="J104" s="657">
        <v>26.032299999999999</v>
      </c>
      <c r="K104" s="657">
        <v>18.796500000000002</v>
      </c>
      <c r="L104" s="657">
        <v>1.4187589E-2</v>
      </c>
      <c r="P104" s="44" t="s">
        <v>127</v>
      </c>
      <c r="Q104" s="74">
        <v>4</v>
      </c>
      <c r="R104" s="80">
        <v>37741</v>
      </c>
      <c r="S104" s="60">
        <v>16</v>
      </c>
      <c r="T104" s="74">
        <v>2.59</v>
      </c>
      <c r="U104" s="80">
        <v>37831</v>
      </c>
      <c r="V104" s="60">
        <v>12</v>
      </c>
      <c r="W104" s="74">
        <v>20.93</v>
      </c>
      <c r="X104" s="80">
        <v>37732</v>
      </c>
      <c r="Y104" s="60">
        <v>15</v>
      </c>
      <c r="Z104" s="74">
        <v>15.98</v>
      </c>
      <c r="AA104" s="80">
        <v>37723</v>
      </c>
      <c r="AB104" s="60">
        <v>19</v>
      </c>
      <c r="AC104" s="74">
        <v>1.0699999999999999E-2</v>
      </c>
      <c r="AD104" s="80">
        <v>37622</v>
      </c>
      <c r="AE104" s="60">
        <v>2</v>
      </c>
      <c r="AF104" s="74">
        <v>7.8300000000000002E-3</v>
      </c>
      <c r="AG104" s="80">
        <v>37713</v>
      </c>
      <c r="AH104" s="60">
        <v>21</v>
      </c>
      <c r="AI104" s="74">
        <v>71.319999999999993</v>
      </c>
      <c r="AJ104" s="80">
        <v>37716</v>
      </c>
      <c r="AK104" s="60">
        <v>17</v>
      </c>
      <c r="AL104" s="74">
        <v>57.97</v>
      </c>
      <c r="AM104" s="80">
        <v>37899</v>
      </c>
      <c r="AN104" s="79">
        <v>1</v>
      </c>
    </row>
    <row r="105" spans="1:40" ht="15.75">
      <c r="A105" s="44" t="s">
        <v>201</v>
      </c>
      <c r="B105" s="657">
        <v>5211.79</v>
      </c>
      <c r="C105" s="657">
        <v>509.58100000000002</v>
      </c>
      <c r="D105" s="657">
        <v>16551</v>
      </c>
      <c r="E105" s="657">
        <v>12739.1</v>
      </c>
      <c r="F105" s="657">
        <v>3811.95</v>
      </c>
      <c r="G105" s="658">
        <v>1.0257199999999999E-2</v>
      </c>
      <c r="H105" s="657">
        <v>2.8928400000000001</v>
      </c>
      <c r="I105" s="657">
        <v>31.7</v>
      </c>
      <c r="J105" s="657">
        <v>25.943000000000001</v>
      </c>
      <c r="K105" s="657">
        <v>19.110399999999998</v>
      </c>
      <c r="L105" s="657">
        <v>1.4683774E-2</v>
      </c>
      <c r="P105" s="44" t="s">
        <v>130</v>
      </c>
      <c r="Q105" s="96">
        <v>4.4000000000000004</v>
      </c>
      <c r="R105" s="105">
        <v>37696</v>
      </c>
      <c r="S105" s="97">
        <v>10</v>
      </c>
      <c r="T105" s="74">
        <v>2.9</v>
      </c>
      <c r="U105" s="105">
        <v>37831</v>
      </c>
      <c r="V105" s="97">
        <v>12</v>
      </c>
      <c r="W105" s="74">
        <v>35</v>
      </c>
      <c r="X105" s="105">
        <v>37691</v>
      </c>
      <c r="Y105" s="97">
        <v>11</v>
      </c>
      <c r="Z105" s="74">
        <v>33.01</v>
      </c>
      <c r="AA105" s="105">
        <v>37712</v>
      </c>
      <c r="AB105" s="97">
        <v>8</v>
      </c>
      <c r="AC105" s="74">
        <v>1.7299999999999999E-2</v>
      </c>
      <c r="AD105" s="105">
        <v>37822</v>
      </c>
      <c r="AE105" s="97">
        <v>15</v>
      </c>
      <c r="AF105" s="74">
        <v>1.54E-2</v>
      </c>
      <c r="AG105" s="105">
        <v>37927</v>
      </c>
      <c r="AH105" s="97">
        <v>2</v>
      </c>
      <c r="AI105" s="74">
        <v>51.12</v>
      </c>
      <c r="AJ105" s="105">
        <v>37712</v>
      </c>
      <c r="AK105" s="97">
        <v>8</v>
      </c>
      <c r="AL105" s="74">
        <v>44.4</v>
      </c>
      <c r="AM105" s="105">
        <v>37899</v>
      </c>
      <c r="AN105" s="79">
        <v>1</v>
      </c>
    </row>
    <row r="106" spans="1:40" ht="15.75">
      <c r="A106" s="44" t="s">
        <v>204</v>
      </c>
      <c r="B106" s="657">
        <v>5122.29</v>
      </c>
      <c r="C106" s="657">
        <v>506.95600000000002</v>
      </c>
      <c r="D106" s="657">
        <v>16829.599999999999</v>
      </c>
      <c r="E106" s="657">
        <v>12180.9</v>
      </c>
      <c r="F106" s="657">
        <v>4648.7700000000004</v>
      </c>
      <c r="G106" s="658">
        <v>1.0859199999999999E-2</v>
      </c>
      <c r="H106" s="657">
        <v>2.9896799999999999</v>
      </c>
      <c r="I106" s="657">
        <v>31.1</v>
      </c>
      <c r="J106" s="657">
        <v>25.695499999999999</v>
      </c>
      <c r="K106" s="657">
        <v>19.393599999999999</v>
      </c>
      <c r="L106" s="657">
        <v>1.563434E-2</v>
      </c>
      <c r="P106" s="44" t="s">
        <v>132</v>
      </c>
      <c r="Q106" s="659">
        <v>3.88</v>
      </c>
      <c r="R106" s="660">
        <v>37696</v>
      </c>
      <c r="S106" s="103">
        <v>10</v>
      </c>
      <c r="T106" s="659">
        <v>2.52</v>
      </c>
      <c r="U106" s="660">
        <v>37831</v>
      </c>
      <c r="V106" s="103">
        <v>12</v>
      </c>
      <c r="W106" s="659">
        <v>25</v>
      </c>
      <c r="X106" s="660">
        <v>37691</v>
      </c>
      <c r="Y106" s="103">
        <v>11</v>
      </c>
      <c r="Z106" s="659">
        <v>24.04</v>
      </c>
      <c r="AA106" s="660">
        <v>37726</v>
      </c>
      <c r="AB106" s="103">
        <v>5</v>
      </c>
      <c r="AC106" s="659">
        <v>6.77E-3</v>
      </c>
      <c r="AD106" s="660">
        <v>37920</v>
      </c>
      <c r="AE106" s="103">
        <v>9</v>
      </c>
      <c r="AF106" s="659">
        <v>6.6299999999999996E-3</v>
      </c>
      <c r="AG106" s="660">
        <v>37712</v>
      </c>
      <c r="AH106" s="103">
        <v>5</v>
      </c>
      <c r="AI106" s="659">
        <v>36.01</v>
      </c>
      <c r="AJ106" s="660">
        <v>37731</v>
      </c>
      <c r="AK106" s="103">
        <v>21</v>
      </c>
      <c r="AL106" s="659">
        <v>33.68</v>
      </c>
      <c r="AM106" s="660">
        <v>37712</v>
      </c>
      <c r="AN106" s="661">
        <v>13</v>
      </c>
    </row>
    <row r="107" spans="1:40" ht="15.75">
      <c r="A107" s="44" t="s">
        <v>206</v>
      </c>
      <c r="B107" s="657">
        <v>4831.72</v>
      </c>
      <c r="C107" s="657">
        <v>492.97</v>
      </c>
      <c r="D107" s="657">
        <v>16635.3</v>
      </c>
      <c r="E107" s="657">
        <v>11540.7</v>
      </c>
      <c r="F107" s="657">
        <v>5094.59</v>
      </c>
      <c r="G107" s="658">
        <v>1.10239E-2</v>
      </c>
      <c r="H107" s="657">
        <v>3.12418</v>
      </c>
      <c r="I107" s="657">
        <v>28.3</v>
      </c>
      <c r="J107" s="657">
        <v>25.409300000000002</v>
      </c>
      <c r="K107" s="657">
        <v>19.532299999999999</v>
      </c>
      <c r="L107" s="657">
        <v>1.4492502000000001E-2</v>
      </c>
      <c r="P107" s="44" t="s">
        <v>135</v>
      </c>
      <c r="Q107" s="659">
        <v>3.69</v>
      </c>
      <c r="R107" s="660">
        <v>37911</v>
      </c>
      <c r="S107" s="103">
        <v>5</v>
      </c>
      <c r="T107" s="659">
        <v>2.2799999999999998</v>
      </c>
      <c r="U107" s="660">
        <v>37831</v>
      </c>
      <c r="V107" s="103">
        <v>12</v>
      </c>
      <c r="W107" s="659">
        <v>15</v>
      </c>
      <c r="X107" s="660">
        <v>37691</v>
      </c>
      <c r="Y107" s="103">
        <v>10</v>
      </c>
      <c r="Z107" s="659">
        <v>14.95</v>
      </c>
      <c r="AA107" s="660">
        <v>37974</v>
      </c>
      <c r="AB107" s="103">
        <v>1</v>
      </c>
      <c r="AC107" s="659">
        <v>6.3400000000000001E-3</v>
      </c>
      <c r="AD107" s="660">
        <v>37691</v>
      </c>
      <c r="AE107" s="103">
        <v>9</v>
      </c>
      <c r="AF107" s="659">
        <v>4.1999999999999997E-3</v>
      </c>
      <c r="AG107" s="660">
        <v>37909</v>
      </c>
      <c r="AH107" s="103">
        <v>5</v>
      </c>
      <c r="AI107" s="659">
        <v>39.96</v>
      </c>
      <c r="AJ107" s="660">
        <v>37729</v>
      </c>
      <c r="AK107" s="103">
        <v>18</v>
      </c>
      <c r="AL107" s="659">
        <v>39.74</v>
      </c>
      <c r="AM107" s="660">
        <v>37899</v>
      </c>
      <c r="AN107" s="661">
        <v>1</v>
      </c>
    </row>
    <row r="108" spans="1:40">
      <c r="A108" s="44" t="s">
        <v>207</v>
      </c>
      <c r="B108" s="657">
        <v>4874.8500000000004</v>
      </c>
      <c r="C108" s="657">
        <v>501.23899999999998</v>
      </c>
      <c r="D108" s="657">
        <v>17131.099999999999</v>
      </c>
      <c r="E108" s="657">
        <v>11359.2</v>
      </c>
      <c r="F108" s="657">
        <v>5771.92</v>
      </c>
      <c r="G108" s="658">
        <v>1.13569E-2</v>
      </c>
      <c r="H108" s="657">
        <v>3.1865399999999999</v>
      </c>
      <c r="I108" s="657">
        <v>27.2</v>
      </c>
      <c r="J108" s="657">
        <v>25.328099999999999</v>
      </c>
      <c r="K108" s="657">
        <v>19.743099999999998</v>
      </c>
      <c r="L108" s="657">
        <v>1.6823952999999999E-2</v>
      </c>
      <c r="P108" s="45" t="s">
        <v>138</v>
      </c>
      <c r="Q108" s="662">
        <v>4.17</v>
      </c>
      <c r="R108" s="663">
        <v>37696</v>
      </c>
      <c r="S108" s="664">
        <v>10</v>
      </c>
      <c r="T108" s="662">
        <v>2.72</v>
      </c>
      <c r="U108" s="663">
        <v>37831</v>
      </c>
      <c r="V108" s="664">
        <v>12</v>
      </c>
      <c r="W108" s="662">
        <v>35</v>
      </c>
      <c r="X108" s="663">
        <v>37691</v>
      </c>
      <c r="Y108" s="664">
        <v>11</v>
      </c>
      <c r="Z108" s="662">
        <v>33.01</v>
      </c>
      <c r="AA108" s="663">
        <v>37712</v>
      </c>
      <c r="AB108" s="664">
        <v>8</v>
      </c>
      <c r="AC108" s="662">
        <v>7.6299999999999996E-3</v>
      </c>
      <c r="AD108" s="663">
        <v>37930</v>
      </c>
      <c r="AE108" s="664">
        <v>9</v>
      </c>
      <c r="AF108" s="662">
        <v>7.0000000000000001E-3</v>
      </c>
      <c r="AG108" s="663">
        <v>37712</v>
      </c>
      <c r="AH108" s="664">
        <v>8</v>
      </c>
      <c r="AI108" s="662">
        <v>24.14</v>
      </c>
      <c r="AJ108" s="663">
        <v>37979</v>
      </c>
      <c r="AK108" s="664">
        <v>1</v>
      </c>
      <c r="AL108" s="662">
        <v>20.14</v>
      </c>
      <c r="AM108" s="663">
        <v>37712</v>
      </c>
      <c r="AN108" s="665">
        <v>12</v>
      </c>
    </row>
    <row r="109" spans="1:40">
      <c r="A109" s="44" t="s">
        <v>208</v>
      </c>
      <c r="B109" s="657">
        <v>3935.62</v>
      </c>
      <c r="C109" s="657">
        <v>405.54300000000001</v>
      </c>
      <c r="D109" s="657">
        <v>13524.8</v>
      </c>
      <c r="E109" s="657">
        <v>8931.39</v>
      </c>
      <c r="F109" s="657">
        <v>4593.42</v>
      </c>
      <c r="G109" s="658">
        <v>1.1378299999999999E-2</v>
      </c>
      <c r="H109" s="657">
        <v>3.1154799999999998</v>
      </c>
      <c r="I109" s="657">
        <v>27.2</v>
      </c>
      <c r="J109" s="657">
        <v>25.291</v>
      </c>
      <c r="K109" s="657">
        <v>19.7437</v>
      </c>
      <c r="L109" s="657">
        <v>1.6823952999999999E-2</v>
      </c>
      <c r="P109" s="343" t="s">
        <v>409</v>
      </c>
    </row>
    <row r="110" spans="1:40">
      <c r="A110" s="44" t="s">
        <v>209</v>
      </c>
      <c r="B110" s="657">
        <v>3844.33</v>
      </c>
      <c r="C110" s="657">
        <v>398.93900000000002</v>
      </c>
      <c r="D110" s="657">
        <v>13355.8</v>
      </c>
      <c r="E110" s="657">
        <v>8747.2199999999993</v>
      </c>
      <c r="F110" s="657">
        <v>4608.6000000000004</v>
      </c>
      <c r="G110" s="658">
        <v>1.1398E-2</v>
      </c>
      <c r="H110" s="657">
        <v>3.1475300000000002</v>
      </c>
      <c r="I110" s="657">
        <v>26.7</v>
      </c>
      <c r="J110" s="657">
        <v>25.209199999999999</v>
      </c>
      <c r="K110" s="657">
        <v>19.788699999999999</v>
      </c>
      <c r="L110" s="657">
        <v>1.6777486000000001E-2</v>
      </c>
    </row>
    <row r="111" spans="1:40">
      <c r="A111" s="44" t="s">
        <v>210</v>
      </c>
      <c r="B111" s="657">
        <v>3807.46</v>
      </c>
      <c r="C111" s="657">
        <v>397.27499999999998</v>
      </c>
      <c r="D111" s="657">
        <v>13343.3</v>
      </c>
      <c r="E111" s="657">
        <v>8646.75</v>
      </c>
      <c r="F111" s="657">
        <v>4696.5600000000004</v>
      </c>
      <c r="G111" s="658">
        <v>1.1449900000000001E-2</v>
      </c>
      <c r="H111" s="657">
        <v>3.1734</v>
      </c>
      <c r="I111" s="657">
        <v>26.1</v>
      </c>
      <c r="J111" s="657">
        <v>25.1645</v>
      </c>
      <c r="K111" s="657">
        <v>19.8355</v>
      </c>
      <c r="L111" s="657">
        <v>1.6835019999999999E-2</v>
      </c>
    </row>
    <row r="112" spans="1:40">
      <c r="A112" s="45" t="s">
        <v>211</v>
      </c>
      <c r="B112" s="657">
        <v>3664.17</v>
      </c>
      <c r="C112" s="657">
        <v>385.64</v>
      </c>
      <c r="D112" s="657">
        <v>12972.7</v>
      </c>
      <c r="E112" s="657">
        <v>8359.6</v>
      </c>
      <c r="F112" s="657">
        <v>4613.0600000000004</v>
      </c>
      <c r="G112" s="658">
        <v>1.1461900000000001E-2</v>
      </c>
      <c r="H112" s="657">
        <v>3.2032699999999998</v>
      </c>
      <c r="I112" s="657">
        <v>26.1</v>
      </c>
      <c r="J112" s="657">
        <v>25.037400000000002</v>
      </c>
      <c r="K112" s="657">
        <v>19.767800000000001</v>
      </c>
      <c r="L112" s="657">
        <v>1.727306E-2</v>
      </c>
    </row>
    <row r="113" spans="1:40" ht="15.75">
      <c r="T113" s="74"/>
      <c r="U113" s="80"/>
      <c r="V113" s="60"/>
      <c r="W113" s="74"/>
      <c r="X113" s="80"/>
      <c r="Y113" s="60"/>
      <c r="Z113" s="74"/>
      <c r="AA113" s="80"/>
      <c r="AB113" s="60"/>
      <c r="AC113" s="74"/>
      <c r="AD113" s="80"/>
      <c r="AE113" s="60"/>
      <c r="AF113" s="74"/>
      <c r="AG113" s="80"/>
      <c r="AH113" s="60"/>
      <c r="AI113" s="74"/>
      <c r="AJ113" s="80"/>
      <c r="AK113" s="60"/>
      <c r="AL113" s="74"/>
      <c r="AM113" s="80"/>
      <c r="AN113" s="60"/>
    </row>
    <row r="114" spans="1:40" ht="15.75">
      <c r="T114" s="74"/>
      <c r="U114" s="80"/>
      <c r="V114" s="60"/>
      <c r="W114" s="74"/>
      <c r="X114" s="80"/>
      <c r="Y114" s="60"/>
      <c r="Z114" s="74"/>
      <c r="AA114" s="80"/>
      <c r="AB114" s="60"/>
      <c r="AC114" s="74"/>
      <c r="AD114" s="80"/>
      <c r="AE114" s="60"/>
      <c r="AF114" s="74"/>
      <c r="AG114" s="80"/>
      <c r="AH114" s="60"/>
      <c r="AI114" s="74"/>
      <c r="AJ114" s="80"/>
      <c r="AK114" s="60"/>
      <c r="AL114" s="74"/>
      <c r="AM114" s="80"/>
      <c r="AN114" s="60"/>
    </row>
    <row r="115" spans="1:40" ht="15.75">
      <c r="A115" s="41"/>
      <c r="B115" s="41" t="s">
        <v>212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3"/>
      <c r="T115" s="74"/>
      <c r="U115" s="80"/>
      <c r="V115" s="60"/>
      <c r="W115" s="74"/>
      <c r="X115" s="80"/>
      <c r="Y115" s="60"/>
      <c r="Z115" s="74"/>
      <c r="AA115" s="80"/>
      <c r="AB115" s="60"/>
      <c r="AC115" s="74"/>
      <c r="AD115" s="80"/>
      <c r="AE115" s="60"/>
      <c r="AF115" s="74"/>
      <c r="AG115" s="80"/>
      <c r="AH115" s="60"/>
      <c r="AI115" s="74"/>
      <c r="AJ115" s="80"/>
      <c r="AK115" s="60"/>
      <c r="AL115" s="74"/>
      <c r="AM115" s="80"/>
      <c r="AN115" s="60"/>
    </row>
    <row r="116" spans="1:40" ht="15.75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7"/>
      <c r="T116" s="74"/>
      <c r="U116" s="80"/>
      <c r="V116" s="60"/>
      <c r="W116" s="74"/>
      <c r="X116" s="80"/>
      <c r="Y116" s="60"/>
      <c r="Z116" s="74"/>
      <c r="AA116" s="80"/>
      <c r="AB116" s="60"/>
      <c r="AC116" s="74"/>
      <c r="AD116" s="80"/>
      <c r="AE116" s="60"/>
      <c r="AF116" s="74"/>
      <c r="AG116" s="80"/>
      <c r="AH116" s="60"/>
      <c r="AI116" s="74"/>
      <c r="AJ116" s="80"/>
      <c r="AK116" s="60"/>
      <c r="AL116" s="74"/>
      <c r="AM116" s="80"/>
      <c r="AN116" s="60"/>
    </row>
    <row r="117" spans="1:40">
      <c r="A117" s="44"/>
      <c r="B117" s="741" t="s">
        <v>143</v>
      </c>
      <c r="C117" s="742"/>
      <c r="D117" s="742"/>
      <c r="E117" s="743"/>
      <c r="F117" s="44" t="s">
        <v>144</v>
      </c>
      <c r="G117" s="120"/>
      <c r="I117" s="51" t="s">
        <v>361</v>
      </c>
      <c r="J117" s="88"/>
      <c r="K117" s="41"/>
      <c r="L117" s="43"/>
    </row>
    <row r="118" spans="1:40">
      <c r="A118" s="44" t="s">
        <v>213</v>
      </c>
      <c r="B118" s="51" t="s">
        <v>4</v>
      </c>
      <c r="C118" s="252" t="s">
        <v>5</v>
      </c>
      <c r="D118" s="49" t="s">
        <v>84</v>
      </c>
      <c r="E118" s="49" t="s">
        <v>85</v>
      </c>
      <c r="F118" s="51" t="s">
        <v>4</v>
      </c>
      <c r="G118" s="252" t="s">
        <v>6</v>
      </c>
      <c r="H118" s="49" t="s">
        <v>7</v>
      </c>
      <c r="I118" s="51" t="s">
        <v>372</v>
      </c>
      <c r="J118" s="89" t="s">
        <v>150</v>
      </c>
      <c r="K118" s="263" t="s">
        <v>151</v>
      </c>
      <c r="L118" s="91" t="s">
        <v>152</v>
      </c>
    </row>
    <row r="119" spans="1:40">
      <c r="A119" s="45"/>
      <c r="B119" s="52" t="s">
        <v>156</v>
      </c>
      <c r="C119" s="53" t="s">
        <v>156</v>
      </c>
      <c r="D119" s="53" t="s">
        <v>156</v>
      </c>
      <c r="E119" s="53" t="s">
        <v>156</v>
      </c>
      <c r="F119" s="52" t="s">
        <v>156</v>
      </c>
      <c r="G119" s="53" t="s">
        <v>156</v>
      </c>
      <c r="H119" s="53" t="s">
        <v>156</v>
      </c>
      <c r="I119" s="52" t="s">
        <v>157</v>
      </c>
      <c r="J119" s="92"/>
      <c r="K119" s="52" t="s">
        <v>11</v>
      </c>
      <c r="L119" s="54" t="s">
        <v>11</v>
      </c>
    </row>
    <row r="120" spans="1:40" ht="15.75">
      <c r="A120" s="100" t="s">
        <v>214</v>
      </c>
      <c r="B120" s="74">
        <v>4073</v>
      </c>
      <c r="C120" s="97">
        <v>3159</v>
      </c>
      <c r="D120" s="60">
        <v>391</v>
      </c>
      <c r="E120" s="103">
        <v>522</v>
      </c>
      <c r="F120" s="74">
        <v>13673</v>
      </c>
      <c r="G120" s="97">
        <v>9902</v>
      </c>
      <c r="H120" s="60">
        <v>3770</v>
      </c>
      <c r="I120" s="74">
        <v>1.6E-2</v>
      </c>
      <c r="J120" s="431">
        <v>3.85</v>
      </c>
      <c r="K120" s="435">
        <v>16.96</v>
      </c>
      <c r="L120" s="261">
        <v>25</v>
      </c>
    </row>
    <row r="121" spans="1:40" ht="15.75">
      <c r="A121" s="101" t="s">
        <v>215</v>
      </c>
      <c r="B121" s="81">
        <v>5230</v>
      </c>
      <c r="C121" s="64">
        <v>4239</v>
      </c>
      <c r="D121" s="64">
        <v>424</v>
      </c>
      <c r="E121" s="666">
        <v>566</v>
      </c>
      <c r="F121" s="81">
        <v>13727</v>
      </c>
      <c r="G121" s="64">
        <v>9946</v>
      </c>
      <c r="H121" s="64">
        <v>3780</v>
      </c>
      <c r="I121" s="81">
        <v>1.0999999999999999E-2</v>
      </c>
      <c r="J121" s="433">
        <v>2.94</v>
      </c>
      <c r="K121" s="434">
        <v>29.5</v>
      </c>
      <c r="L121" s="262">
        <v>25</v>
      </c>
    </row>
    <row r="124" spans="1:40">
      <c r="A124" s="41"/>
      <c r="B124" s="41" t="s">
        <v>216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3"/>
    </row>
    <row r="125" spans="1:40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7"/>
    </row>
    <row r="126" spans="1:40">
      <c r="A126" s="44"/>
      <c r="B126" s="741" t="s">
        <v>143</v>
      </c>
      <c r="C126" s="742"/>
      <c r="D126" s="742"/>
      <c r="E126" s="743"/>
      <c r="F126" s="44" t="s">
        <v>144</v>
      </c>
      <c r="G126" s="120"/>
      <c r="I126" s="51" t="s">
        <v>361</v>
      </c>
      <c r="J126" s="88"/>
      <c r="K126" s="41"/>
      <c r="L126" s="43"/>
    </row>
    <row r="127" spans="1:40">
      <c r="A127" s="44" t="s">
        <v>213</v>
      </c>
      <c r="B127" s="51" t="s">
        <v>4</v>
      </c>
      <c r="C127" s="252" t="s">
        <v>5</v>
      </c>
      <c r="D127" s="49" t="s">
        <v>84</v>
      </c>
      <c r="E127" s="49" t="s">
        <v>85</v>
      </c>
      <c r="F127" s="51" t="s">
        <v>4</v>
      </c>
      <c r="G127" s="252" t="s">
        <v>6</v>
      </c>
      <c r="H127" s="49" t="s">
        <v>7</v>
      </c>
      <c r="I127" s="51" t="s">
        <v>372</v>
      </c>
      <c r="J127" s="89" t="s">
        <v>150</v>
      </c>
      <c r="K127" s="263" t="s">
        <v>151</v>
      </c>
      <c r="L127" s="91" t="s">
        <v>152</v>
      </c>
    </row>
    <row r="128" spans="1:40">
      <c r="A128" s="45"/>
      <c r="B128" s="52" t="s">
        <v>156</v>
      </c>
      <c r="C128" s="53" t="s">
        <v>156</v>
      </c>
      <c r="D128" s="53" t="s">
        <v>156</v>
      </c>
      <c r="E128" s="53" t="s">
        <v>156</v>
      </c>
      <c r="F128" s="52" t="s">
        <v>156</v>
      </c>
      <c r="G128" s="53" t="s">
        <v>156</v>
      </c>
      <c r="H128" s="53" t="s">
        <v>156</v>
      </c>
      <c r="I128" s="52" t="s">
        <v>157</v>
      </c>
      <c r="J128" s="92"/>
      <c r="K128" s="52" t="s">
        <v>11</v>
      </c>
      <c r="L128" s="54" t="s">
        <v>11</v>
      </c>
    </row>
    <row r="129" spans="1:12" ht="15.75">
      <c r="A129" s="100" t="s">
        <v>214</v>
      </c>
      <c r="B129" s="74">
        <v>3144</v>
      </c>
      <c r="C129" s="97">
        <v>2411</v>
      </c>
      <c r="D129" s="60">
        <v>314</v>
      </c>
      <c r="E129" s="103">
        <v>419</v>
      </c>
      <c r="F129" s="74">
        <v>9798</v>
      </c>
      <c r="G129" s="97">
        <v>9798</v>
      </c>
      <c r="H129" s="60">
        <v>0</v>
      </c>
      <c r="I129" s="74">
        <v>6.7400000000000003E-3</v>
      </c>
      <c r="J129" s="431">
        <v>3.59</v>
      </c>
      <c r="K129" s="435">
        <v>16.96</v>
      </c>
      <c r="L129" s="261">
        <v>25</v>
      </c>
    </row>
    <row r="130" spans="1:12" ht="15.75">
      <c r="A130" s="101" t="s">
        <v>215</v>
      </c>
      <c r="B130" s="81">
        <v>4043</v>
      </c>
      <c r="C130" s="64">
        <v>3248</v>
      </c>
      <c r="D130" s="64">
        <v>340</v>
      </c>
      <c r="E130" s="666">
        <v>454</v>
      </c>
      <c r="F130" s="81">
        <v>9834</v>
      </c>
      <c r="G130" s="64">
        <v>9834</v>
      </c>
      <c r="H130" s="64">
        <v>0</v>
      </c>
      <c r="I130" s="81">
        <v>6.7400000000000003E-3</v>
      </c>
      <c r="J130" s="433">
        <v>2.74</v>
      </c>
      <c r="K130" s="434">
        <v>29.5</v>
      </c>
      <c r="L130" s="262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2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/>
  </sheetViews>
  <sheetFormatPr defaultRowHeight="1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zoomScale="50" workbookViewId="0"/>
  </sheetViews>
  <sheetFormatPr defaultRowHeight="15"/>
  <sheetData>
    <row r="23" spans="1:1" ht="15.75">
      <c r="A23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52</vt:i4>
      </vt:variant>
    </vt:vector>
  </HeadingPairs>
  <TitlesOfParts>
    <vt:vector size="70" baseType="lpstr">
      <vt:lpstr>A</vt:lpstr>
      <vt:lpstr>B</vt:lpstr>
      <vt:lpstr>C</vt:lpstr>
      <vt:lpstr>D</vt:lpstr>
      <vt:lpstr>E</vt:lpstr>
      <vt:lpstr>F</vt:lpstr>
      <vt:lpstr>G</vt:lpstr>
      <vt:lpstr>YD</vt:lpstr>
      <vt:lpstr>I</vt:lpstr>
      <vt:lpstr>J</vt:lpstr>
      <vt:lpstr>Q</vt:lpstr>
      <vt:lpstr>R</vt:lpstr>
      <vt:lpstr>S</vt:lpstr>
      <vt:lpstr>T</vt:lpstr>
      <vt:lpstr>Qdata</vt:lpstr>
      <vt:lpstr>Rdata</vt:lpstr>
      <vt:lpstr>Sdata</vt:lpstr>
      <vt:lpstr>Tdata</vt:lpstr>
      <vt:lpstr>Qtot</vt:lpstr>
      <vt:lpstr>dQtot</vt:lpstr>
      <vt:lpstr>Ptot</vt:lpstr>
      <vt:lpstr>dPtot</vt:lpstr>
      <vt:lpstr>Qcomp</vt:lpstr>
      <vt:lpstr>dQcomp</vt:lpstr>
      <vt:lpstr>Qidfan</vt:lpstr>
      <vt:lpstr>dQidfan</vt:lpstr>
      <vt:lpstr>Qodfan</vt:lpstr>
      <vt:lpstr>dQodfan</vt:lpstr>
      <vt:lpstr>QCtot</vt:lpstr>
      <vt:lpstr>PCtot</vt:lpstr>
      <vt:lpstr>dPCtot</vt:lpstr>
      <vt:lpstr>QCSens</vt:lpstr>
      <vt:lpstr>dQCsens</vt:lpstr>
      <vt:lpstr>PCSens</vt:lpstr>
      <vt:lpstr>QClat</vt:lpstr>
      <vt:lpstr>dQClat</vt:lpstr>
      <vt:lpstr>PClat</vt:lpstr>
      <vt:lpstr>dPClat</vt:lpstr>
      <vt:lpstr>COP2</vt:lpstr>
      <vt:lpstr>dCOP2</vt:lpstr>
      <vt:lpstr>MxCOP2</vt:lpstr>
      <vt:lpstr>dMxCOP2</vt:lpstr>
      <vt:lpstr>MnCOP2</vt:lpstr>
      <vt:lpstr>dMnCOP2</vt:lpstr>
      <vt:lpstr>IDB</vt:lpstr>
      <vt:lpstr>dIDB</vt:lpstr>
      <vt:lpstr>MxIDB</vt:lpstr>
      <vt:lpstr>dMxIDB</vt:lpstr>
      <vt:lpstr>MnIDB</vt:lpstr>
      <vt:lpstr>Humrat</vt:lpstr>
      <vt:lpstr>dHumrat</vt:lpstr>
      <vt:lpstr>MxHum</vt:lpstr>
      <vt:lpstr>dMxHumrat</vt:lpstr>
      <vt:lpstr>MnHum</vt:lpstr>
      <vt:lpstr>RelHum</vt:lpstr>
      <vt:lpstr>dRelHum</vt:lpstr>
      <vt:lpstr>MxRelHum</vt:lpstr>
      <vt:lpstr>dMxRelHum</vt:lpstr>
      <vt:lpstr>MnRelHum</vt:lpstr>
      <vt:lpstr>Qf(ODB)</vt:lpstr>
      <vt:lpstr>QCf(ODB)</vt:lpstr>
      <vt:lpstr>COP2f(ODB)</vt:lpstr>
      <vt:lpstr>Humratf(ODB)</vt:lpstr>
      <vt:lpstr>HrQ</vt:lpstr>
      <vt:lpstr>HrQC</vt:lpstr>
      <vt:lpstr>HrCOP2</vt:lpstr>
      <vt:lpstr>HrHum</vt:lpstr>
      <vt:lpstr>HrEDB,EWB</vt:lpstr>
      <vt:lpstr>HrODB</vt:lpstr>
      <vt:lpstr>HrOHR</vt:lpstr>
    </vt:vector>
  </TitlesOfParts>
  <Company>j. neymark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Jason</cp:lastModifiedBy>
  <cp:lastPrinted>2009-10-28T16:40:46Z</cp:lastPrinted>
  <dcterms:created xsi:type="dcterms:W3CDTF">2001-04-24T01:56:49Z</dcterms:created>
  <dcterms:modified xsi:type="dcterms:W3CDTF">2015-02-26T21:18:20Z</dcterms:modified>
</cp:coreProperties>
</file>