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_\.vscode\DataCamp_Projects\"/>
    </mc:Choice>
  </mc:AlternateContent>
  <bookViews>
    <workbookView xWindow="0" yWindow="0" windowWidth="20490" windowHeight="7650" activeTab="3"/>
  </bookViews>
  <sheets>
    <sheet name="Settings" sheetId="1" r:id="rId1"/>
    <sheet name="Budget Planning" sheetId="2" r:id="rId2"/>
    <sheet name="Budget Tracking" sheetId="4" r:id="rId3"/>
    <sheet name="Budget Dashboard" sheetId="7" r:id="rId4"/>
    <sheet name="Calculations" sheetId="6" r:id="rId5"/>
    <sheet name="Dropdown Data" sheetId="9" r:id="rId6"/>
  </sheets>
  <definedNames>
    <definedName name="budget" localSheetId="3">'Budget Dashboard'!$L1</definedName>
    <definedName name="budget_range" localSheetId="3">'Budget Dashboard'!$Q1</definedName>
    <definedName name="budget_rank" localSheetId="3">'Budget Dashboard'!$R1</definedName>
    <definedName name="cc_budget" localSheetId="4">Calculations!$K1</definedName>
    <definedName name="cc_delta" localSheetId="4">Calculations!$L1</definedName>
    <definedName name="cc_in_focus" localSheetId="4">Calculations!$G1</definedName>
    <definedName name="cc_month_number" localSheetId="4">Calculations!$F1</definedName>
    <definedName name="cc_show_remaining_budget" localSheetId="4">Calculations!$I1</definedName>
    <definedName name="cc_show_type" localSheetId="4">Calculations!$H1</definedName>
    <definedName name="cc_tracked" localSheetId="4">Calculations!$J1</definedName>
    <definedName name="cc_type" localSheetId="4">Calculations!$E1</definedName>
    <definedName name="comb_rank" localSheetId="3">'Budget Dashboard'!$S1</definedName>
    <definedName name="comb_rank_norm" localSheetId="3">'Budget Dashboard'!$U1</definedName>
    <definedName name="comb_rank_norm_run_range" localSheetId="3">'Budget Dashboard'!$V1</definedName>
    <definedName name="comb_rank_range" localSheetId="3">'Budget Dashboard'!$T1</definedName>
    <definedName name="comb_rank_unique" localSheetId="3">'Budget Dashboard'!$W1</definedName>
    <definedName name="current_date">Calculations!$E$8</definedName>
    <definedName name="expense_header_row" localSheetId="3">ROW(Expenses[[#Headers],[Expenses]])</definedName>
    <definedName name="expense_header_row" localSheetId="2">ROW(Expenses[[#Headers],[Expenses]])</definedName>
    <definedName name="expense_header_row" localSheetId="5">ROW(Expenses[[#Headers],[Expenses]])</definedName>
    <definedName name="expense_header_row">ROW(Expenses[[#Headers],[Expenses]])</definedName>
    <definedName name="expense_max_row" localSheetId="3">MAX(ROW(Expenses[]))</definedName>
    <definedName name="expense_max_row" localSheetId="2">MAX(ROW(Expenses[]))</definedName>
    <definedName name="expense_max_row" localSheetId="5">MAX(ROW(Expenses[]))</definedName>
    <definedName name="expense_max_row">MAX(ROW(Expenses[]))</definedName>
    <definedName name="expense_min_row" localSheetId="3">MIN(ROW(Expenses[]))</definedName>
    <definedName name="expense_min_row" localSheetId="2">MIN(ROW(Expenses[]))</definedName>
    <definedName name="expense_min_row" localSheetId="5">MIN(ROW(Expenses[]))</definedName>
    <definedName name="expense_min_row">MIN(ROW(Expenses[]))</definedName>
    <definedName name="expenses_total_row">ROW('Budget Planning'!$C$38)</definedName>
    <definedName name="header_row_id" localSheetId="3">'Budget Dashboard'!$D1</definedName>
    <definedName name="income_header_row" localSheetId="3">ROW(Income[[#Headers],[Income]])</definedName>
    <definedName name="income_header_row" localSheetId="2">ROW(Income[[#Headers],[Income]])</definedName>
    <definedName name="income_header_row" localSheetId="5">ROW(Income[[#Headers],[Income]])</definedName>
    <definedName name="income_header_row">ROW(Income[[#Headers],[Income]])</definedName>
    <definedName name="income_max_row" localSheetId="3">ROW(INDEX(Income[],COUNTA(Income[]),1))</definedName>
    <definedName name="income_max_row" localSheetId="2">ROW(INDEX(Income[],COUNTA(Income[]),1))</definedName>
    <definedName name="income_max_row" localSheetId="5">ROW(INDEX(Income[],COUNTA(Income[]),1))</definedName>
    <definedName name="income_max_row">ROW(INDEX(Income[],COUNTA(Income[]),1))</definedName>
    <definedName name="income_min_row" localSheetId="3">ROW(INDEX(Income[],1,1))</definedName>
    <definedName name="income_min_row" localSheetId="2">ROW(INDEX(Income[],1,1))</definedName>
    <definedName name="income_min_row" localSheetId="5">ROW(INDEX(Income[],1,1))</definedName>
    <definedName name="income_min_row">ROW(INDEX(Income[],1,1))</definedName>
    <definedName name="income_total_row">ROW('Budget Planning'!$C$20)</definedName>
    <definedName name="is_cat" localSheetId="3">'Budget Dashboard'!$F1</definedName>
    <definedName name="is_empty" localSheetId="3">'Budget Dashboard'!$H1</definedName>
    <definedName name="is_header" localSheetId="3">'Budget Dashboard'!$E1</definedName>
    <definedName name="is_total" localSheetId="3">'Budget Dashboard'!$G1</definedName>
    <definedName name="item" localSheetId="3">'Budget Dashboard'!$J1</definedName>
    <definedName name="out_budget" localSheetId="3">'Budget Dashboard'!$AA1</definedName>
    <definedName name="out_percentage_completed" localSheetId="3">'Budget Dashboard'!$AB1</definedName>
    <definedName name="out_tracked" localSheetId="3">'Budget Dashboard'!$Z1</definedName>
    <definedName name="row_id" localSheetId="3">'Budget Dashboard'!$C1</definedName>
    <definedName name="savings_header_row" localSheetId="3">ROW(Savings[[#Headers],[Savings]])</definedName>
    <definedName name="savings_header_row" localSheetId="2">ROW(Savings[[#Headers],[Savings]])</definedName>
    <definedName name="savings_header_row" localSheetId="5">ROW(Savings[[#Headers],[Savings]])</definedName>
    <definedName name="savings_header_row">ROW(Savings[[#Headers],[Savings]])</definedName>
    <definedName name="savings_max_row" localSheetId="3">MAX(ROW(Savings[]))</definedName>
    <definedName name="savings_max_row" localSheetId="2">MAX(ROW(Savings[]))</definedName>
    <definedName name="savings_max_row" localSheetId="5">MAX(ROW(Savings[]))</definedName>
    <definedName name="savings_max_row">MAX(ROW(Savings[]))</definedName>
    <definedName name="savings_min_row" localSheetId="3">MIN(ROW(Savings[]))</definedName>
    <definedName name="savings_min_row" localSheetId="2">MIN(ROW(Savings[]))</definedName>
    <definedName name="savings_min_row" localSheetId="5">MIN(ROW(Savings[]))</definedName>
    <definedName name="savings_min_row">MIN(ROW(Savings[]))</definedName>
    <definedName name="savings_rate_calculation_type">Settings!$E$21</definedName>
    <definedName name="savings_total_row">ROW('Budget Planning'!$C$51)</definedName>
    <definedName name="selected_period">Calculations!$E$20</definedName>
    <definedName name="selected_period_display">Calculations!$E$21</definedName>
    <definedName name="selected_year">Calculations!$E$19</definedName>
    <definedName name="shift_late_income_starting_day">Settings!$E$17</definedName>
    <definedName name="shift_late_income_status">Settings!$E$15</definedName>
    <definedName name="shit_late_income_starting_day">Settings!$E$17</definedName>
    <definedName name="sort_max_row" localSheetId="3">'Budget Dashboard'!$N1</definedName>
    <definedName name="sort_min_row" localSheetId="3">'Budget Dashboard'!$M1</definedName>
    <definedName name="starting_year">Settings!$E$7</definedName>
    <definedName name="tracked" localSheetId="3">'Budget Dashboard'!$K1</definedName>
    <definedName name="tracked_range" localSheetId="3">'Budget Dashboard'!$O1</definedName>
    <definedName name="tracked_rank" localSheetId="3">'Budget Dashboard'!$P1</definedName>
    <definedName name="type" localSheetId="3">'Budget Dashboard'!$I1</definedName>
  </definedNames>
  <calcPr calcId="162913"/>
</workbook>
</file>

<file path=xl/calcChain.xml><?xml version="1.0" encoding="utf-8"?>
<calcChain xmlns="http://schemas.openxmlformats.org/spreadsheetml/2006/main">
  <c r="G14" i="7" l="1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13" i="7"/>
  <c r="K37" i="7" l="1"/>
  <c r="K9" i="7"/>
  <c r="I59" i="6"/>
  <c r="I60" i="6"/>
  <c r="I61" i="6"/>
  <c r="I63" i="6"/>
  <c r="I64" i="6"/>
  <c r="I65" i="6"/>
  <c r="I67" i="6"/>
  <c r="I68" i="6"/>
  <c r="I69" i="6"/>
  <c r="I71" i="6"/>
  <c r="I72" i="6"/>
  <c r="I73" i="6"/>
  <c r="I75" i="6"/>
  <c r="I76" i="6"/>
  <c r="I77" i="6"/>
  <c r="I79" i="6"/>
  <c r="I80" i="6"/>
  <c r="I81" i="6"/>
  <c r="I83" i="6"/>
  <c r="I84" i="6"/>
  <c r="I85" i="6"/>
  <c r="I87" i="6"/>
  <c r="I88" i="6"/>
  <c r="I89" i="6"/>
  <c r="I91" i="6"/>
  <c r="I92" i="6"/>
  <c r="I93" i="6"/>
  <c r="I95" i="6"/>
  <c r="I96" i="6"/>
  <c r="I97" i="6"/>
  <c r="I99" i="6"/>
  <c r="I100" i="6"/>
  <c r="I101" i="6"/>
  <c r="I56" i="6"/>
  <c r="I57" i="6"/>
  <c r="I55" i="6"/>
  <c r="H59" i="6"/>
  <c r="H60" i="6"/>
  <c r="H61" i="6"/>
  <c r="H63" i="6"/>
  <c r="H64" i="6"/>
  <c r="H65" i="6"/>
  <c r="H67" i="6"/>
  <c r="H68" i="6"/>
  <c r="H69" i="6"/>
  <c r="H71" i="6"/>
  <c r="H72" i="6"/>
  <c r="H73" i="6"/>
  <c r="H75" i="6"/>
  <c r="H76" i="6"/>
  <c r="H77" i="6"/>
  <c r="H79" i="6"/>
  <c r="H80" i="6"/>
  <c r="H81" i="6"/>
  <c r="H83" i="6"/>
  <c r="H84" i="6"/>
  <c r="H85" i="6"/>
  <c r="H87" i="6"/>
  <c r="H88" i="6"/>
  <c r="H89" i="6"/>
  <c r="H91" i="6"/>
  <c r="H92" i="6"/>
  <c r="H93" i="6"/>
  <c r="H95" i="6"/>
  <c r="H96" i="6"/>
  <c r="H97" i="6"/>
  <c r="H99" i="6"/>
  <c r="H100" i="6"/>
  <c r="H101" i="6"/>
  <c r="H57" i="6"/>
  <c r="H56" i="6"/>
  <c r="H55" i="6"/>
  <c r="F38" i="6"/>
  <c r="E38" i="6" s="1"/>
  <c r="F39" i="6"/>
  <c r="E39" i="6" s="1"/>
  <c r="AP34" i="7"/>
  <c r="AI34" i="7"/>
  <c r="AI21" i="7" l="1"/>
  <c r="H64" i="4"/>
  <c r="I64" i="4"/>
  <c r="H63" i="4"/>
  <c r="I63" i="4"/>
  <c r="H62" i="4"/>
  <c r="I62" i="4"/>
  <c r="H61" i="4"/>
  <c r="I61" i="4"/>
  <c r="H60" i="4"/>
  <c r="I60" i="4"/>
  <c r="H59" i="4"/>
  <c r="I59" i="4"/>
  <c r="H58" i="4"/>
  <c r="I58" i="4"/>
  <c r="H57" i="4"/>
  <c r="I57" i="4"/>
  <c r="H56" i="4"/>
  <c r="I56" i="4"/>
  <c r="H55" i="4"/>
  <c r="I55" i="4"/>
  <c r="H54" i="4"/>
  <c r="I54" i="4"/>
  <c r="H53" i="4"/>
  <c r="I53" i="4"/>
  <c r="H52" i="4"/>
  <c r="I52" i="4"/>
  <c r="H51" i="4"/>
  <c r="I51" i="4"/>
  <c r="H50" i="4"/>
  <c r="I50" i="4"/>
  <c r="H49" i="4"/>
  <c r="I49" i="4"/>
  <c r="H48" i="4"/>
  <c r="I48" i="4"/>
  <c r="H47" i="4"/>
  <c r="I47" i="4"/>
  <c r="H46" i="4"/>
  <c r="I46" i="4"/>
  <c r="H45" i="4"/>
  <c r="I45" i="4"/>
  <c r="H44" i="4"/>
  <c r="I44" i="4"/>
  <c r="H43" i="4"/>
  <c r="I43" i="4"/>
  <c r="H38" i="4"/>
  <c r="I38" i="4"/>
  <c r="H37" i="4"/>
  <c r="I37" i="4"/>
  <c r="H31" i="4"/>
  <c r="I31" i="4"/>
  <c r="H36" i="4"/>
  <c r="I36" i="4"/>
  <c r="H35" i="4"/>
  <c r="I35" i="4"/>
  <c r="H34" i="4"/>
  <c r="I34" i="4"/>
  <c r="H33" i="4"/>
  <c r="I33" i="4"/>
  <c r="H32" i="4"/>
  <c r="I32" i="4"/>
  <c r="H30" i="4"/>
  <c r="I30" i="4"/>
  <c r="H29" i="4"/>
  <c r="I29" i="4"/>
  <c r="H28" i="4"/>
  <c r="I28" i="4"/>
  <c r="H27" i="4"/>
  <c r="I27" i="4"/>
  <c r="H26" i="4"/>
  <c r="I26" i="4"/>
  <c r="H25" i="4"/>
  <c r="I25" i="4"/>
  <c r="H24" i="4"/>
  <c r="I24" i="4"/>
  <c r="H23" i="4"/>
  <c r="I23" i="4"/>
  <c r="H22" i="4"/>
  <c r="I22" i="4"/>
  <c r="H21" i="4"/>
  <c r="I21" i="4"/>
  <c r="H20" i="4"/>
  <c r="I20" i="4"/>
  <c r="H19" i="4"/>
  <c r="I19" i="4"/>
  <c r="H18" i="4"/>
  <c r="I18" i="4"/>
  <c r="H17" i="4"/>
  <c r="I17" i="4"/>
  <c r="H16" i="4"/>
  <c r="I16" i="4"/>
  <c r="H14" i="4"/>
  <c r="I14" i="4"/>
  <c r="H12" i="4"/>
  <c r="I12" i="4"/>
  <c r="H42" i="4" l="1"/>
  <c r="I42" i="4"/>
  <c r="H41" i="4"/>
  <c r="I41" i="4"/>
  <c r="H40" i="4"/>
  <c r="I40" i="4"/>
  <c r="H39" i="4"/>
  <c r="I39" i="4"/>
  <c r="H65" i="4"/>
  <c r="C13" i="7"/>
  <c r="C14" i="7" s="1"/>
  <c r="C15" i="7" s="1"/>
  <c r="C16" i="7" s="1"/>
  <c r="H16" i="7" s="1"/>
  <c r="E13" i="7" l="1"/>
  <c r="D13" i="7" s="1"/>
  <c r="I13" i="7" s="1"/>
  <c r="H13" i="7"/>
  <c r="E16" i="7"/>
  <c r="E14" i="7"/>
  <c r="H14" i="7"/>
  <c r="E15" i="7"/>
  <c r="H15" i="7"/>
  <c r="J14" i="7"/>
  <c r="C17" i="7"/>
  <c r="J16" i="7"/>
  <c r="J15" i="7"/>
  <c r="J13" i="7"/>
  <c r="C9" i="9"/>
  <c r="C10" i="9" s="1"/>
  <c r="C11" i="9" s="1"/>
  <c r="C12" i="9" s="1"/>
  <c r="C13" i="9" s="1"/>
  <c r="C14" i="9" s="1"/>
  <c r="C15" i="9" s="1"/>
  <c r="E9" i="6"/>
  <c r="E11" i="6"/>
  <c r="E8" i="6"/>
  <c r="I65" i="4"/>
  <c r="I15" i="4"/>
  <c r="I13" i="4"/>
  <c r="I66" i="4"/>
  <c r="H13" i="4"/>
  <c r="H15" i="4"/>
  <c r="H66" i="4"/>
  <c r="Q26" i="2"/>
  <c r="Q27" i="2"/>
  <c r="Q28" i="2"/>
  <c r="Q29" i="2"/>
  <c r="Q30" i="2"/>
  <c r="BI5" i="2"/>
  <c r="BT9" i="2" s="1"/>
  <c r="BU50" i="2"/>
  <c r="BU49" i="2"/>
  <c r="BU48" i="2"/>
  <c r="BU47" i="2"/>
  <c r="BU46" i="2"/>
  <c r="BU45" i="2"/>
  <c r="BU44" i="2"/>
  <c r="BU43" i="2"/>
  <c r="BU42" i="2"/>
  <c r="BU41" i="2"/>
  <c r="BU37" i="2"/>
  <c r="BU36" i="2"/>
  <c r="BU35" i="2"/>
  <c r="BU34" i="2"/>
  <c r="BU33" i="2"/>
  <c r="BU32" i="2"/>
  <c r="BU31" i="2"/>
  <c r="BU25" i="2"/>
  <c r="BU24" i="2"/>
  <c r="BU23" i="2"/>
  <c r="BU19" i="2"/>
  <c r="BU18" i="2"/>
  <c r="BU17" i="2"/>
  <c r="BU16" i="2"/>
  <c r="BU15" i="2"/>
  <c r="BU14" i="2"/>
  <c r="BU13" i="2"/>
  <c r="BU12" i="2"/>
  <c r="BU11" i="2"/>
  <c r="BU10" i="2"/>
  <c r="BU7" i="2"/>
  <c r="BU6" i="2"/>
  <c r="AU5" i="2"/>
  <c r="BE40" i="2" s="1"/>
  <c r="BG50" i="2"/>
  <c r="BG49" i="2"/>
  <c r="BG48" i="2"/>
  <c r="BG47" i="2"/>
  <c r="BG46" i="2"/>
  <c r="BG45" i="2"/>
  <c r="BG44" i="2"/>
  <c r="BG43" i="2"/>
  <c r="BG42" i="2"/>
  <c r="BG41" i="2"/>
  <c r="BG37" i="2"/>
  <c r="BG36" i="2"/>
  <c r="BG35" i="2"/>
  <c r="BG34" i="2"/>
  <c r="BG33" i="2"/>
  <c r="BG32" i="2"/>
  <c r="BG31" i="2"/>
  <c r="BG25" i="2"/>
  <c r="BG24" i="2"/>
  <c r="BG23" i="2"/>
  <c r="BG19" i="2"/>
  <c r="BG18" i="2"/>
  <c r="BG17" i="2"/>
  <c r="BG16" i="2"/>
  <c r="BG15" i="2"/>
  <c r="BG14" i="2"/>
  <c r="BG13" i="2"/>
  <c r="BG12" i="2"/>
  <c r="BG11" i="2"/>
  <c r="BG10" i="2"/>
  <c r="BG7" i="2"/>
  <c r="BG6" i="2" s="1"/>
  <c r="AG5" i="2"/>
  <c r="AQ40" i="2" s="1"/>
  <c r="AS50" i="2"/>
  <c r="AS49" i="2"/>
  <c r="AS48" i="2"/>
  <c r="AS47" i="2"/>
  <c r="AS46" i="2"/>
  <c r="AS45" i="2"/>
  <c r="AS44" i="2"/>
  <c r="AS43" i="2"/>
  <c r="AS42" i="2"/>
  <c r="AS41" i="2"/>
  <c r="AS37" i="2"/>
  <c r="AS36" i="2"/>
  <c r="AS35" i="2"/>
  <c r="AS34" i="2"/>
  <c r="AS33" i="2"/>
  <c r="AS32" i="2"/>
  <c r="AS31" i="2"/>
  <c r="AS25" i="2"/>
  <c r="AS24" i="2"/>
  <c r="AS23" i="2"/>
  <c r="AS19" i="2"/>
  <c r="AS18" i="2"/>
  <c r="AS17" i="2"/>
  <c r="AS16" i="2"/>
  <c r="AS15" i="2"/>
  <c r="AS14" i="2"/>
  <c r="AS13" i="2"/>
  <c r="AS12" i="2"/>
  <c r="AS11" i="2"/>
  <c r="AS10" i="2"/>
  <c r="AS7" i="2"/>
  <c r="AS6" i="2" s="1"/>
  <c r="S5" i="2"/>
  <c r="AC40" i="2" s="1"/>
  <c r="AE50" i="2"/>
  <c r="AE49" i="2"/>
  <c r="AE48" i="2"/>
  <c r="AE47" i="2"/>
  <c r="AE46" i="2"/>
  <c r="AE45" i="2"/>
  <c r="AE44" i="2"/>
  <c r="AE43" i="2"/>
  <c r="AE42" i="2"/>
  <c r="AE41" i="2"/>
  <c r="AE37" i="2"/>
  <c r="AE36" i="2"/>
  <c r="AE35" i="2"/>
  <c r="AE34" i="2"/>
  <c r="AE33" i="2"/>
  <c r="AE32" i="2"/>
  <c r="AE31" i="2"/>
  <c r="AE25" i="2"/>
  <c r="AE24" i="2"/>
  <c r="AE23" i="2"/>
  <c r="AE19" i="2"/>
  <c r="AE18" i="2"/>
  <c r="AE17" i="2"/>
  <c r="AE16" i="2"/>
  <c r="AE15" i="2"/>
  <c r="AE14" i="2"/>
  <c r="AE13" i="2"/>
  <c r="AE12" i="2"/>
  <c r="AE11" i="2"/>
  <c r="AE10" i="2"/>
  <c r="AE7" i="2"/>
  <c r="AE6" i="2" s="1"/>
  <c r="Q50" i="2"/>
  <c r="Q49" i="2"/>
  <c r="Q48" i="2"/>
  <c r="Q47" i="2"/>
  <c r="Q46" i="2"/>
  <c r="Q45" i="2"/>
  <c r="Q44" i="2"/>
  <c r="Q43" i="2"/>
  <c r="Q42" i="2"/>
  <c r="Q41" i="2"/>
  <c r="Q37" i="2"/>
  <c r="Q36" i="2"/>
  <c r="Q35" i="2"/>
  <c r="Q34" i="2"/>
  <c r="Q33" i="2"/>
  <c r="Q32" i="2"/>
  <c r="Q31" i="2"/>
  <c r="Q25" i="2"/>
  <c r="Q24" i="2"/>
  <c r="Q23" i="2"/>
  <c r="BL20" i="2"/>
  <c r="BD20" i="2"/>
  <c r="BI38" i="2"/>
  <c r="BK20" i="2"/>
  <c r="AO38" i="2"/>
  <c r="J20" i="2"/>
  <c r="AP38" i="2"/>
  <c r="E38" i="2"/>
  <c r="BD51" i="2"/>
  <c r="I38" i="2"/>
  <c r="H38" i="2"/>
  <c r="Z20" i="2"/>
  <c r="BA38" i="2"/>
  <c r="U51" i="2"/>
  <c r="BI51" i="2"/>
  <c r="BS38" i="2"/>
  <c r="BN51" i="2"/>
  <c r="BM51" i="2"/>
  <c r="AV51" i="2"/>
  <c r="BP51" i="2"/>
  <c r="AN38" i="2"/>
  <c r="BQ51" i="2"/>
  <c r="M20" i="2"/>
  <c r="AR38" i="2"/>
  <c r="X20" i="2"/>
  <c r="AU20" i="2"/>
  <c r="BM20" i="2"/>
  <c r="BT38" i="2"/>
  <c r="AA38" i="2"/>
  <c r="BE38" i="2"/>
  <c r="AP51" i="2"/>
  <c r="BJ20" i="2"/>
  <c r="AW38" i="2"/>
  <c r="H51" i="2"/>
  <c r="BF20" i="2"/>
  <c r="AN51" i="2"/>
  <c r="BT20" i="2"/>
  <c r="X51" i="2"/>
  <c r="W20" i="2"/>
  <c r="AK51" i="2"/>
  <c r="G51" i="2"/>
  <c r="T51" i="2"/>
  <c r="P38" i="2"/>
  <c r="AP20" i="2"/>
  <c r="AJ38" i="2"/>
  <c r="AL20" i="2"/>
  <c r="F51" i="2"/>
  <c r="BA20" i="2"/>
  <c r="BN20" i="2"/>
  <c r="T38" i="2"/>
  <c r="BC38" i="2"/>
  <c r="BS51" i="2"/>
  <c r="AJ51" i="2"/>
  <c r="AB20" i="2"/>
  <c r="AW20" i="2"/>
  <c r="Y38" i="2"/>
  <c r="V51" i="2"/>
  <c r="AD20" i="2"/>
  <c r="AY38" i="2"/>
  <c r="BR20" i="2"/>
  <c r="AQ20" i="2"/>
  <c r="F20" i="2"/>
  <c r="AU38" i="2"/>
  <c r="AD38" i="2"/>
  <c r="AQ51" i="2"/>
  <c r="BB51" i="2"/>
  <c r="L20" i="2"/>
  <c r="AV38" i="2"/>
  <c r="L38" i="2"/>
  <c r="Z51" i="2"/>
  <c r="W51" i="2"/>
  <c r="O38" i="2"/>
  <c r="BQ38" i="2"/>
  <c r="Y20" i="2"/>
  <c r="BL51" i="2"/>
  <c r="I20" i="2"/>
  <c r="BM38" i="2"/>
  <c r="AM51" i="2"/>
  <c r="AY51" i="2"/>
  <c r="BF51" i="2"/>
  <c r="BL38" i="2"/>
  <c r="AW51" i="2"/>
  <c r="AK20" i="2"/>
  <c r="BB20" i="2"/>
  <c r="AJ20" i="2"/>
  <c r="K38" i="2"/>
  <c r="S38" i="2"/>
  <c r="O20" i="2"/>
  <c r="AX38" i="2"/>
  <c r="N20" i="2"/>
  <c r="Z38" i="2"/>
  <c r="T20" i="2"/>
  <c r="AH51" i="2"/>
  <c r="Y51" i="2"/>
  <c r="BD38" i="2"/>
  <c r="AI38" i="2"/>
  <c r="AB38" i="2"/>
  <c r="M51" i="2"/>
  <c r="BQ20" i="2"/>
  <c r="E51" i="2"/>
  <c r="BC51" i="2"/>
  <c r="P20" i="2"/>
  <c r="L51" i="2"/>
  <c r="AC38" i="2"/>
  <c r="AU51" i="2"/>
  <c r="BJ38" i="2"/>
  <c r="AG20" i="2"/>
  <c r="I51" i="2"/>
  <c r="AG38" i="2"/>
  <c r="BI20" i="2"/>
  <c r="BR51" i="2"/>
  <c r="AZ51" i="2"/>
  <c r="S51" i="2"/>
  <c r="AH20" i="2"/>
  <c r="AN20" i="2"/>
  <c r="AX51" i="2"/>
  <c r="BN38" i="2"/>
  <c r="AH38" i="2"/>
  <c r="AY20" i="2"/>
  <c r="O51" i="2"/>
  <c r="BE51" i="2"/>
  <c r="P51" i="2"/>
  <c r="N51" i="2"/>
  <c r="AR20" i="2"/>
  <c r="AM20" i="2"/>
  <c r="AC51" i="2"/>
  <c r="J38" i="2"/>
  <c r="AZ20" i="2"/>
  <c r="BO51" i="2"/>
  <c r="BO20" i="2"/>
  <c r="U38" i="2"/>
  <c r="F38" i="2"/>
  <c r="AQ38" i="2"/>
  <c r="BP20" i="2"/>
  <c r="BK51" i="2"/>
  <c r="BF38" i="2"/>
  <c r="AI51" i="2"/>
  <c r="AL51" i="2"/>
  <c r="BC20" i="2"/>
  <c r="V38" i="2"/>
  <c r="BB38" i="2"/>
  <c r="AD51" i="2"/>
  <c r="G20" i="2"/>
  <c r="BT51" i="2"/>
  <c r="AI20" i="2"/>
  <c r="BJ51" i="2"/>
  <c r="BP38" i="2"/>
  <c r="J51" i="2"/>
  <c r="BO38" i="2"/>
  <c r="S20" i="2"/>
  <c r="M38" i="2"/>
  <c r="G38" i="2"/>
  <c r="AO51" i="2"/>
  <c r="AV20" i="2"/>
  <c r="BE20" i="2"/>
  <c r="AG51" i="2"/>
  <c r="K51" i="2"/>
  <c r="AA20" i="2"/>
  <c r="BS20" i="2"/>
  <c r="AA51" i="2"/>
  <c r="E20" i="2"/>
  <c r="K20" i="2"/>
  <c r="H20" i="2"/>
  <c r="BA51" i="2"/>
  <c r="BK38" i="2"/>
  <c r="U20" i="2"/>
  <c r="N38" i="2"/>
  <c r="W38" i="2"/>
  <c r="BR38" i="2"/>
  <c r="AO20" i="2"/>
  <c r="AZ38" i="2"/>
  <c r="AR51" i="2"/>
  <c r="AB51" i="2"/>
  <c r="AX20" i="2"/>
  <c r="AK38" i="2"/>
  <c r="V20" i="2"/>
  <c r="AL38" i="2"/>
  <c r="AM38" i="2"/>
  <c r="X38" i="2"/>
  <c r="AC20" i="2"/>
  <c r="E20" i="6" l="1"/>
  <c r="L13" i="7"/>
  <c r="F13" i="7"/>
  <c r="Q13" i="7" s="1"/>
  <c r="AB13" i="7"/>
  <c r="AC13" i="7"/>
  <c r="AD13" i="7"/>
  <c r="Z13" i="7"/>
  <c r="AA13" i="7"/>
  <c r="F15" i="7"/>
  <c r="K13" i="7"/>
  <c r="H17" i="7"/>
  <c r="E17" i="7"/>
  <c r="D14" i="7"/>
  <c r="F14" i="7"/>
  <c r="F16" i="7"/>
  <c r="E13" i="6"/>
  <c r="E14" i="6" s="1"/>
  <c r="C18" i="7"/>
  <c r="J17" i="7"/>
  <c r="E10" i="6"/>
  <c r="E19" i="6"/>
  <c r="E12" i="6"/>
  <c r="BI22" i="2"/>
  <c r="BQ22" i="2"/>
  <c r="Q51" i="2"/>
  <c r="Q38" i="2"/>
  <c r="Q20" i="2"/>
  <c r="BS40" i="2"/>
  <c r="BA22" i="2"/>
  <c r="BL9" i="2"/>
  <c r="BM9" i="2"/>
  <c r="BN40" i="2"/>
  <c r="BK7" i="2"/>
  <c r="BK6" i="2" s="1"/>
  <c r="BS7" i="2"/>
  <c r="BS6" i="2" s="1"/>
  <c r="BL7" i="2"/>
  <c r="BL6" i="2" s="1"/>
  <c r="BT7" i="2"/>
  <c r="BT6" i="2" s="1"/>
  <c r="BN7" i="2"/>
  <c r="BN6" i="2" s="1"/>
  <c r="BO7" i="2"/>
  <c r="BO6" i="2" s="1"/>
  <c r="BP7" i="2"/>
  <c r="BP6" i="2" s="1"/>
  <c r="BI7" i="2"/>
  <c r="BI6" i="2" s="1"/>
  <c r="BQ7" i="2"/>
  <c r="BQ6" i="2" s="1"/>
  <c r="BM7" i="2"/>
  <c r="BM6" i="2" s="1"/>
  <c r="BJ7" i="2"/>
  <c r="BJ6" i="2" s="1"/>
  <c r="BR7" i="2"/>
  <c r="BR6" i="2" s="1"/>
  <c r="BJ9" i="2"/>
  <c r="BR9" i="2"/>
  <c r="BO22" i="2"/>
  <c r="BL40" i="2"/>
  <c r="BT40" i="2"/>
  <c r="BK9" i="2"/>
  <c r="BS9" i="2"/>
  <c r="BP22" i="2"/>
  <c r="BM40" i="2"/>
  <c r="BU40" i="2"/>
  <c r="BU9" i="2"/>
  <c r="BJ22" i="2"/>
  <c r="BR22" i="2"/>
  <c r="BO40" i="2"/>
  <c r="BN9" i="2"/>
  <c r="BK22" i="2"/>
  <c r="BS22" i="2"/>
  <c r="BP40" i="2"/>
  <c r="BO9" i="2"/>
  <c r="BL22" i="2"/>
  <c r="BT22" i="2"/>
  <c r="BI40" i="2"/>
  <c r="BQ40" i="2"/>
  <c r="BP9" i="2"/>
  <c r="BM22" i="2"/>
  <c r="BU22" i="2"/>
  <c r="BJ40" i="2"/>
  <c r="BR40" i="2"/>
  <c r="BI9" i="2"/>
  <c r="BQ9" i="2"/>
  <c r="BN22" i="2"/>
  <c r="BK40" i="2"/>
  <c r="AV9" i="2"/>
  <c r="AX40" i="2"/>
  <c r="BB9" i="2"/>
  <c r="BF40" i="2"/>
  <c r="BD9" i="2"/>
  <c r="AW7" i="2"/>
  <c r="AW6" i="2" s="1"/>
  <c r="AX7" i="2"/>
  <c r="AX6" i="2" s="1"/>
  <c r="BF7" i="2"/>
  <c r="BF6" i="2" s="1"/>
  <c r="AY7" i="2"/>
  <c r="AY6" i="2" s="1"/>
  <c r="AZ7" i="2"/>
  <c r="AZ6" i="2" s="1"/>
  <c r="BA7" i="2"/>
  <c r="BA6" i="2" s="1"/>
  <c r="BE7" i="2"/>
  <c r="BE6" i="2" s="1"/>
  <c r="BB7" i="2"/>
  <c r="BB6" i="2" s="1"/>
  <c r="AU7" i="2"/>
  <c r="AU6" i="2" s="1"/>
  <c r="BC7" i="2"/>
  <c r="BC6" i="2" s="1"/>
  <c r="AV7" i="2"/>
  <c r="AV6" i="2" s="1"/>
  <c r="BD7" i="2"/>
  <c r="BD6" i="2" s="1"/>
  <c r="AW9" i="2"/>
  <c r="BE9" i="2"/>
  <c r="BB22" i="2"/>
  <c r="AY40" i="2"/>
  <c r="BG40" i="2"/>
  <c r="AX9" i="2"/>
  <c r="BF9" i="2"/>
  <c r="AU22" i="2"/>
  <c r="BC22" i="2"/>
  <c r="AZ40" i="2"/>
  <c r="AY9" i="2"/>
  <c r="BG9" i="2"/>
  <c r="AV22" i="2"/>
  <c r="BD22" i="2"/>
  <c r="BA40" i="2"/>
  <c r="AZ9" i="2"/>
  <c r="AW22" i="2"/>
  <c r="BE22" i="2"/>
  <c r="BB40" i="2"/>
  <c r="BA9" i="2"/>
  <c r="AX22" i="2"/>
  <c r="BF22" i="2"/>
  <c r="AU40" i="2"/>
  <c r="BC40" i="2"/>
  <c r="AY22" i="2"/>
  <c r="BG22" i="2"/>
  <c r="AV40" i="2"/>
  <c r="BD40" i="2"/>
  <c r="AU9" i="2"/>
  <c r="BC9" i="2"/>
  <c r="AZ22" i="2"/>
  <c r="AW40" i="2"/>
  <c r="AJ7" i="2"/>
  <c r="AJ6" i="2" s="1"/>
  <c r="AR7" i="2"/>
  <c r="AR6" i="2" s="1"/>
  <c r="AK7" i="2"/>
  <c r="AK6" i="2" s="1"/>
  <c r="AQ7" i="2"/>
  <c r="AQ6" i="2" s="1"/>
  <c r="AL7" i="2"/>
  <c r="AL6" i="2" s="1"/>
  <c r="AM7" i="2"/>
  <c r="AM6" i="2" s="1"/>
  <c r="AN7" i="2"/>
  <c r="AN6" i="2" s="1"/>
  <c r="AG7" i="2"/>
  <c r="AG6" i="2" s="1"/>
  <c r="AO7" i="2"/>
  <c r="AO6" i="2" s="1"/>
  <c r="AI7" i="2"/>
  <c r="AI6" i="2" s="1"/>
  <c r="AH7" i="2"/>
  <c r="AH6" i="2" s="1"/>
  <c r="AP7" i="2"/>
  <c r="AP6" i="2" s="1"/>
  <c r="AP9" i="2"/>
  <c r="AJ40" i="2"/>
  <c r="AR40" i="2"/>
  <c r="AQ9" i="2"/>
  <c r="AN22" i="2"/>
  <c r="AK40" i="2"/>
  <c r="AS40" i="2"/>
  <c r="AI9" i="2"/>
  <c r="AJ9" i="2"/>
  <c r="AR9" i="2"/>
  <c r="AG22" i="2"/>
  <c r="AO22" i="2"/>
  <c r="AL40" i="2"/>
  <c r="AM22" i="2"/>
  <c r="AK9" i="2"/>
  <c r="AS9" i="2"/>
  <c r="AH22" i="2"/>
  <c r="AP22" i="2"/>
  <c r="AM40" i="2"/>
  <c r="AI22" i="2"/>
  <c r="AQ22" i="2"/>
  <c r="AN40" i="2"/>
  <c r="AL9" i="2"/>
  <c r="AM9" i="2"/>
  <c r="AJ22" i="2"/>
  <c r="AR22" i="2"/>
  <c r="AG40" i="2"/>
  <c r="AO40" i="2"/>
  <c r="AH9" i="2"/>
  <c r="AN9" i="2"/>
  <c r="AK22" i="2"/>
  <c r="AS22" i="2"/>
  <c r="AH40" i="2"/>
  <c r="AP40" i="2"/>
  <c r="AG9" i="2"/>
  <c r="AO9" i="2"/>
  <c r="AL22" i="2"/>
  <c r="AI40" i="2"/>
  <c r="U7" i="2"/>
  <c r="U6" i="2" s="1"/>
  <c r="AC7" i="2"/>
  <c r="AC6" i="2" s="1"/>
  <c r="Y7" i="2"/>
  <c r="Y6" i="2" s="1"/>
  <c r="Z7" i="2"/>
  <c r="Z6" i="2" s="1"/>
  <c r="V7" i="2"/>
  <c r="V6" i="2" s="1"/>
  <c r="AD7" i="2"/>
  <c r="AD6" i="2" s="1"/>
  <c r="AB7" i="2"/>
  <c r="AB6" i="2" s="1"/>
  <c r="W7" i="2"/>
  <c r="W6" i="2" s="1"/>
  <c r="X7" i="2"/>
  <c r="X6" i="2" s="1"/>
  <c r="S7" i="2"/>
  <c r="S6" i="2" s="1"/>
  <c r="AA7" i="2"/>
  <c r="AA6" i="2" s="1"/>
  <c r="T7" i="2"/>
  <c r="T6" i="2" s="1"/>
  <c r="Z40" i="2"/>
  <c r="AD22" i="2"/>
  <c r="AA9" i="2"/>
  <c r="X22" i="2"/>
  <c r="T9" i="2"/>
  <c r="AB9" i="2"/>
  <c r="Y22" i="2"/>
  <c r="V40" i="2"/>
  <c r="AD40" i="2"/>
  <c r="AC22" i="2"/>
  <c r="V22" i="2"/>
  <c r="S9" i="2"/>
  <c r="U9" i="2"/>
  <c r="AC9" i="2"/>
  <c r="Z22" i="2"/>
  <c r="W40" i="2"/>
  <c r="AE40" i="2"/>
  <c r="V9" i="2"/>
  <c r="AD9" i="2"/>
  <c r="S22" i="2"/>
  <c r="AA22" i="2"/>
  <c r="X40" i="2"/>
  <c r="U22" i="2"/>
  <c r="Y9" i="2"/>
  <c r="W9" i="2"/>
  <c r="AE9" i="2"/>
  <c r="T22" i="2"/>
  <c r="AB22" i="2"/>
  <c r="Y40" i="2"/>
  <c r="S40" i="2"/>
  <c r="AA40" i="2"/>
  <c r="X9" i="2"/>
  <c r="Z9" i="2"/>
  <c r="W22" i="2"/>
  <c r="AE22" i="2"/>
  <c r="T40" i="2"/>
  <c r="AB40" i="2"/>
  <c r="U40" i="2"/>
  <c r="L7" i="2"/>
  <c r="L6" i="2" s="1"/>
  <c r="K7" i="2"/>
  <c r="K6" i="2" s="1"/>
  <c r="J7" i="2"/>
  <c r="J6" i="2" s="1"/>
  <c r="I7" i="2"/>
  <c r="I6" i="2" s="1"/>
  <c r="H7" i="2"/>
  <c r="H6" i="2" s="1"/>
  <c r="G7" i="2"/>
  <c r="G6" i="2" s="1"/>
  <c r="M7" i="2"/>
  <c r="M6" i="2" s="1"/>
  <c r="P7" i="2"/>
  <c r="P6" i="2" s="1"/>
  <c r="O7" i="2"/>
  <c r="O6" i="2" s="1"/>
  <c r="N7" i="2"/>
  <c r="N6" i="2" s="1"/>
  <c r="F7" i="2"/>
  <c r="F6" i="2" s="1"/>
  <c r="E7" i="2"/>
  <c r="E6" i="2" s="1"/>
  <c r="Q11" i="2"/>
  <c r="Q12" i="2"/>
  <c r="Q13" i="2"/>
  <c r="Q14" i="2"/>
  <c r="Q15" i="2"/>
  <c r="Q16" i="2"/>
  <c r="Q17" i="2"/>
  <c r="Q18" i="2"/>
  <c r="Q19" i="2"/>
  <c r="Q10" i="2"/>
  <c r="E5" i="2"/>
  <c r="E22" i="6" l="1"/>
  <c r="E23" i="6" s="1"/>
  <c r="E24" i="6" s="1"/>
  <c r="K36" i="7"/>
  <c r="D99" i="6"/>
  <c r="D95" i="6"/>
  <c r="D63" i="6"/>
  <c r="D67" i="6"/>
  <c r="D91" i="6"/>
  <c r="D59" i="6"/>
  <c r="D87" i="6"/>
  <c r="D55" i="6"/>
  <c r="D75" i="6"/>
  <c r="D83" i="6"/>
  <c r="D79" i="6"/>
  <c r="D71" i="6"/>
  <c r="E21" i="6"/>
  <c r="AF11" i="7" s="1"/>
  <c r="P13" i="7"/>
  <c r="M13" i="7"/>
  <c r="R13" i="7"/>
  <c r="F17" i="7"/>
  <c r="P17" i="7" s="1"/>
  <c r="X13" i="7"/>
  <c r="Y13" i="7" s="1"/>
  <c r="W13" i="7"/>
  <c r="V13" i="7"/>
  <c r="U13" i="7"/>
  <c r="T13" i="7"/>
  <c r="S13" i="7"/>
  <c r="N13" i="7"/>
  <c r="O13" i="7"/>
  <c r="N14" i="7"/>
  <c r="M14" i="7"/>
  <c r="D15" i="7"/>
  <c r="I14" i="7"/>
  <c r="K14" i="7" s="1"/>
  <c r="Q17" i="7"/>
  <c r="M17" i="7"/>
  <c r="O17" i="7"/>
  <c r="N17" i="7"/>
  <c r="R17" i="7"/>
  <c r="H18" i="7"/>
  <c r="E18" i="7"/>
  <c r="C19" i="7"/>
  <c r="J18" i="7"/>
  <c r="Q7" i="2"/>
  <c r="Q6" i="2" s="1"/>
  <c r="J9" i="2"/>
  <c r="K40" i="2"/>
  <c r="J40" i="2"/>
  <c r="F40" i="2"/>
  <c r="L40" i="2"/>
  <c r="Q40" i="2"/>
  <c r="I40" i="2"/>
  <c r="N40" i="2"/>
  <c r="P40" i="2"/>
  <c r="H40" i="2"/>
  <c r="M40" i="2"/>
  <c r="O40" i="2"/>
  <c r="G40" i="2"/>
  <c r="E40" i="2"/>
  <c r="F9" i="2"/>
  <c r="N9" i="2"/>
  <c r="H9" i="2"/>
  <c r="E9" i="2"/>
  <c r="L15" i="7" s="1"/>
  <c r="O9" i="2"/>
  <c r="L9" i="2"/>
  <c r="P9" i="2"/>
  <c r="I9" i="2"/>
  <c r="Q9" i="2"/>
  <c r="K22" i="2"/>
  <c r="J22" i="2"/>
  <c r="N22" i="2"/>
  <c r="Q22" i="2"/>
  <c r="I22" i="2"/>
  <c r="H22" i="2"/>
  <c r="M22" i="2"/>
  <c r="L22" i="2"/>
  <c r="P22" i="2"/>
  <c r="O22" i="2"/>
  <c r="G22" i="2"/>
  <c r="F22" i="2"/>
  <c r="E22" i="2"/>
  <c r="M9" i="2"/>
  <c r="G9" i="2"/>
  <c r="K9" i="2"/>
  <c r="L14" i="7" l="1"/>
  <c r="L17" i="7"/>
  <c r="L16" i="7"/>
  <c r="F75" i="6"/>
  <c r="F77" i="6"/>
  <c r="F76" i="6"/>
  <c r="F57" i="6"/>
  <c r="F56" i="6"/>
  <c r="F55" i="6"/>
  <c r="F99" i="6"/>
  <c r="F100" i="6"/>
  <c r="F101" i="6"/>
  <c r="F87" i="6"/>
  <c r="F88" i="6"/>
  <c r="F89" i="6"/>
  <c r="F60" i="6"/>
  <c r="F61" i="6"/>
  <c r="F59" i="6"/>
  <c r="F71" i="6"/>
  <c r="F72" i="6"/>
  <c r="F73" i="6"/>
  <c r="F67" i="6"/>
  <c r="F69" i="6"/>
  <c r="F68" i="6"/>
  <c r="F92" i="6"/>
  <c r="F91" i="6"/>
  <c r="F93" i="6"/>
  <c r="F81" i="6"/>
  <c r="F79" i="6"/>
  <c r="F80" i="6"/>
  <c r="F63" i="6"/>
  <c r="F64" i="6"/>
  <c r="F65" i="6"/>
  <c r="F84" i="6"/>
  <c r="F83" i="6"/>
  <c r="F85" i="6"/>
  <c r="F95" i="6"/>
  <c r="F96" i="6"/>
  <c r="F97" i="6"/>
  <c r="Y11" i="7"/>
  <c r="Q14" i="7"/>
  <c r="AD18" i="7"/>
  <c r="Z18" i="7"/>
  <c r="AA18" i="7"/>
  <c r="AB18" i="7"/>
  <c r="AC18" i="7"/>
  <c r="Y18" i="7"/>
  <c r="V14" i="7"/>
  <c r="T14" i="7"/>
  <c r="X17" i="7"/>
  <c r="W17" i="7"/>
  <c r="U17" i="7"/>
  <c r="V17" i="7"/>
  <c r="S17" i="7"/>
  <c r="T17" i="7"/>
  <c r="K18" i="7"/>
  <c r="F18" i="7"/>
  <c r="D18" i="7"/>
  <c r="I18" i="7" s="1"/>
  <c r="L18" i="7"/>
  <c r="E19" i="7"/>
  <c r="H19" i="7"/>
  <c r="O14" i="7"/>
  <c r="D16" i="7"/>
  <c r="I15" i="7"/>
  <c r="K15" i="7" s="1"/>
  <c r="M15" i="7"/>
  <c r="N15" i="7"/>
  <c r="C20" i="7"/>
  <c r="J19" i="7"/>
  <c r="R14" i="7"/>
  <c r="G83" i="6" l="1"/>
  <c r="K83" i="6"/>
  <c r="J83" i="6"/>
  <c r="G93" i="6"/>
  <c r="J93" i="6"/>
  <c r="K93" i="6"/>
  <c r="G71" i="6"/>
  <c r="K71" i="6"/>
  <c r="J71" i="6"/>
  <c r="G100" i="6"/>
  <c r="K100" i="6"/>
  <c r="J100" i="6"/>
  <c r="G84" i="6"/>
  <c r="K84" i="6"/>
  <c r="J84" i="6"/>
  <c r="K59" i="6"/>
  <c r="G59" i="6"/>
  <c r="J59" i="6"/>
  <c r="G92" i="6"/>
  <c r="J92" i="6"/>
  <c r="K92" i="6"/>
  <c r="G55" i="6"/>
  <c r="K55" i="6"/>
  <c r="J55" i="6"/>
  <c r="G64" i="6"/>
  <c r="K64" i="6"/>
  <c r="J64" i="6"/>
  <c r="G68" i="6"/>
  <c r="J68" i="6"/>
  <c r="K68" i="6"/>
  <c r="G60" i="6"/>
  <c r="K60" i="6"/>
  <c r="J60" i="6"/>
  <c r="G56" i="6"/>
  <c r="J56" i="6"/>
  <c r="K56" i="6"/>
  <c r="G99" i="6"/>
  <c r="K99" i="6"/>
  <c r="J99" i="6"/>
  <c r="G61" i="6"/>
  <c r="K61" i="6"/>
  <c r="J61" i="6"/>
  <c r="G97" i="6"/>
  <c r="K97" i="6"/>
  <c r="J97" i="6"/>
  <c r="G63" i="6"/>
  <c r="K63" i="6"/>
  <c r="J63" i="6"/>
  <c r="G69" i="6"/>
  <c r="K69" i="6"/>
  <c r="J69" i="6"/>
  <c r="G89" i="6"/>
  <c r="K89" i="6"/>
  <c r="J89" i="6"/>
  <c r="G57" i="6"/>
  <c r="K57" i="6"/>
  <c r="J57" i="6"/>
  <c r="G91" i="6"/>
  <c r="K91" i="6"/>
  <c r="J91" i="6"/>
  <c r="K96" i="6"/>
  <c r="G96" i="6"/>
  <c r="J96" i="6"/>
  <c r="G80" i="6"/>
  <c r="J80" i="6"/>
  <c r="K80" i="6"/>
  <c r="G67" i="6"/>
  <c r="K67" i="6"/>
  <c r="J67" i="6"/>
  <c r="G88" i="6"/>
  <c r="K88" i="6"/>
  <c r="J88" i="6"/>
  <c r="G76" i="6"/>
  <c r="K76" i="6"/>
  <c r="J76" i="6"/>
  <c r="G65" i="6"/>
  <c r="J65" i="6"/>
  <c r="K65" i="6"/>
  <c r="K95" i="6"/>
  <c r="G95" i="6"/>
  <c r="J95" i="6"/>
  <c r="K79" i="6"/>
  <c r="G79" i="6"/>
  <c r="J79" i="6"/>
  <c r="G73" i="6"/>
  <c r="K73" i="6"/>
  <c r="J73" i="6"/>
  <c r="G87" i="6"/>
  <c r="J87" i="6"/>
  <c r="K87" i="6"/>
  <c r="G77" i="6"/>
  <c r="K77" i="6"/>
  <c r="J77" i="6"/>
  <c r="G85" i="6"/>
  <c r="K85" i="6"/>
  <c r="J85" i="6"/>
  <c r="G81" i="6"/>
  <c r="J81" i="6"/>
  <c r="K81" i="6"/>
  <c r="L81" i="6" s="1"/>
  <c r="G72" i="6"/>
  <c r="K72" i="6"/>
  <c r="J72" i="6"/>
  <c r="G101" i="6"/>
  <c r="K101" i="6"/>
  <c r="J101" i="6"/>
  <c r="G75" i="6"/>
  <c r="J75" i="6"/>
  <c r="K75" i="6"/>
  <c r="T18" i="7"/>
  <c r="X18" i="7"/>
  <c r="W18" i="7"/>
  <c r="U18" i="7"/>
  <c r="V18" i="7"/>
  <c r="S18" i="7"/>
  <c r="AD19" i="7"/>
  <c r="Z19" i="7"/>
  <c r="AA19" i="7"/>
  <c r="AB19" i="7"/>
  <c r="AC19" i="7"/>
  <c r="V15" i="7"/>
  <c r="T15" i="7"/>
  <c r="K19" i="7"/>
  <c r="F19" i="7"/>
  <c r="D19" i="7"/>
  <c r="I19" i="7" s="1"/>
  <c r="L19" i="7"/>
  <c r="E20" i="7"/>
  <c r="H20" i="7"/>
  <c r="Q15" i="7"/>
  <c r="O15" i="7"/>
  <c r="M18" i="7"/>
  <c r="P18" i="7"/>
  <c r="Q18" i="7"/>
  <c r="R18" i="7"/>
  <c r="O18" i="7"/>
  <c r="N18" i="7"/>
  <c r="D17" i="7"/>
  <c r="I17" i="7" s="1"/>
  <c r="K17" i="7" s="1"/>
  <c r="I16" i="7"/>
  <c r="K16" i="7" s="1"/>
  <c r="N16" i="7"/>
  <c r="M16" i="7"/>
  <c r="C21" i="7"/>
  <c r="J20" i="7"/>
  <c r="P15" i="7"/>
  <c r="R15" i="7"/>
  <c r="P14" i="7"/>
  <c r="L72" i="6" l="1"/>
  <c r="L89" i="6"/>
  <c r="R89" i="6" s="1"/>
  <c r="L91" i="6"/>
  <c r="N91" i="6" s="1"/>
  <c r="L96" i="6"/>
  <c r="N96" i="6" s="1"/>
  <c r="L101" i="6"/>
  <c r="Q101" i="6" s="1"/>
  <c r="L57" i="6"/>
  <c r="R57" i="6" s="1"/>
  <c r="L60" i="6"/>
  <c r="N60" i="6" s="1"/>
  <c r="L59" i="6"/>
  <c r="N59" i="6" s="1"/>
  <c r="L71" i="6"/>
  <c r="N71" i="6" s="1"/>
  <c r="L95" i="6"/>
  <c r="R95" i="6" s="1"/>
  <c r="L75" i="6"/>
  <c r="Q75" i="6" s="1"/>
  <c r="L87" i="6"/>
  <c r="Q87" i="6" s="1"/>
  <c r="L80" i="6"/>
  <c r="Q80" i="6" s="1"/>
  <c r="M85" i="6"/>
  <c r="P85" i="6"/>
  <c r="M63" i="6"/>
  <c r="P63" i="6"/>
  <c r="L85" i="6"/>
  <c r="M96" i="6"/>
  <c r="P96" i="6"/>
  <c r="L63" i="6"/>
  <c r="M99" i="6"/>
  <c r="P99" i="6"/>
  <c r="L55" i="6"/>
  <c r="P84" i="6"/>
  <c r="M84" i="6"/>
  <c r="M88" i="6"/>
  <c r="P88" i="6"/>
  <c r="M55" i="6"/>
  <c r="P55" i="6"/>
  <c r="P73" i="6"/>
  <c r="M73" i="6"/>
  <c r="L88" i="6"/>
  <c r="P72" i="6"/>
  <c r="M72" i="6"/>
  <c r="L73" i="6"/>
  <c r="L65" i="6"/>
  <c r="M89" i="6"/>
  <c r="P89" i="6"/>
  <c r="L99" i="6"/>
  <c r="L68" i="6"/>
  <c r="L84" i="6"/>
  <c r="L93" i="6"/>
  <c r="P65" i="6"/>
  <c r="M65" i="6"/>
  <c r="M67" i="6"/>
  <c r="P67" i="6"/>
  <c r="R96" i="6"/>
  <c r="O89" i="6"/>
  <c r="P97" i="6"/>
  <c r="M97" i="6"/>
  <c r="P68" i="6"/>
  <c r="M68" i="6"/>
  <c r="L92" i="6"/>
  <c r="M93" i="6"/>
  <c r="P93" i="6"/>
  <c r="L77" i="6"/>
  <c r="M79" i="6"/>
  <c r="P79" i="6"/>
  <c r="L67" i="6"/>
  <c r="M91" i="6"/>
  <c r="P91" i="6"/>
  <c r="L97" i="6"/>
  <c r="L56" i="6"/>
  <c r="M92" i="6"/>
  <c r="P92" i="6"/>
  <c r="M100" i="6"/>
  <c r="P100" i="6"/>
  <c r="P77" i="6"/>
  <c r="M77" i="6"/>
  <c r="P76" i="6"/>
  <c r="M76" i="6"/>
  <c r="R91" i="6"/>
  <c r="O91" i="6"/>
  <c r="Q91" i="6"/>
  <c r="M69" i="6"/>
  <c r="P69" i="6"/>
  <c r="M56" i="6"/>
  <c r="P56" i="6"/>
  <c r="M64" i="6"/>
  <c r="P64" i="6"/>
  <c r="L100" i="6"/>
  <c r="M83" i="6"/>
  <c r="P83" i="6"/>
  <c r="M81" i="6"/>
  <c r="P81" i="6"/>
  <c r="L79" i="6"/>
  <c r="L76" i="6"/>
  <c r="L69" i="6"/>
  <c r="M61" i="6"/>
  <c r="P61" i="6"/>
  <c r="L64" i="6"/>
  <c r="M59" i="6"/>
  <c r="P59" i="6"/>
  <c r="L83" i="6"/>
  <c r="R72" i="6"/>
  <c r="O72" i="6"/>
  <c r="Q72" i="6"/>
  <c r="N72" i="6"/>
  <c r="M75" i="6"/>
  <c r="P75" i="6"/>
  <c r="R81" i="6"/>
  <c r="O81" i="6"/>
  <c r="Q81" i="6"/>
  <c r="N81" i="6"/>
  <c r="P101" i="6"/>
  <c r="M101" i="6"/>
  <c r="P87" i="6"/>
  <c r="M87" i="6"/>
  <c r="M95" i="6"/>
  <c r="P95" i="6"/>
  <c r="P80" i="6"/>
  <c r="M80" i="6"/>
  <c r="P57" i="6"/>
  <c r="M57" i="6"/>
  <c r="L61" i="6"/>
  <c r="M60" i="6"/>
  <c r="P60" i="6"/>
  <c r="M71" i="6"/>
  <c r="P71" i="6"/>
  <c r="S19" i="7"/>
  <c r="T19" i="7"/>
  <c r="X19" i="7"/>
  <c r="W19" i="7"/>
  <c r="U19" i="7"/>
  <c r="V19" i="7"/>
  <c r="V16" i="7"/>
  <c r="T16" i="7"/>
  <c r="S14" i="7"/>
  <c r="S15" i="7"/>
  <c r="F20" i="7"/>
  <c r="D20" i="7"/>
  <c r="I20" i="7" s="1"/>
  <c r="K20" i="7" s="1"/>
  <c r="L20" i="7"/>
  <c r="E21" i="7"/>
  <c r="H21" i="7"/>
  <c r="Q16" i="7"/>
  <c r="O16" i="7"/>
  <c r="R19" i="7"/>
  <c r="M19" i="7"/>
  <c r="P19" i="7"/>
  <c r="Q19" i="7"/>
  <c r="O19" i="7"/>
  <c r="N19" i="7"/>
  <c r="J21" i="7"/>
  <c r="C22" i="7"/>
  <c r="P16" i="7"/>
  <c r="R16" i="7"/>
  <c r="N89" i="6" l="1"/>
  <c r="Q89" i="6"/>
  <c r="Q96" i="6"/>
  <c r="O96" i="6"/>
  <c r="R101" i="6"/>
  <c r="R80" i="6"/>
  <c r="O80" i="6"/>
  <c r="O101" i="6"/>
  <c r="N57" i="6"/>
  <c r="N80" i="6"/>
  <c r="N101" i="6"/>
  <c r="O57" i="6"/>
  <c r="O60" i="6"/>
  <c r="Q60" i="6"/>
  <c r="R60" i="6"/>
  <c r="Q57" i="6"/>
  <c r="N95" i="6"/>
  <c r="O95" i="6"/>
  <c r="Q71" i="6"/>
  <c r="R75" i="6"/>
  <c r="O71" i="6"/>
  <c r="R71" i="6"/>
  <c r="R59" i="6"/>
  <c r="N75" i="6"/>
  <c r="O75" i="6"/>
  <c r="Q59" i="6"/>
  <c r="N87" i="6"/>
  <c r="Q95" i="6"/>
  <c r="O59" i="6"/>
  <c r="O87" i="6"/>
  <c r="R87" i="6"/>
  <c r="R69" i="6"/>
  <c r="O69" i="6"/>
  <c r="N69" i="6"/>
  <c r="Q69" i="6"/>
  <c r="R99" i="6"/>
  <c r="O99" i="6"/>
  <c r="Q99" i="6"/>
  <c r="N99" i="6"/>
  <c r="R88" i="6"/>
  <c r="O88" i="6"/>
  <c r="N88" i="6"/>
  <c r="Q88" i="6"/>
  <c r="R67" i="6"/>
  <c r="O67" i="6"/>
  <c r="Q67" i="6"/>
  <c r="N67" i="6"/>
  <c r="R97" i="6"/>
  <c r="O97" i="6"/>
  <c r="Q97" i="6"/>
  <c r="N97" i="6"/>
  <c r="R68" i="6"/>
  <c r="N68" i="6"/>
  <c r="O68" i="6"/>
  <c r="Q68" i="6"/>
  <c r="R83" i="6"/>
  <c r="O83" i="6"/>
  <c r="N83" i="6"/>
  <c r="Q83" i="6"/>
  <c r="R100" i="6"/>
  <c r="N100" i="6"/>
  <c r="Q100" i="6"/>
  <c r="O100" i="6"/>
  <c r="N65" i="6"/>
  <c r="R65" i="6"/>
  <c r="Q65" i="6"/>
  <c r="O65" i="6"/>
  <c r="Q63" i="6"/>
  <c r="R63" i="6"/>
  <c r="N63" i="6"/>
  <c r="O63" i="6"/>
  <c r="R92" i="6"/>
  <c r="N92" i="6"/>
  <c r="O92" i="6"/>
  <c r="Q92" i="6"/>
  <c r="R73" i="6"/>
  <c r="N73" i="6"/>
  <c r="O73" i="6"/>
  <c r="Q73" i="6"/>
  <c r="Q55" i="6"/>
  <c r="R55" i="6"/>
  <c r="O55" i="6"/>
  <c r="N55" i="6"/>
  <c r="N64" i="6"/>
  <c r="Q64" i="6"/>
  <c r="O64" i="6"/>
  <c r="R64" i="6"/>
  <c r="R77" i="6"/>
  <c r="O77" i="6"/>
  <c r="Q77" i="6"/>
  <c r="N77" i="6"/>
  <c r="R93" i="6"/>
  <c r="O93" i="6"/>
  <c r="Q93" i="6"/>
  <c r="N93" i="6"/>
  <c r="O61" i="6"/>
  <c r="R61" i="6"/>
  <c r="Q61" i="6"/>
  <c r="N61" i="6"/>
  <c r="R76" i="6"/>
  <c r="N76" i="6"/>
  <c r="O76" i="6"/>
  <c r="Q76" i="6"/>
  <c r="R79" i="6"/>
  <c r="O79" i="6"/>
  <c r="N79" i="6"/>
  <c r="Q79" i="6"/>
  <c r="R56" i="6"/>
  <c r="O56" i="6"/>
  <c r="Q56" i="6"/>
  <c r="N56" i="6"/>
  <c r="R84" i="6"/>
  <c r="N84" i="6"/>
  <c r="Q84" i="6"/>
  <c r="O84" i="6"/>
  <c r="R85" i="6"/>
  <c r="Q85" i="6"/>
  <c r="O85" i="6"/>
  <c r="N85" i="6"/>
  <c r="S16" i="7"/>
  <c r="D21" i="7"/>
  <c r="F21" i="7"/>
  <c r="L21" i="7"/>
  <c r="E22" i="7"/>
  <c r="H22" i="7"/>
  <c r="M20" i="7"/>
  <c r="V20" i="7" s="1"/>
  <c r="J22" i="7"/>
  <c r="C23" i="7"/>
  <c r="U15" i="7"/>
  <c r="U14" i="7"/>
  <c r="F22" i="7" l="1"/>
  <c r="L22" i="7"/>
  <c r="H23" i="7"/>
  <c r="E23" i="7"/>
  <c r="M21" i="7"/>
  <c r="V21" i="7" s="1"/>
  <c r="D22" i="7"/>
  <c r="I21" i="7"/>
  <c r="K21" i="7" s="1"/>
  <c r="C24" i="7"/>
  <c r="J23" i="7"/>
  <c r="W14" i="7"/>
  <c r="U16" i="7"/>
  <c r="W15" i="7"/>
  <c r="X15" i="7" l="1"/>
  <c r="X14" i="7"/>
  <c r="D23" i="7"/>
  <c r="I22" i="7"/>
  <c r="K22" i="7" s="1"/>
  <c r="H24" i="7"/>
  <c r="E24" i="7"/>
  <c r="M22" i="7"/>
  <c r="V22" i="7" s="1"/>
  <c r="F23" i="7"/>
  <c r="L23" i="7"/>
  <c r="C25" i="7"/>
  <c r="J24" i="7"/>
  <c r="W16" i="7"/>
  <c r="F35" i="6" l="1"/>
  <c r="E35" i="6" s="1"/>
  <c r="AA14" i="7"/>
  <c r="Z14" i="7"/>
  <c r="Y14" i="7"/>
  <c r="X16" i="7"/>
  <c r="Y17" i="7" s="1"/>
  <c r="F24" i="7"/>
  <c r="L24" i="7"/>
  <c r="M23" i="7"/>
  <c r="V23" i="7" s="1"/>
  <c r="D24" i="7"/>
  <c r="I23" i="7"/>
  <c r="K23" i="7" s="1"/>
  <c r="H25" i="7"/>
  <c r="E25" i="7"/>
  <c r="J25" i="7"/>
  <c r="C26" i="7"/>
  <c r="F37" i="6" l="1"/>
  <c r="E37" i="6" s="1"/>
  <c r="AI17" i="7" s="1"/>
  <c r="F41" i="6"/>
  <c r="F36" i="6"/>
  <c r="E36" i="6" s="1"/>
  <c r="AJ15" i="7"/>
  <c r="AI15" i="7"/>
  <c r="AC14" i="7"/>
  <c r="AD14" i="7"/>
  <c r="AB14" i="7"/>
  <c r="Y15" i="7"/>
  <c r="Z15" i="7"/>
  <c r="AA15" i="7"/>
  <c r="AA17" i="7"/>
  <c r="AA16" i="7"/>
  <c r="Z17" i="7"/>
  <c r="Z16" i="7"/>
  <c r="Y19" i="7"/>
  <c r="Y16" i="7"/>
  <c r="D25" i="7"/>
  <c r="I24" i="7"/>
  <c r="K24" i="7" s="1"/>
  <c r="F25" i="7"/>
  <c r="L25" i="7"/>
  <c r="H26" i="7"/>
  <c r="E26" i="7"/>
  <c r="M24" i="7"/>
  <c r="V24" i="7" s="1"/>
  <c r="C27" i="7"/>
  <c r="J26" i="7"/>
  <c r="AJ17" i="7" l="1"/>
  <c r="AJ16" i="7"/>
  <c r="AI16" i="7"/>
  <c r="F40" i="6"/>
  <c r="AJ21" i="7"/>
  <c r="AC16" i="7"/>
  <c r="AD16" i="7"/>
  <c r="AC17" i="7"/>
  <c r="AD17" i="7"/>
  <c r="AC15" i="7"/>
  <c r="AD15" i="7"/>
  <c r="AB16" i="7"/>
  <c r="AB17" i="7"/>
  <c r="AB15" i="7"/>
  <c r="D26" i="7"/>
  <c r="I25" i="7"/>
  <c r="K25" i="7" s="1"/>
  <c r="M25" i="7"/>
  <c r="V25" i="7" s="1"/>
  <c r="E27" i="7"/>
  <c r="H27" i="7"/>
  <c r="F26" i="7"/>
  <c r="L26" i="7"/>
  <c r="C28" i="7"/>
  <c r="N24" i="7" s="1"/>
  <c r="T24" i="7" s="1"/>
  <c r="J27" i="7"/>
  <c r="AJ20" i="7" l="1"/>
  <c r="E40" i="6"/>
  <c r="O24" i="7"/>
  <c r="Q24" i="7"/>
  <c r="D27" i="7"/>
  <c r="I26" i="7"/>
  <c r="K26" i="7" s="1"/>
  <c r="N23" i="7"/>
  <c r="T23" i="7" s="1"/>
  <c r="N21" i="7"/>
  <c r="T21" i="7" s="1"/>
  <c r="N25" i="7"/>
  <c r="Q25" i="7" s="1"/>
  <c r="M26" i="7"/>
  <c r="N26" i="7"/>
  <c r="F27" i="7"/>
  <c r="L27" i="7"/>
  <c r="E28" i="7"/>
  <c r="H28" i="7"/>
  <c r="C29" i="7"/>
  <c r="J28" i="7"/>
  <c r="O26" i="7" l="1"/>
  <c r="V26" i="7"/>
  <c r="T26" i="7"/>
  <c r="T25" i="7"/>
  <c r="Q26" i="7"/>
  <c r="E29" i="7"/>
  <c r="H29" i="7"/>
  <c r="D28" i="7"/>
  <c r="I27" i="7"/>
  <c r="K27" i="7" s="1"/>
  <c r="Q21" i="7"/>
  <c r="O21" i="7"/>
  <c r="O25" i="7"/>
  <c r="Q23" i="7"/>
  <c r="O23" i="7"/>
  <c r="F28" i="7"/>
  <c r="L28" i="7"/>
  <c r="M27" i="7"/>
  <c r="N27" i="7"/>
  <c r="J29" i="7"/>
  <c r="C30" i="7"/>
  <c r="R23" i="7"/>
  <c r="R21" i="7"/>
  <c r="R24" i="7"/>
  <c r="R26" i="7"/>
  <c r="R25" i="7"/>
  <c r="T27" i="7" l="1"/>
  <c r="V27" i="7"/>
  <c r="Q27" i="7"/>
  <c r="O27" i="7"/>
  <c r="D29" i="7"/>
  <c r="I29" i="7" s="1"/>
  <c r="I28" i="7"/>
  <c r="K28" i="7" s="1"/>
  <c r="E30" i="7"/>
  <c r="H30" i="7"/>
  <c r="M28" i="7"/>
  <c r="F29" i="7"/>
  <c r="K29" i="7"/>
  <c r="L29" i="7"/>
  <c r="C31" i="7"/>
  <c r="J30" i="7"/>
  <c r="P25" i="7"/>
  <c r="P27" i="7"/>
  <c r="P21" i="7"/>
  <c r="R27" i="7"/>
  <c r="P24" i="7"/>
  <c r="P23" i="7"/>
  <c r="P26" i="7"/>
  <c r="V28" i="7" l="1"/>
  <c r="S23" i="7"/>
  <c r="S25" i="7"/>
  <c r="S21" i="7"/>
  <c r="S26" i="7"/>
  <c r="S24" i="7"/>
  <c r="S27" i="7"/>
  <c r="H31" i="7"/>
  <c r="E31" i="7"/>
  <c r="L30" i="7"/>
  <c r="D30" i="7"/>
  <c r="I30" i="7" s="1"/>
  <c r="K30" i="7" s="1"/>
  <c r="F30" i="7"/>
  <c r="M29" i="7"/>
  <c r="V29" i="7" s="1"/>
  <c r="C32" i="7"/>
  <c r="N28" i="7" s="1"/>
  <c r="J31" i="7"/>
  <c r="O28" i="7" l="1"/>
  <c r="Q28" i="7"/>
  <c r="T28" i="7"/>
  <c r="N29" i="7"/>
  <c r="O29" i="7" s="1"/>
  <c r="N30" i="7"/>
  <c r="M30" i="7"/>
  <c r="Q30" i="7" s="1"/>
  <c r="L31" i="7"/>
  <c r="D31" i="7"/>
  <c r="I31" i="7" s="1"/>
  <c r="K31" i="7" s="1"/>
  <c r="F31" i="7"/>
  <c r="H32" i="7"/>
  <c r="E32" i="7"/>
  <c r="C33" i="7"/>
  <c r="J32" i="7"/>
  <c r="Q29" i="7" l="1"/>
  <c r="O30" i="7"/>
  <c r="V30" i="7"/>
  <c r="T29" i="7"/>
  <c r="T30" i="7"/>
  <c r="H33" i="7"/>
  <c r="E33" i="7"/>
  <c r="D32" i="7"/>
  <c r="F32" i="7"/>
  <c r="L32" i="7"/>
  <c r="M31" i="7"/>
  <c r="J33" i="7"/>
  <c r="C34" i="7"/>
  <c r="R29" i="7"/>
  <c r="R30" i="7"/>
  <c r="R28" i="7"/>
  <c r="V31" i="7" l="1"/>
  <c r="D33" i="7"/>
  <c r="I32" i="7"/>
  <c r="K32" i="7" s="1"/>
  <c r="E34" i="7"/>
  <c r="H34" i="7"/>
  <c r="M32" i="7"/>
  <c r="V32" i="7" s="1"/>
  <c r="F33" i="7"/>
  <c r="L33" i="7"/>
  <c r="C35" i="7"/>
  <c r="N31" i="7" s="1"/>
  <c r="J34" i="7"/>
  <c r="P30" i="7"/>
  <c r="P29" i="7"/>
  <c r="P28" i="7"/>
  <c r="O31" i="7" l="1"/>
  <c r="Q31" i="7"/>
  <c r="T31" i="7"/>
  <c r="S28" i="7"/>
  <c r="S29" i="7"/>
  <c r="S30" i="7"/>
  <c r="E35" i="7"/>
  <c r="H35" i="7"/>
  <c r="F34" i="7"/>
  <c r="L34" i="7"/>
  <c r="M33" i="7"/>
  <c r="D34" i="7"/>
  <c r="I33" i="7"/>
  <c r="K33" i="7" s="1"/>
  <c r="C36" i="7"/>
  <c r="J35" i="7"/>
  <c r="V33" i="7" l="1"/>
  <c r="M34" i="7"/>
  <c r="N34" i="7"/>
  <c r="E36" i="7"/>
  <c r="H36" i="7"/>
  <c r="N32" i="7"/>
  <c r="T32" i="7" s="1"/>
  <c r="D35" i="7"/>
  <c r="I34" i="7"/>
  <c r="K34" i="7" s="1"/>
  <c r="N33" i="7"/>
  <c r="Q33" i="7" s="1"/>
  <c r="F35" i="7"/>
  <c r="L35" i="7"/>
  <c r="J36" i="7"/>
  <c r="C37" i="7"/>
  <c r="R31" i="7"/>
  <c r="Q34" i="7" l="1"/>
  <c r="V34" i="7"/>
  <c r="T34" i="7"/>
  <c r="T33" i="7"/>
  <c r="F36" i="7"/>
  <c r="L36" i="7"/>
  <c r="O34" i="7"/>
  <c r="M35" i="7"/>
  <c r="O35" i="7" s="1"/>
  <c r="N35" i="7"/>
  <c r="D36" i="7"/>
  <c r="I35" i="7"/>
  <c r="K35" i="7" s="1"/>
  <c r="E37" i="7"/>
  <c r="H37" i="7"/>
  <c r="O32" i="7"/>
  <c r="Q32" i="7"/>
  <c r="O33" i="7"/>
  <c r="C38" i="7"/>
  <c r="J37" i="7"/>
  <c r="R33" i="7"/>
  <c r="R32" i="7"/>
  <c r="P31" i="7"/>
  <c r="R34" i="7"/>
  <c r="S31" i="7" l="1"/>
  <c r="V35" i="7"/>
  <c r="T35" i="7"/>
  <c r="Q35" i="7"/>
  <c r="F37" i="7"/>
  <c r="L37" i="7"/>
  <c r="E38" i="7"/>
  <c r="H38" i="7"/>
  <c r="D37" i="7"/>
  <c r="I37" i="7" s="1"/>
  <c r="I36" i="7"/>
  <c r="N36" i="7"/>
  <c r="M36" i="7"/>
  <c r="C39" i="7"/>
  <c r="J38" i="7"/>
  <c r="P32" i="7"/>
  <c r="P35" i="7"/>
  <c r="P33" i="7"/>
  <c r="R35" i="7"/>
  <c r="P34" i="7"/>
  <c r="Q36" i="7" l="1"/>
  <c r="T36" i="7"/>
  <c r="V36" i="7"/>
  <c r="V37" i="7"/>
  <c r="T37" i="7"/>
  <c r="AB38" i="7"/>
  <c r="Y38" i="7"/>
  <c r="AD38" i="7"/>
  <c r="AC38" i="7"/>
  <c r="Z38" i="7"/>
  <c r="AA38" i="7"/>
  <c r="S35" i="7"/>
  <c r="S32" i="7"/>
  <c r="S34" i="7"/>
  <c r="S33" i="7"/>
  <c r="L38" i="7"/>
  <c r="D38" i="7"/>
  <c r="I38" i="7" s="1"/>
  <c r="K38" i="7"/>
  <c r="F38" i="7"/>
  <c r="H39" i="7"/>
  <c r="E39" i="7"/>
  <c r="O36" i="7"/>
  <c r="N37" i="7"/>
  <c r="M37" i="7"/>
  <c r="O37" i="7" s="1"/>
  <c r="C40" i="7"/>
  <c r="J39" i="7"/>
  <c r="U30" i="7"/>
  <c r="U29" i="7"/>
  <c r="P37" i="7"/>
  <c r="U31" i="7"/>
  <c r="R36" i="7"/>
  <c r="P36" i="7"/>
  <c r="X38" i="7" l="1"/>
  <c r="W38" i="7"/>
  <c r="S38" i="7"/>
  <c r="V38" i="7"/>
  <c r="U38" i="7"/>
  <c r="T38" i="7"/>
  <c r="AB39" i="7"/>
  <c r="Y39" i="7"/>
  <c r="AC39" i="7"/>
  <c r="AD39" i="7"/>
  <c r="Z39" i="7"/>
  <c r="AA39" i="7"/>
  <c r="S36" i="7"/>
  <c r="L39" i="7"/>
  <c r="D39" i="7"/>
  <c r="I39" i="7" s="1"/>
  <c r="K39" i="7"/>
  <c r="F39" i="7"/>
  <c r="H40" i="7"/>
  <c r="E40" i="7"/>
  <c r="O38" i="7"/>
  <c r="N38" i="7"/>
  <c r="R38" i="7"/>
  <c r="M38" i="7"/>
  <c r="Q38" i="7"/>
  <c r="P38" i="7"/>
  <c r="Q37" i="7"/>
  <c r="C41" i="7"/>
  <c r="J40" i="7"/>
  <c r="R37" i="7"/>
  <c r="U32" i="7"/>
  <c r="U35" i="7"/>
  <c r="U33" i="7"/>
  <c r="U34" i="7"/>
  <c r="AA40" i="7" l="1"/>
  <c r="AB40" i="7"/>
  <c r="Y40" i="7"/>
  <c r="AC40" i="7"/>
  <c r="AD40" i="7"/>
  <c r="Z40" i="7"/>
  <c r="X39" i="7"/>
  <c r="W39" i="7"/>
  <c r="V39" i="7"/>
  <c r="U39" i="7"/>
  <c r="S39" i="7"/>
  <c r="T39" i="7"/>
  <c r="S37" i="7"/>
  <c r="L40" i="7"/>
  <c r="D40" i="7"/>
  <c r="I40" i="7" s="1"/>
  <c r="K40" i="7"/>
  <c r="F40" i="7"/>
  <c r="O39" i="7"/>
  <c r="Q39" i="7"/>
  <c r="P39" i="7"/>
  <c r="N39" i="7"/>
  <c r="R39" i="7"/>
  <c r="M39" i="7"/>
  <c r="H41" i="7"/>
  <c r="E41" i="7"/>
  <c r="C42" i="7"/>
  <c r="J41" i="7"/>
  <c r="U37" i="7"/>
  <c r="U36" i="7"/>
  <c r="W34" i="7"/>
  <c r="W35" i="7"/>
  <c r="AA41" i="7" l="1"/>
  <c r="AB41" i="7"/>
  <c r="Y41" i="7"/>
  <c r="AC41" i="7"/>
  <c r="AD41" i="7"/>
  <c r="Z41" i="7"/>
  <c r="U40" i="7"/>
  <c r="X40" i="7"/>
  <c r="W40" i="7"/>
  <c r="V40" i="7"/>
  <c r="S40" i="7"/>
  <c r="T40" i="7"/>
  <c r="X34" i="7"/>
  <c r="X35" i="7"/>
  <c r="E42" i="7"/>
  <c r="H42" i="7"/>
  <c r="Q40" i="7"/>
  <c r="P40" i="7"/>
  <c r="O40" i="7"/>
  <c r="N40" i="7"/>
  <c r="R40" i="7"/>
  <c r="M40" i="7"/>
  <c r="K41" i="7"/>
  <c r="F41" i="7"/>
  <c r="L41" i="7"/>
  <c r="D41" i="7"/>
  <c r="I41" i="7" s="1"/>
  <c r="C43" i="7"/>
  <c r="J42" i="7"/>
  <c r="W37" i="7"/>
  <c r="W36" i="7"/>
  <c r="X41" i="7" l="1"/>
  <c r="W41" i="7"/>
  <c r="U41" i="7"/>
  <c r="V41" i="7"/>
  <c r="T41" i="7"/>
  <c r="S41" i="7"/>
  <c r="AD42" i="7"/>
  <c r="Z42" i="7"/>
  <c r="AB42" i="7"/>
  <c r="Y42" i="7"/>
  <c r="AA42" i="7"/>
  <c r="AC42" i="7"/>
  <c r="X36" i="7"/>
  <c r="X37" i="7"/>
  <c r="E43" i="7"/>
  <c r="H43" i="7"/>
  <c r="Q41" i="7"/>
  <c r="P41" i="7"/>
  <c r="M41" i="7"/>
  <c r="O41" i="7"/>
  <c r="R41" i="7"/>
  <c r="N41" i="7"/>
  <c r="D42" i="7"/>
  <c r="I42" i="7" s="1"/>
  <c r="K42" i="7"/>
  <c r="F42" i="7"/>
  <c r="L42" i="7"/>
  <c r="C44" i="7"/>
  <c r="J43" i="7"/>
  <c r="AD43" i="7" l="1"/>
  <c r="Z43" i="7"/>
  <c r="AB43" i="7"/>
  <c r="AA43" i="7"/>
  <c r="Y43" i="7"/>
  <c r="AC43" i="7"/>
  <c r="T42" i="7"/>
  <c r="S42" i="7"/>
  <c r="W42" i="7"/>
  <c r="X42" i="7"/>
  <c r="V42" i="7"/>
  <c r="U42" i="7"/>
  <c r="R42" i="7"/>
  <c r="M42" i="7"/>
  <c r="Q42" i="7"/>
  <c r="P42" i="7"/>
  <c r="O42" i="7"/>
  <c r="N42" i="7"/>
  <c r="E44" i="7"/>
  <c r="H44" i="7"/>
  <c r="D43" i="7"/>
  <c r="I43" i="7" s="1"/>
  <c r="L43" i="7"/>
  <c r="K43" i="7"/>
  <c r="F43" i="7"/>
  <c r="J44" i="7"/>
  <c r="C45" i="7"/>
  <c r="AC44" i="7" l="1"/>
  <c r="AD44" i="7"/>
  <c r="Z44" i="7"/>
  <c r="AA44" i="7"/>
  <c r="AB44" i="7"/>
  <c r="Y44" i="7"/>
  <c r="T43" i="7"/>
  <c r="S43" i="7"/>
  <c r="W43" i="7"/>
  <c r="X43" i="7"/>
  <c r="V43" i="7"/>
  <c r="U43" i="7"/>
  <c r="L44" i="7"/>
  <c r="D44" i="7"/>
  <c r="I44" i="7" s="1"/>
  <c r="K44" i="7"/>
  <c r="F44" i="7"/>
  <c r="E45" i="7"/>
  <c r="H45" i="7"/>
  <c r="R43" i="7"/>
  <c r="M43" i="7"/>
  <c r="Q43" i="7"/>
  <c r="P43" i="7"/>
  <c r="N43" i="7"/>
  <c r="O43" i="7"/>
  <c r="J45" i="7"/>
  <c r="C46" i="7"/>
  <c r="V44" i="7" l="1"/>
  <c r="U44" i="7"/>
  <c r="T44" i="7"/>
  <c r="S44" i="7"/>
  <c r="X44" i="7"/>
  <c r="W44" i="7"/>
  <c r="AC45" i="7"/>
  <c r="AD45" i="7"/>
  <c r="Z45" i="7"/>
  <c r="AA45" i="7"/>
  <c r="AB45" i="7"/>
  <c r="Y45" i="7"/>
  <c r="E46" i="7"/>
  <c r="H46" i="7"/>
  <c r="N44" i="7"/>
  <c r="R44" i="7"/>
  <c r="M44" i="7"/>
  <c r="Q44" i="7"/>
  <c r="P44" i="7"/>
  <c r="O44" i="7"/>
  <c r="L45" i="7"/>
  <c r="D45" i="7"/>
  <c r="I45" i="7" s="1"/>
  <c r="K45" i="7"/>
  <c r="F45" i="7"/>
  <c r="J46" i="7"/>
  <c r="C47" i="7"/>
  <c r="AB46" i="7" l="1"/>
  <c r="Y46" i="7"/>
  <c r="Z46" i="7"/>
  <c r="AC46" i="7"/>
  <c r="AD46" i="7"/>
  <c r="AA46" i="7"/>
  <c r="U45" i="7"/>
  <c r="T45" i="7"/>
  <c r="S45" i="7"/>
  <c r="V45" i="7"/>
  <c r="X45" i="7"/>
  <c r="W45" i="7"/>
  <c r="H47" i="7"/>
  <c r="E47" i="7"/>
  <c r="N45" i="7"/>
  <c r="R45" i="7"/>
  <c r="M45" i="7"/>
  <c r="Q45" i="7"/>
  <c r="P45" i="7"/>
  <c r="O45" i="7"/>
  <c r="L46" i="7"/>
  <c r="D46" i="7"/>
  <c r="I46" i="7" s="1"/>
  <c r="K46" i="7"/>
  <c r="F46" i="7"/>
  <c r="C48" i="7"/>
  <c r="J47" i="7"/>
  <c r="AB47" i="7" l="1"/>
  <c r="Y47" i="7"/>
  <c r="AC47" i="7"/>
  <c r="AD47" i="7"/>
  <c r="Z47" i="7"/>
  <c r="AA47" i="7"/>
  <c r="X46" i="7"/>
  <c r="W46" i="7"/>
  <c r="T46" i="7"/>
  <c r="V46" i="7"/>
  <c r="U46" i="7"/>
  <c r="S46" i="7"/>
  <c r="O46" i="7"/>
  <c r="N46" i="7"/>
  <c r="R46" i="7"/>
  <c r="M46" i="7"/>
  <c r="Q46" i="7"/>
  <c r="P46" i="7"/>
  <c r="L47" i="7"/>
  <c r="D47" i="7"/>
  <c r="I47" i="7" s="1"/>
  <c r="K47" i="7"/>
  <c r="F47" i="7"/>
  <c r="H48" i="7"/>
  <c r="E48" i="7"/>
  <c r="C49" i="7"/>
  <c r="J48" i="7"/>
  <c r="AA48" i="7" l="1"/>
  <c r="AC48" i="7"/>
  <c r="AB48" i="7"/>
  <c r="Y48" i="7"/>
  <c r="AD48" i="7"/>
  <c r="Z48" i="7"/>
  <c r="X47" i="7"/>
  <c r="W47" i="7"/>
  <c r="V47" i="7"/>
  <c r="U47" i="7"/>
  <c r="T47" i="7"/>
  <c r="S47" i="7"/>
  <c r="H49" i="7"/>
  <c r="O47" i="7"/>
  <c r="N47" i="7"/>
  <c r="R47" i="7"/>
  <c r="M47" i="7"/>
  <c r="Q47" i="7"/>
  <c r="P47" i="7"/>
  <c r="F48" i="7"/>
  <c r="K48" i="7"/>
  <c r="L48" i="7"/>
  <c r="D48" i="7"/>
  <c r="I48" i="7" s="1"/>
  <c r="J49" i="7"/>
  <c r="C50" i="7"/>
  <c r="AA49" i="7" l="1"/>
  <c r="AC49" i="7"/>
  <c r="AB49" i="7"/>
  <c r="Y49" i="7"/>
  <c r="AD49" i="7"/>
  <c r="Z49" i="7"/>
  <c r="V48" i="7"/>
  <c r="X48" i="7"/>
  <c r="W48" i="7"/>
  <c r="U48" i="7"/>
  <c r="T48" i="7"/>
  <c r="S48" i="7"/>
  <c r="K49" i="7"/>
  <c r="F49" i="7"/>
  <c r="L49" i="7"/>
  <c r="D49" i="7"/>
  <c r="I49" i="7" s="1"/>
  <c r="H50" i="7"/>
  <c r="E50" i="7"/>
  <c r="Q48" i="7"/>
  <c r="P48" i="7"/>
  <c r="O48" i="7"/>
  <c r="N48" i="7"/>
  <c r="R48" i="7"/>
  <c r="M48" i="7"/>
  <c r="C51" i="7"/>
  <c r="J50" i="7"/>
  <c r="X49" i="7" l="1"/>
  <c r="W49" i="7"/>
  <c r="S49" i="7"/>
  <c r="V49" i="7"/>
  <c r="U49" i="7"/>
  <c r="T49" i="7"/>
  <c r="AD50" i="7"/>
  <c r="Z50" i="7"/>
  <c r="AA50" i="7"/>
  <c r="AB50" i="7"/>
  <c r="Y50" i="7"/>
  <c r="AC50" i="7"/>
  <c r="K50" i="7"/>
  <c r="F50" i="7"/>
  <c r="L50" i="7"/>
  <c r="D50" i="7"/>
  <c r="I50" i="7" s="1"/>
  <c r="E51" i="7"/>
  <c r="H51" i="7"/>
  <c r="Q49" i="7"/>
  <c r="P49" i="7"/>
  <c r="O49" i="7"/>
  <c r="M49" i="7"/>
  <c r="N49" i="7"/>
  <c r="R49" i="7"/>
  <c r="C52" i="7"/>
  <c r="J51" i="7"/>
  <c r="T50" i="7" l="1"/>
  <c r="S50" i="7"/>
  <c r="X50" i="7"/>
  <c r="W50" i="7"/>
  <c r="V50" i="7"/>
  <c r="U50" i="7"/>
  <c r="AD51" i="7"/>
  <c r="Z51" i="7"/>
  <c r="AA51" i="7"/>
  <c r="AB51" i="7"/>
  <c r="Y51" i="7"/>
  <c r="AC51" i="7"/>
  <c r="D51" i="7"/>
  <c r="I51" i="7" s="1"/>
  <c r="K51" i="7"/>
  <c r="F51" i="7"/>
  <c r="L51" i="7"/>
  <c r="E52" i="7"/>
  <c r="H52" i="7"/>
  <c r="R50" i="7"/>
  <c r="M50" i="7"/>
  <c r="Q50" i="7"/>
  <c r="P50" i="7"/>
  <c r="O50" i="7"/>
  <c r="N50" i="7"/>
  <c r="C53" i="7"/>
  <c r="J52" i="7"/>
  <c r="AC52" i="7" l="1"/>
  <c r="AA52" i="7"/>
  <c r="AD52" i="7"/>
  <c r="Z52" i="7"/>
  <c r="AB52" i="7"/>
  <c r="Y52" i="7"/>
  <c r="T51" i="7"/>
  <c r="S51" i="7"/>
  <c r="U51" i="7"/>
  <c r="X51" i="7"/>
  <c r="W51" i="7"/>
  <c r="V51" i="7"/>
  <c r="E53" i="7"/>
  <c r="H53" i="7"/>
  <c r="R51" i="7"/>
  <c r="M51" i="7"/>
  <c r="Q51" i="7"/>
  <c r="P51" i="7"/>
  <c r="O51" i="7"/>
  <c r="N51" i="7"/>
  <c r="L52" i="7"/>
  <c r="D52" i="7"/>
  <c r="I52" i="7" s="1"/>
  <c r="K52" i="7"/>
  <c r="F52" i="7"/>
  <c r="C54" i="7"/>
  <c r="J53" i="7"/>
  <c r="AC53" i="7" l="1"/>
  <c r="AD53" i="7"/>
  <c r="Z53" i="7"/>
  <c r="AA53" i="7"/>
  <c r="AB53" i="7"/>
  <c r="Y53" i="7"/>
  <c r="V52" i="7"/>
  <c r="U52" i="7"/>
  <c r="T52" i="7"/>
  <c r="S52" i="7"/>
  <c r="X52" i="7"/>
  <c r="W52" i="7"/>
  <c r="N52" i="7"/>
  <c r="R52" i="7"/>
  <c r="M52" i="7"/>
  <c r="Q52" i="7"/>
  <c r="P52" i="7"/>
  <c r="O52" i="7"/>
  <c r="L53" i="7"/>
  <c r="D53" i="7"/>
  <c r="I53" i="7" s="1"/>
  <c r="K53" i="7"/>
  <c r="F53" i="7"/>
  <c r="J54" i="7"/>
  <c r="H54" i="7"/>
  <c r="E54" i="7"/>
  <c r="N20" i="7"/>
  <c r="T20" i="7" s="1"/>
  <c r="N22" i="7"/>
  <c r="T22" i="7" s="1"/>
  <c r="V53" i="7" l="1"/>
  <c r="U53" i="7"/>
  <c r="T53" i="7"/>
  <c r="S53" i="7"/>
  <c r="W53" i="7"/>
  <c r="X53" i="7"/>
  <c r="AB54" i="7"/>
  <c r="Y54" i="7"/>
  <c r="AD54" i="7"/>
  <c r="AC54" i="7"/>
  <c r="Z54" i="7"/>
  <c r="AA54" i="7"/>
  <c r="Q20" i="7"/>
  <c r="O20" i="7"/>
  <c r="L54" i="7"/>
  <c r="D54" i="7"/>
  <c r="I54" i="7" s="1"/>
  <c r="K54" i="7"/>
  <c r="F54" i="7"/>
  <c r="Q22" i="7"/>
  <c r="O22" i="7"/>
  <c r="N53" i="7"/>
  <c r="O53" i="7"/>
  <c r="R53" i="7"/>
  <c r="M53" i="7"/>
  <c r="Q53" i="7"/>
  <c r="P53" i="7"/>
  <c r="P20" i="7"/>
  <c r="R20" i="7"/>
  <c r="R22" i="7"/>
  <c r="P22" i="7"/>
  <c r="X54" i="7" l="1"/>
  <c r="W54" i="7"/>
  <c r="S54" i="7"/>
  <c r="V54" i="7"/>
  <c r="U54" i="7"/>
  <c r="T54" i="7"/>
  <c r="S22" i="7"/>
  <c r="S20" i="7"/>
  <c r="O54" i="7"/>
  <c r="N54" i="7"/>
  <c r="R54" i="7"/>
  <c r="M54" i="7"/>
  <c r="Q54" i="7"/>
  <c r="P54" i="7"/>
  <c r="U28" i="7"/>
  <c r="W28" i="7"/>
  <c r="W30" i="7"/>
  <c r="W29" i="7"/>
  <c r="U21" i="7"/>
  <c r="W32" i="7"/>
  <c r="U23" i="7"/>
  <c r="U26" i="7"/>
  <c r="W33" i="7"/>
  <c r="W31" i="7"/>
  <c r="U24" i="7"/>
  <c r="U27" i="7"/>
  <c r="U25" i="7"/>
  <c r="U22" i="7"/>
  <c r="U20" i="7"/>
  <c r="X29" i="7" l="1"/>
  <c r="X30" i="7"/>
  <c r="X31" i="7"/>
  <c r="X33" i="7"/>
  <c r="X32" i="7"/>
  <c r="X28" i="7"/>
  <c r="W22" i="7"/>
  <c r="W25" i="7"/>
  <c r="W20" i="7"/>
  <c r="W23" i="7"/>
  <c r="W24" i="7"/>
  <c r="W21" i="7"/>
  <c r="W26" i="7"/>
  <c r="W27" i="7"/>
  <c r="X25" i="7" l="1"/>
  <c r="X22" i="7"/>
  <c r="X27" i="7"/>
  <c r="X26" i="7"/>
  <c r="X21" i="7"/>
  <c r="X24" i="7"/>
  <c r="X23" i="7"/>
  <c r="X20" i="7"/>
  <c r="AA30" i="7"/>
  <c r="Z30" i="7"/>
  <c r="AB30" i="7" s="1"/>
  <c r="AA37" i="7"/>
  <c r="AA29" i="7"/>
  <c r="Z37" i="7"/>
  <c r="AB37" i="7" s="1"/>
  <c r="Z29" i="7"/>
  <c r="Y29" i="7"/>
  <c r="Y37" i="7"/>
  <c r="N41" i="6" l="1"/>
  <c r="Y36" i="7"/>
  <c r="N35" i="6"/>
  <c r="M35" i="6" s="1"/>
  <c r="N39" i="6"/>
  <c r="M39" i="6" s="1"/>
  <c r="N38" i="6"/>
  <c r="M38" i="6" s="1"/>
  <c r="N37" i="6"/>
  <c r="M37" i="6" s="1"/>
  <c r="N36" i="6"/>
  <c r="M36" i="6" s="1"/>
  <c r="J41" i="6"/>
  <c r="J35" i="6"/>
  <c r="I35" i="6" s="1"/>
  <c r="J38" i="6"/>
  <c r="I38" i="6" s="1"/>
  <c r="J39" i="6"/>
  <c r="I39" i="6" s="1"/>
  <c r="J37" i="6"/>
  <c r="I37" i="6" s="1"/>
  <c r="J36" i="6"/>
  <c r="I36" i="6" s="1"/>
  <c r="AI20" i="7"/>
  <c r="AI19" i="7"/>
  <c r="AI18" i="7"/>
  <c r="AJ18" i="7"/>
  <c r="AJ19" i="7"/>
  <c r="Z22" i="7"/>
  <c r="AA34" i="7"/>
  <c r="Y33" i="7"/>
  <c r="AA21" i="7"/>
  <c r="Y26" i="7"/>
  <c r="Y23" i="7"/>
  <c r="Z26" i="7"/>
  <c r="Y25" i="7"/>
  <c r="Z36" i="7"/>
  <c r="Z32" i="7"/>
  <c r="AA26" i="7"/>
  <c r="AA20" i="7"/>
  <c r="Y21" i="7"/>
  <c r="Y27" i="7"/>
  <c r="Z33" i="7"/>
  <c r="AA22" i="7"/>
  <c r="AA36" i="7"/>
  <c r="Y34" i="7"/>
  <c r="Y35" i="7"/>
  <c r="Z28" i="7"/>
  <c r="Z24" i="7"/>
  <c r="AA33" i="7"/>
  <c r="Y22" i="7"/>
  <c r="Z21" i="7"/>
  <c r="Z20" i="7"/>
  <c r="AA27" i="7"/>
  <c r="AA28" i="7"/>
  <c r="Y31" i="7"/>
  <c r="Y24" i="7"/>
  <c r="Y28" i="7"/>
  <c r="Z25" i="7"/>
  <c r="Z34" i="7"/>
  <c r="Y20" i="7"/>
  <c r="Y32" i="7"/>
  <c r="Z23" i="7"/>
  <c r="Z27" i="7"/>
  <c r="AA32" i="7"/>
  <c r="AA31" i="7"/>
  <c r="AA23" i="7"/>
  <c r="Z31" i="7"/>
  <c r="Y30" i="7"/>
  <c r="AA24" i="7"/>
  <c r="AA25" i="7"/>
  <c r="Z35" i="7"/>
  <c r="AA35" i="7"/>
  <c r="AB29" i="7"/>
  <c r="AC30" i="7"/>
  <c r="AD30" i="7"/>
  <c r="AD29" i="7"/>
  <c r="AD37" i="7"/>
  <c r="AC29" i="7"/>
  <c r="AC37" i="7"/>
  <c r="E27" i="6" l="1"/>
  <c r="AJ34" i="7"/>
  <c r="E25" i="6"/>
  <c r="E26" i="6" s="1"/>
  <c r="AP28" i="7"/>
  <c r="AQ28" i="7"/>
  <c r="AQ32" i="7"/>
  <c r="AP32" i="7"/>
  <c r="AP29" i="7"/>
  <c r="AQ29" i="7"/>
  <c r="AQ31" i="7"/>
  <c r="AP31" i="7"/>
  <c r="N40" i="6"/>
  <c r="AQ34" i="7"/>
  <c r="AQ30" i="7"/>
  <c r="AP30" i="7"/>
  <c r="J40" i="6"/>
  <c r="I40" i="6" s="1"/>
  <c r="AI32" i="7"/>
  <c r="AJ32" i="7"/>
  <c r="AJ31" i="7"/>
  <c r="AI31" i="7"/>
  <c r="AB22" i="7"/>
  <c r="AB21" i="7"/>
  <c r="AB34" i="7"/>
  <c r="AD36" i="7"/>
  <c r="AD20" i="7"/>
  <c r="AB24" i="7"/>
  <c r="AB27" i="7"/>
  <c r="AC36" i="7"/>
  <c r="AB20" i="7"/>
  <c r="AD22" i="7"/>
  <c r="AC20" i="7"/>
  <c r="AD28" i="7"/>
  <c r="AC34" i="7"/>
  <c r="AC22" i="7"/>
  <c r="AD21" i="7"/>
  <c r="AC21" i="7"/>
  <c r="AD34" i="7"/>
  <c r="AD35" i="7"/>
  <c r="AD32" i="7"/>
  <c r="AC26" i="7"/>
  <c r="AB26" i="7"/>
  <c r="AC28" i="7"/>
  <c r="AD24" i="7"/>
  <c r="AD23" i="7"/>
  <c r="AB33" i="7"/>
  <c r="AD26" i="7"/>
  <c r="AD31" i="7"/>
  <c r="AC32" i="7"/>
  <c r="AC35" i="7"/>
  <c r="AC27" i="7"/>
  <c r="AB28" i="7"/>
  <c r="AD33" i="7"/>
  <c r="AD27" i="7"/>
  <c r="AC33" i="7"/>
  <c r="AC25" i="7"/>
  <c r="AC23" i="7"/>
  <c r="AB23" i="7"/>
  <c r="AB32" i="7"/>
  <c r="AB31" i="7"/>
  <c r="AB36" i="7"/>
  <c r="AC31" i="7"/>
  <c r="AB25" i="7"/>
  <c r="AD25" i="7"/>
  <c r="AC24" i="7"/>
  <c r="AB35" i="7"/>
  <c r="M40" i="6" l="1"/>
  <c r="AP33" i="7" s="1"/>
  <c r="AQ33" i="7"/>
  <c r="AI28" i="7"/>
  <c r="AJ28" i="7"/>
  <c r="AJ30" i="7"/>
  <c r="AI30" i="7"/>
  <c r="AI29" i="7"/>
  <c r="AJ29" i="7"/>
  <c r="AI33" i="7" l="1"/>
  <c r="AJ33" i="7"/>
</calcChain>
</file>

<file path=xl/sharedStrings.xml><?xml version="1.0" encoding="utf-8"?>
<sst xmlns="http://schemas.openxmlformats.org/spreadsheetml/2006/main" count="300" uniqueCount="118">
  <si>
    <t>Settings</t>
  </si>
  <si>
    <t>General</t>
  </si>
  <si>
    <t>Starting Year:</t>
  </si>
  <si>
    <t>Set the starting year (yyyy)</t>
  </si>
  <si>
    <t>Budget Planning</t>
  </si>
  <si>
    <t>Define Starting Year in Settings</t>
  </si>
  <si>
    <t>Income</t>
  </si>
  <si>
    <t>Enter Income Category</t>
  </si>
  <si>
    <t>Total</t>
  </si>
  <si>
    <t>Employment (Net)</t>
  </si>
  <si>
    <t>Side Hustle (Net)</t>
  </si>
  <si>
    <t>Dividends</t>
  </si>
  <si>
    <t>Other Income</t>
  </si>
  <si>
    <t>Expenses</t>
  </si>
  <si>
    <t>Housing</t>
  </si>
  <si>
    <t>Utilities</t>
  </si>
  <si>
    <t>Groceries</t>
  </si>
  <si>
    <t>Enter Expenses Category</t>
  </si>
  <si>
    <t>Savings</t>
  </si>
  <si>
    <t>Emergency Fund</t>
  </si>
  <si>
    <t>Retirement Account</t>
  </si>
  <si>
    <t>Stock Portfolio</t>
  </si>
  <si>
    <t>Other Savings</t>
  </si>
  <si>
    <t>Enter Savings Category</t>
  </si>
  <si>
    <t>To be allocated:</t>
  </si>
  <si>
    <t>Transportation</t>
  </si>
  <si>
    <t>Insurance</t>
  </si>
  <si>
    <t>Clothes</t>
  </si>
  <si>
    <t>Medicine</t>
  </si>
  <si>
    <t>Media</t>
  </si>
  <si>
    <t>Misc</t>
  </si>
  <si>
    <t>Budget Tracking</t>
  </si>
  <si>
    <t>Date</t>
  </si>
  <si>
    <t>Type</t>
  </si>
  <si>
    <t>Category</t>
  </si>
  <si>
    <t>Amount</t>
  </si>
  <si>
    <t>Details</t>
  </si>
  <si>
    <t>Shoes and Shirt at XYZ</t>
  </si>
  <si>
    <t>Balance</t>
  </si>
  <si>
    <t>Effective Date</t>
  </si>
  <si>
    <t>Budget Tracking &amp; Dashboard</t>
  </si>
  <si>
    <t>Late Monthly Income</t>
  </si>
  <si>
    <t>Shift Late Income:</t>
  </si>
  <si>
    <t>Starting on day x in month:</t>
  </si>
  <si>
    <t>Calculations</t>
  </si>
  <si>
    <t>Worksheet: Budget Tracking</t>
  </si>
  <si>
    <t>Today:</t>
  </si>
  <si>
    <t>Last Record:</t>
  </si>
  <si>
    <t>Delta Last Record:</t>
  </si>
  <si>
    <t># of Records:</t>
  </si>
  <si>
    <t># of Records this year:</t>
  </si>
  <si>
    <t>Tracking Balance</t>
  </si>
  <si>
    <t>Balance Analysis Text</t>
  </si>
  <si>
    <t>Budget Dashboard</t>
  </si>
  <si>
    <t>Year</t>
  </si>
  <si>
    <t>Select the year to view:</t>
  </si>
  <si>
    <t>Period</t>
  </si>
  <si>
    <t>Select the period to view:</t>
  </si>
  <si>
    <t>Dropdown Data</t>
  </si>
  <si>
    <t>Year Dropdown</t>
  </si>
  <si>
    <t>Current Year</t>
  </si>
  <si>
    <t>Period Dropdown</t>
  </si>
  <si>
    <t>Total Year</t>
  </si>
  <si>
    <t>Current Month</t>
  </si>
  <si>
    <t>Worksheet: Budget Dashboard</t>
  </si>
  <si>
    <t>Selected Year:</t>
  </si>
  <si>
    <t>Selected Period:</t>
  </si>
  <si>
    <t>Selected Period(Display):</t>
  </si>
  <si>
    <t>row_id</t>
  </si>
  <si>
    <t>header_row_id</t>
  </si>
  <si>
    <t>is_header</t>
  </si>
  <si>
    <t>is_cat</t>
  </si>
  <si>
    <t>is_empty</t>
  </si>
  <si>
    <t>type</t>
  </si>
  <si>
    <t>item</t>
  </si>
  <si>
    <t xml:space="preserve">tracked </t>
  </si>
  <si>
    <t>budget</t>
  </si>
  <si>
    <t>is_total</t>
  </si>
  <si>
    <t>sort_min_row</t>
  </si>
  <si>
    <t>sort_max_row</t>
  </si>
  <si>
    <t>tracked_range</t>
  </si>
  <si>
    <t>budget_range</t>
  </si>
  <si>
    <t>budget_rank</t>
  </si>
  <si>
    <t>tracked_rank</t>
  </si>
  <si>
    <t>comb_rank</t>
  </si>
  <si>
    <t>comb_rank_range</t>
  </si>
  <si>
    <t>comb_rank_norm_run_range</t>
  </si>
  <si>
    <t>comb_rank_unique</t>
  </si>
  <si>
    <t>comb_rank_norm</t>
  </si>
  <si>
    <t>sorted_row_id [Lookup]</t>
  </si>
  <si>
    <t>Active</t>
  </si>
  <si>
    <r>
      <t xml:space="preserve">Chart Calculations: </t>
    </r>
    <r>
      <rPr>
        <sz val="11"/>
        <color rgb="FF00B0F0"/>
        <rFont val="Calibri"/>
        <family val="2"/>
        <scheme val="minor"/>
      </rPr>
      <t>Category Distribution Charts</t>
    </r>
  </si>
  <si>
    <r>
      <t xml:space="preserve">Chart Calculations: </t>
    </r>
    <r>
      <rPr>
        <sz val="11"/>
        <color rgb="FF00B0F0"/>
        <rFont val="Calibri"/>
        <family val="2"/>
        <scheme val="minor"/>
      </rPr>
      <t>Tracked (vs. Budget) Charts</t>
    </r>
  </si>
  <si>
    <t>Month</t>
  </si>
  <si>
    <t>Month Number</t>
  </si>
  <si>
    <t>In Focus</t>
  </si>
  <si>
    <t>Show Type</t>
  </si>
  <si>
    <t>Show Remaining Budget</t>
  </si>
  <si>
    <t>Tracked</t>
  </si>
  <si>
    <t>Budget</t>
  </si>
  <si>
    <t>Delta</t>
  </si>
  <si>
    <t>Period in Focus</t>
  </si>
  <si>
    <t>In Budget</t>
  </si>
  <si>
    <t>Remaining</t>
  </si>
  <si>
    <t>Excess</t>
  </si>
  <si>
    <t>Show Income:</t>
  </si>
  <si>
    <t>Show Expenses:</t>
  </si>
  <si>
    <t>Show Savings:</t>
  </si>
  <si>
    <t>Days in Period:</t>
  </si>
  <si>
    <t>Days passed in Period %:</t>
  </si>
  <si>
    <t>Days passed in Period:</t>
  </si>
  <si>
    <t>Period Tracking Balance:</t>
  </si>
  <si>
    <t>Period Savings Rate:</t>
  </si>
  <si>
    <t>KPI Calculation in Dashboard</t>
  </si>
  <si>
    <t>Savings Rate as % on Income:</t>
  </si>
  <si>
    <t>% not allocated to Expenses</t>
  </si>
  <si>
    <t>Activate this option to treat late income received on or after a certain day of the month as income for the next month. For when you receive a monlth income at the end of the month to use this as disposable income for the next month.</t>
  </si>
  <si>
    <t>Choose how you want the savings rate (SR) to be calculated in the dashboard KPI tiles:
1) Active Option (% allocated to Savings):               SR = Savings / Income
2) Passive Option (% not allocated to Expenses)     SR = (Income - Expenses) /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</si>
</sst>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mmm"/>
    <numFmt numFmtId="165" formatCode="_-&quot;$&quot;* #,##0_-;\-&quot;$&quot;* #,##0_-;_-&quot;$&quot;* &quot;-&quot;??_-;_-@_-"/>
    <numFmt numFmtId="166" formatCode="d/mmmm/yy"/>
    <numFmt numFmtId="167" formatCode="_-* #,##0_-;\-* #,##0_-;_-* &quot;-&quot;??_-;_-@_-"/>
    <numFmt numFmtId="168" formatCode="d/mmm/yy"/>
    <numFmt numFmtId="169" formatCode="&quot;$&quot;#,##0"/>
    <numFmt numFmtId="170" formatCode="mmmm"/>
    <numFmt numFmtId="173" formatCode="0.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99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503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DashDot">
        <color auto="1"/>
      </top>
      <bottom style="double">
        <color auto="1"/>
      </bottom>
      <diagonal/>
    </border>
    <border>
      <left/>
      <right/>
      <top style="mediumDashed">
        <color theme="0" tint="-0.2499465926084170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Border="1"/>
    <xf numFmtId="0" fontId="3" fillId="0" borderId="0" xfId="0" applyFont="1" applyBorder="1"/>
    <xf numFmtId="0" fontId="5" fillId="4" borderId="0" xfId="0" applyFont="1" applyFill="1" applyBorder="1" applyAlignment="1">
      <alignment horizontal="center" vertical="center"/>
    </xf>
    <xf numFmtId="0" fontId="6" fillId="5" borderId="0" xfId="0" applyFont="1" applyFill="1" applyBorder="1"/>
    <xf numFmtId="0" fontId="7" fillId="0" borderId="0" xfId="0" applyFont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1" xfId="0" applyFont="1" applyBorder="1" applyAlignment="1">
      <alignment horizontal="left" indent="1"/>
    </xf>
    <xf numFmtId="0" fontId="9" fillId="6" borderId="0" xfId="0" applyNumberFormat="1" applyFont="1" applyFill="1" applyAlignment="1">
      <alignment horizontal="center" vertical="center"/>
    </xf>
    <xf numFmtId="164" fontId="9" fillId="6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left" indent="1"/>
    </xf>
    <xf numFmtId="165" fontId="12" fillId="0" borderId="1" xfId="0" applyNumberFormat="1" applyFont="1" applyBorder="1"/>
    <xf numFmtId="165" fontId="13" fillId="0" borderId="1" xfId="0" applyNumberFormat="1" applyFont="1" applyBorder="1"/>
    <xf numFmtId="165" fontId="14" fillId="0" borderId="1" xfId="0" applyNumberFormat="1" applyFont="1" applyBorder="1"/>
    <xf numFmtId="0" fontId="15" fillId="0" borderId="0" xfId="0" applyFont="1" applyAlignment="1">
      <alignment horizontal="left" indent="1"/>
    </xf>
    <xf numFmtId="164" fontId="9" fillId="7" borderId="0" xfId="0" applyNumberFormat="1" applyFont="1" applyFill="1" applyAlignment="1">
      <alignment horizontal="center" vertical="center"/>
    </xf>
    <xf numFmtId="0" fontId="9" fillId="7" borderId="0" xfId="0" applyNumberFormat="1" applyFont="1" applyFill="1" applyAlignment="1">
      <alignment horizontal="center" vertical="center"/>
    </xf>
    <xf numFmtId="164" fontId="9" fillId="8" borderId="0" xfId="0" applyNumberFormat="1" applyFont="1" applyFill="1" applyAlignment="1">
      <alignment horizontal="center" vertical="center"/>
    </xf>
    <xf numFmtId="0" fontId="9" fillId="8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165" fontId="17" fillId="0" borderId="1" xfId="0" applyNumberFormat="1" applyFont="1" applyBorder="1"/>
    <xf numFmtId="0" fontId="5" fillId="0" borderId="0" xfId="0" applyFont="1" applyAlignment="1">
      <alignment horizontal="left" vertical="center" indent="1"/>
    </xf>
    <xf numFmtId="0" fontId="10" fillId="9" borderId="0" xfId="0" applyFont="1" applyFill="1" applyAlignment="1">
      <alignment horizontal="left" vertical="center" indent="1"/>
    </xf>
    <xf numFmtId="0" fontId="0" fillId="0" borderId="0" xfId="0" applyAlignment="1">
      <alignment horizontal="left" indent="2"/>
    </xf>
    <xf numFmtId="167" fontId="0" fillId="0" borderId="0" xfId="1" applyNumberFormat="1" applyFont="1" applyAlignment="1">
      <alignment horizontal="left" indent="1"/>
    </xf>
    <xf numFmtId="0" fontId="18" fillId="0" borderId="0" xfId="0" applyFont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19" fillId="0" borderId="0" xfId="0" applyFont="1" applyBorder="1" applyAlignment="1">
      <alignment horizontal="left" indent="1"/>
    </xf>
    <xf numFmtId="166" fontId="18" fillId="0" borderId="0" xfId="0" applyNumberFormat="1" applyFont="1" applyAlignment="1">
      <alignment horizontal="right"/>
    </xf>
    <xf numFmtId="0" fontId="0" fillId="9" borderId="0" xfId="0" applyFill="1"/>
    <xf numFmtId="0" fontId="3" fillId="0" borderId="0" xfId="0" applyFont="1"/>
    <xf numFmtId="15" fontId="0" fillId="0" borderId="0" xfId="0" applyNumberFormat="1"/>
    <xf numFmtId="169" fontId="0" fillId="0" borderId="0" xfId="0" applyNumberFormat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0" fontId="5" fillId="0" borderId="11" xfId="0" applyNumberFormat="1" applyFont="1" applyBorder="1" applyAlignment="1">
      <alignment horizontal="center" vertical="center"/>
    </xf>
    <xf numFmtId="170" fontId="5" fillId="0" borderId="10" xfId="0" applyNumberFormat="1" applyFont="1" applyBorder="1" applyAlignment="1">
      <alignment horizontal="center" vertical="center"/>
    </xf>
    <xf numFmtId="0" fontId="0" fillId="0" borderId="0" xfId="0" applyNumberFormat="1"/>
    <xf numFmtId="0" fontId="3" fillId="0" borderId="12" xfId="0" applyFont="1" applyBorder="1"/>
    <xf numFmtId="0" fontId="0" fillId="0" borderId="12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4" fillId="10" borderId="0" xfId="0" applyFont="1" applyFill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8" fontId="0" fillId="0" borderId="0" xfId="0" applyNumberFormat="1" applyAlignment="1">
      <alignment horizontal="left" indent="1"/>
    </xf>
    <xf numFmtId="167" fontId="25" fillId="0" borderId="0" xfId="1" applyNumberFormat="1" applyFont="1" applyAlignment="1">
      <alignment horizontal="left" indent="1"/>
    </xf>
    <xf numFmtId="167" fontId="0" fillId="0" borderId="0" xfId="1" applyNumberFormat="1" applyFont="1" applyBorder="1"/>
    <xf numFmtId="0" fontId="24" fillId="10" borderId="13" xfId="0" applyFont="1" applyFill="1" applyBorder="1" applyAlignment="1">
      <alignment horizontal="center" vertical="center"/>
    </xf>
    <xf numFmtId="0" fontId="24" fillId="10" borderId="14" xfId="0" applyFont="1" applyFill="1" applyBorder="1" applyAlignment="1">
      <alignment horizontal="center" vertical="center"/>
    </xf>
    <xf numFmtId="0" fontId="24" fillId="10" borderId="0" xfId="0" applyFont="1" applyFill="1" applyBorder="1" applyAlignment="1">
      <alignment horizontal="center" vertical="center"/>
    </xf>
    <xf numFmtId="0" fontId="24" fillId="10" borderId="11" xfId="0" applyFont="1" applyFill="1" applyBorder="1" applyAlignment="1">
      <alignment horizontal="center" vertical="center"/>
    </xf>
    <xf numFmtId="0" fontId="0" fillId="0" borderId="11" xfId="0" applyBorder="1"/>
    <xf numFmtId="9" fontId="0" fillId="0" borderId="0" xfId="2" applyFont="1"/>
    <xf numFmtId="0" fontId="5" fillId="0" borderId="0" xfId="0" applyFont="1" applyAlignment="1">
      <alignment vertical="center"/>
    </xf>
    <xf numFmtId="9" fontId="5" fillId="0" borderId="0" xfId="2" applyFont="1" applyAlignment="1">
      <alignment horizontal="center" vertical="center"/>
    </xf>
    <xf numFmtId="43" fontId="5" fillId="0" borderId="0" xfId="1" applyFont="1" applyAlignment="1">
      <alignment horizontal="center" vertical="center"/>
    </xf>
    <xf numFmtId="168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7" fontId="0" fillId="0" borderId="0" xfId="1" applyNumberFormat="1" applyFont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6" fillId="0" borderId="23" xfId="0" applyFont="1" applyBorder="1"/>
    <xf numFmtId="0" fontId="3" fillId="0" borderId="2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25" xfId="1" applyNumberFormat="1" applyFont="1" applyBorder="1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0" fontId="28" fillId="0" borderId="0" xfId="0" applyFont="1" applyBorder="1" applyAlignment="1">
      <alignment horizontal="left" vertical="center" indent="1"/>
    </xf>
    <xf numFmtId="167" fontId="28" fillId="0" borderId="0" xfId="1" applyNumberFormat="1" applyFont="1" applyBorder="1" applyAlignment="1">
      <alignment vertical="center"/>
    </xf>
    <xf numFmtId="0" fontId="13" fillId="0" borderId="26" xfId="0" applyFont="1" applyBorder="1" applyAlignment="1">
      <alignment horizontal="left" vertical="center" indent="1"/>
    </xf>
    <xf numFmtId="167" fontId="13" fillId="0" borderId="26" xfId="1" applyNumberFormat="1" applyFont="1" applyBorder="1" applyAlignment="1">
      <alignment vertical="center"/>
    </xf>
    <xf numFmtId="0" fontId="0" fillId="2" borderId="0" xfId="0" applyFill="1" applyAlignment="1"/>
    <xf numFmtId="0" fontId="0" fillId="0" borderId="28" xfId="0" applyBorder="1"/>
    <xf numFmtId="0" fontId="0" fillId="0" borderId="9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 vertical="center"/>
    </xf>
    <xf numFmtId="0" fontId="8" fillId="0" borderId="0" xfId="0" applyFont="1"/>
    <xf numFmtId="0" fontId="5" fillId="0" borderId="0" xfId="0" applyFont="1"/>
    <xf numFmtId="167" fontId="0" fillId="9" borderId="0" xfId="1" applyNumberFormat="1" applyFont="1" applyFill="1"/>
    <xf numFmtId="167" fontId="0" fillId="0" borderId="0" xfId="1" applyNumberFormat="1" applyFont="1"/>
    <xf numFmtId="167" fontId="0" fillId="0" borderId="23" xfId="1" applyNumberFormat="1" applyFont="1" applyBorder="1"/>
    <xf numFmtId="167" fontId="3" fillId="0" borderId="24" xfId="1" applyNumberFormat="1" applyFont="1" applyBorder="1" applyAlignment="1">
      <alignment horizontal="center" vertical="center"/>
    </xf>
    <xf numFmtId="167" fontId="0" fillId="0" borderId="24" xfId="1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6" fillId="5" borderId="0" xfId="0" applyFont="1" applyFill="1" applyBorder="1" applyAlignment="1">
      <alignment horizontal="left" vertical="top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2" fillId="0" borderId="0" xfId="0" applyFont="1" applyAlignment="1">
      <alignment horizontal="left" indent="2"/>
    </xf>
    <xf numFmtId="170" fontId="23" fillId="11" borderId="9" xfId="0" applyNumberFormat="1" applyFont="1" applyFill="1" applyBorder="1" applyAlignment="1">
      <alignment horizontal="center" vertical="center"/>
    </xf>
    <xf numFmtId="0" fontId="9" fillId="3" borderId="0" xfId="0" quotePrefix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3" fillId="11" borderId="9" xfId="0" applyFont="1" applyFill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left" vertical="center" indent="1"/>
    </xf>
    <xf numFmtId="0" fontId="20" fillId="9" borderId="0" xfId="0" applyFont="1" applyFill="1" applyAlignment="1">
      <alignment horizontal="center" vertical="center"/>
    </xf>
    <xf numFmtId="167" fontId="0" fillId="0" borderId="0" xfId="0" applyNumberFormat="1"/>
    <xf numFmtId="0" fontId="19" fillId="0" borderId="0" xfId="0" applyFont="1" applyBorder="1" applyAlignment="1">
      <alignment horizontal="left"/>
    </xf>
    <xf numFmtId="173" fontId="0" fillId="0" borderId="0" xfId="2" applyNumberFormat="1" applyFont="1"/>
    <xf numFmtId="167" fontId="0" fillId="0" borderId="0" xfId="1" applyNumberFormat="1" applyFont="1" applyFill="1" applyBorder="1"/>
    <xf numFmtId="0" fontId="25" fillId="0" borderId="13" xfId="0" applyFont="1" applyFill="1" applyBorder="1"/>
    <xf numFmtId="0" fontId="25" fillId="0" borderId="14" xfId="0" applyFont="1" applyFill="1" applyBorder="1"/>
    <xf numFmtId="0" fontId="25" fillId="0" borderId="0" xfId="0" applyFont="1" applyFill="1" applyBorder="1"/>
    <xf numFmtId="167" fontId="25" fillId="0" borderId="0" xfId="1" applyNumberFormat="1" applyFont="1" applyFill="1" applyBorder="1"/>
    <xf numFmtId="0" fontId="25" fillId="0" borderId="11" xfId="0" applyFont="1" applyFill="1" applyBorder="1"/>
    <xf numFmtId="0" fontId="23" fillId="0" borderId="0" xfId="0" applyFont="1" applyFill="1" applyAlignment="1">
      <alignment vertical="center"/>
    </xf>
    <xf numFmtId="43" fontId="23" fillId="0" borderId="0" xfId="1" applyFont="1" applyFill="1" applyAlignment="1">
      <alignment horizontal="center" vertical="center"/>
    </xf>
    <xf numFmtId="9" fontId="23" fillId="0" borderId="0" xfId="2" applyFont="1" applyFill="1" applyAlignment="1">
      <alignment horizontal="center" vertical="center"/>
    </xf>
    <xf numFmtId="0" fontId="25" fillId="0" borderId="0" xfId="0" applyFont="1" applyFill="1"/>
    <xf numFmtId="0" fontId="25" fillId="0" borderId="18" xfId="0" applyFont="1" applyFill="1" applyBorder="1"/>
    <xf numFmtId="0" fontId="25" fillId="0" borderId="19" xfId="0" applyFont="1" applyFill="1" applyBorder="1"/>
    <xf numFmtId="0" fontId="0" fillId="0" borderId="0" xfId="0" applyFill="1" applyBorder="1"/>
  </cellXfs>
  <cellStyles count="3">
    <cellStyle name="Comma" xfId="1" builtinId="3"/>
    <cellStyle name="Normal" xfId="0" builtinId="0"/>
    <cellStyle name="Percent" xfId="2" builtinId="5"/>
  </cellStyles>
  <dxfs count="92">
    <dxf>
      <fill>
        <patternFill>
          <fgColor rgb="FF05B385"/>
          <bgColor theme="0" tint="-0.14996795556505021"/>
        </patternFill>
      </fill>
    </dxf>
    <dxf>
      <fill>
        <patternFill>
          <fgColor auto="1"/>
          <bgColor theme="4" tint="0.79998168889431442"/>
        </patternFill>
      </fill>
    </dxf>
    <dxf>
      <fill>
        <patternFill>
          <fgColor auto="1"/>
          <bgColor theme="4" tint="0.59996337778862885"/>
        </patternFill>
      </fill>
    </dxf>
    <dxf>
      <fill>
        <patternFill>
          <fgColor auto="1"/>
          <bgColor theme="4" tint="0.39994506668294322"/>
        </patternFill>
      </fill>
    </dxf>
    <dxf>
      <fill>
        <patternFill>
          <fgColor auto="1"/>
          <bgColor theme="4" tint="-0.24994659260841701"/>
        </patternFill>
      </fill>
    </dxf>
    <dxf>
      <fill>
        <patternFill>
          <fgColor auto="1"/>
          <bgColor theme="4" tint="-0.499984740745262"/>
        </patternFill>
      </fill>
    </dxf>
    <dxf>
      <fill>
        <patternFill>
          <fgColor rgb="FF05B385"/>
          <bgColor theme="0" tint="-0.14996795556505021"/>
        </patternFill>
      </fill>
    </dxf>
    <dxf>
      <fill>
        <patternFill>
          <fgColor auto="1"/>
          <bgColor theme="5" tint="0.79998168889431442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fgColor auto="1"/>
          <bgColor theme="5" tint="0.39994506668294322"/>
        </patternFill>
      </fill>
    </dxf>
    <dxf>
      <fill>
        <patternFill>
          <fgColor auto="1"/>
          <bgColor theme="5" tint="-0.24994659260841701"/>
        </patternFill>
      </fill>
    </dxf>
    <dxf>
      <fill>
        <patternFill>
          <fgColor auto="1"/>
          <bgColor theme="5" tint="-0.499984740745262"/>
        </patternFill>
      </fill>
    </dxf>
    <dxf>
      <fill>
        <patternFill>
          <fgColor rgb="FF05B385"/>
          <bgColor theme="0" tint="-0.14996795556505021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59996337778862885"/>
        </patternFill>
      </fill>
    </dxf>
    <dxf>
      <fill>
        <patternFill>
          <fgColor auto="1"/>
          <bgColor theme="9" tint="0.39994506668294322"/>
        </patternFill>
      </fill>
    </dxf>
    <dxf>
      <fill>
        <patternFill>
          <fgColor auto="1"/>
          <bgColor theme="9" tint="-0.24994659260841701"/>
        </patternFill>
      </fill>
    </dxf>
    <dxf>
      <fill>
        <patternFill>
          <fgColor auto="1"/>
          <bgColor theme="9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border>
        <top style="thin">
          <color auto="1"/>
        </top>
        <vertical/>
        <horizontal/>
      </border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color theme="2" tint="-0.499984740745262"/>
      </font>
      <numFmt numFmtId="171" formatCode="\➜\ d/mmm/yy"/>
    </dxf>
    <dxf>
      <font>
        <b/>
        <i val="0"/>
        <color rgb="FF92D050"/>
      </font>
      <numFmt numFmtId="172" formatCode="#,##0_ ;[Red]\-#,##0\ "/>
    </dxf>
    <dxf>
      <font>
        <color rgb="FFC00000"/>
      </font>
    </dxf>
    <dxf>
      <font>
        <color rgb="FFC00000"/>
      </font>
    </dxf>
    <dxf>
      <font>
        <color theme="9"/>
      </font>
    </dxf>
    <dxf>
      <font>
        <color theme="0" tint="-0.24994659260841701"/>
      </font>
    </dxf>
    <dxf>
      <font>
        <color theme="1" tint="4.9989318521683403E-2"/>
      </font>
      <fill>
        <patternFill>
          <bgColor theme="8" tint="0.7999816888943144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rgb="FFBEF06E"/>
        </patternFill>
      </fill>
    </dxf>
    <dxf>
      <font>
        <color rgb="FFC00000"/>
      </font>
    </dxf>
    <dxf>
      <font>
        <color theme="9"/>
      </font>
    </dxf>
    <dxf>
      <font>
        <color theme="0" tint="-0.24994659260841701"/>
      </font>
    </dxf>
    <dxf>
      <font>
        <color theme="1" tint="4.9989318521683403E-2"/>
      </font>
      <fill>
        <patternFill>
          <bgColor theme="8" tint="0.7999816888943144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rgb="FFBEF06E"/>
        </patternFill>
      </fill>
    </dxf>
    <dxf>
      <font>
        <color rgb="FFC00000"/>
      </font>
    </dxf>
    <dxf>
      <font>
        <color theme="9"/>
      </font>
    </dxf>
    <dxf>
      <font>
        <color theme="0" tint="-0.24994659260841701"/>
      </font>
    </dxf>
    <dxf>
      <font>
        <color theme="1" tint="4.9989318521683403E-2"/>
      </font>
      <fill>
        <patternFill>
          <bgColor theme="8" tint="0.7999816888943144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rgb="FFBEF06E"/>
        </patternFill>
      </fill>
    </dxf>
    <dxf>
      <font>
        <color rgb="FFC00000"/>
      </font>
    </dxf>
    <dxf>
      <font>
        <color theme="9"/>
      </font>
    </dxf>
    <dxf>
      <font>
        <color theme="0" tint="-0.24994659260841701"/>
      </font>
    </dxf>
    <dxf>
      <font>
        <color theme="1" tint="4.9989318521683403E-2"/>
      </font>
      <fill>
        <patternFill>
          <bgColor theme="8" tint="0.7999816888943144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rgb="FFBEF06E"/>
        </patternFill>
      </fill>
    </dxf>
    <dxf>
      <font>
        <color rgb="FFC00000"/>
      </font>
    </dxf>
    <dxf>
      <font>
        <color theme="9"/>
      </font>
    </dxf>
    <dxf>
      <font>
        <color theme="0" tint="-0.24994659260841701"/>
      </font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8" tint="0.7999816888943144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rgb="FFBEF06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6" formatCode="d/mmmm/yy"/>
      <alignment horizontal="right" vertical="bottom" textRotation="0" wrapText="0" indent="0" justifyLastLine="0" shrinkToFit="0" readingOrder="0"/>
    </dxf>
    <dxf>
      <numFmt numFmtId="167" formatCode="_-* #,##0_-;\-* #,##0_-;_-* &quot;-&quot;??_-;_-@_-"/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alignment horizontal="left" vertical="bottom" textRotation="0" wrapText="0" relativeIndent="1" justifyLastLine="0" shrinkToFit="0" readingOrder="0"/>
    </dxf>
    <dxf>
      <numFmt numFmtId="167" formatCode="_-* #,##0_-;\-* #,##0_-;_-* &quot;-&quot;??_-;_-@_-"/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numFmt numFmtId="168" formatCode="d/mmm/yy"/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3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theme="9" tint="-0.24994659260841701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rgb="FFB50329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6" defaultTableStyle="TableStyleMedium2" defaultPivotStyle="PivotStyleLight16">
    <tableStyle name="Expenses Table Style" pivot="0" count="2">
      <tableStyleElement type="wholeTable" dxfId="91"/>
      <tableStyleElement type="headerRow" dxfId="90"/>
    </tableStyle>
    <tableStyle name="Income Table Sty" pivot="0" count="2">
      <tableStyleElement type="wholeTable" dxfId="89"/>
      <tableStyleElement type="headerRow" dxfId="88"/>
    </tableStyle>
    <tableStyle name="Income Table Style" pivot="0" count="1">
      <tableStyleElement type="wholeTable" dxfId="87"/>
    </tableStyle>
    <tableStyle name="Savings Table Style" pivot="0" count="2">
      <tableStyleElement type="wholeTable" dxfId="86"/>
      <tableStyleElement type="headerRow" dxfId="85"/>
    </tableStyle>
    <tableStyle name="Table Style 1" pivot="0" count="1">
      <tableStyleElement type="headerRow" dxfId="84"/>
    </tableStyle>
    <tableStyle name="Tracking Table Style" pivot="0" count="3">
      <tableStyleElement type="wholeTable" dxfId="83"/>
      <tableStyleElement type="headerRow" dxfId="82"/>
      <tableStyleElement type="firstRowStripe" dxfId="81"/>
    </tableStyle>
  </tableStyles>
  <colors>
    <mruColors>
      <color rgb="FF13D184"/>
      <color rgb="FF0D8D59"/>
      <color rgb="FF095F3C"/>
      <color rgb="FFAEF8DA"/>
      <color rgb="FFD1D1D1"/>
      <color rgb="FFF2F2F2"/>
      <color rgb="FFE0E0E0"/>
      <color rgb="FFF3F3F3"/>
      <color rgb="FFCC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0295665096657"/>
          <c:y val="0"/>
          <c:w val="0.74277016742770163"/>
          <c:h val="0.84722222222222221"/>
        </c:manualLayout>
      </c:layout>
      <c:doughnutChart>
        <c:varyColors val="1"/>
        <c:ser>
          <c:idx val="0"/>
          <c:order val="0"/>
          <c:spPr>
            <a:solidFill>
              <a:schemeClr val="accent6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E9-4B9D-9AD3-89FB625DE55B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E9-4B9D-9AD3-89FB625DE55B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E9-4B9D-9AD3-89FB625DE55B}"/>
              </c:ext>
            </c:extLst>
          </c:dPt>
          <c:dPt>
            <c:idx val="3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E9-4B9D-9AD3-89FB625DE55B}"/>
              </c:ext>
            </c:extLst>
          </c:dPt>
          <c:dPt>
            <c:idx val="4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E9-4B9D-9AD3-89FB625DE55B}"/>
              </c:ext>
            </c:extLst>
          </c:dPt>
          <c:dPt>
            <c:idx val="5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1E9-4B9D-9AD3-89FB625DE55B}"/>
              </c:ext>
            </c:extLst>
          </c:dPt>
          <c:cat>
            <c:strRef>
              <c:f>Calculations!$E$35:$E$40</c:f>
              <c:strCache>
                <c:ptCount val="3"/>
                <c:pt idx="0">
                  <c:v>Employment (Net)</c:v>
                </c:pt>
                <c:pt idx="1">
                  <c:v>Side Hustle (Net)</c:v>
                </c:pt>
                <c:pt idx="2">
                  <c:v>Dividends</c:v>
                </c:pt>
              </c:strCache>
            </c:strRef>
          </c:cat>
          <c:val>
            <c:numRef>
              <c:f>Calculations!$F$35:$F$40</c:f>
              <c:numCache>
                <c:formatCode>_-* #,##0_-;\-* #,##0_-;_-* "-"??_-;_-@_-</c:formatCode>
                <c:ptCount val="6"/>
                <c:pt idx="0">
                  <c:v>7000</c:v>
                </c:pt>
                <c:pt idx="1">
                  <c:v>1500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E9-4B9D-9AD3-89FB625DE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0295665096657"/>
          <c:y val="0"/>
          <c:w val="0.74277016742770163"/>
          <c:h val="0.8472222222222222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28-4D8D-B85D-4FD963E3B4CC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28-4D8D-B85D-4FD963E3B4CC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28-4D8D-B85D-4FD963E3B4CC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28-4D8D-B85D-4FD963E3B4CC}"/>
              </c:ext>
            </c:extLst>
          </c:dPt>
          <c:dPt>
            <c:idx val="4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28-4D8D-B85D-4FD963E3B4CC}"/>
              </c:ext>
            </c:extLst>
          </c:dPt>
          <c:dPt>
            <c:idx val="5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28-4D8D-B85D-4FD963E3B4CC}"/>
              </c:ext>
            </c:extLst>
          </c:dPt>
          <c:val>
            <c:numRef>
              <c:f>Calculations!$J$35:$J$40</c:f>
              <c:numCache>
                <c:formatCode>_-* #,##0_-;\-* #,##0_-;_-* "-"??_-;_-@_-</c:formatCode>
                <c:ptCount val="6"/>
                <c:pt idx="0">
                  <c:v>2390</c:v>
                </c:pt>
                <c:pt idx="1">
                  <c:v>1360</c:v>
                </c:pt>
                <c:pt idx="2">
                  <c:v>740</c:v>
                </c:pt>
                <c:pt idx="3">
                  <c:v>640</c:v>
                </c:pt>
                <c:pt idx="4">
                  <c:v>580</c:v>
                </c:pt>
                <c:pt idx="5">
                  <c:v>1070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Calculations!$I$35:$I$40</c15:sqref>
                        </c15:formulaRef>
                      </c:ext>
                    </c:extLst>
                    <c:strCache>
                      <c:ptCount val="6"/>
                      <c:pt idx="0">
                        <c:v>Insurance</c:v>
                      </c:pt>
                      <c:pt idx="1">
                        <c:v>Housing</c:v>
                      </c:pt>
                      <c:pt idx="2">
                        <c:v>Utilities</c:v>
                      </c:pt>
                      <c:pt idx="3">
                        <c:v>Transportation</c:v>
                      </c:pt>
                      <c:pt idx="4">
                        <c:v>Groceries</c:v>
                      </c:pt>
                      <c:pt idx="5">
                        <c:v>Others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C-3028-4D8D-B85D-4FD963E3B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0295665096657"/>
          <c:y val="0"/>
          <c:w val="0.74277016742770163"/>
          <c:h val="0.8472222222222222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6F-43EC-A5F4-AB6678CA3FC1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6F-43EC-A5F4-AB6678CA3FC1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6F-43EC-A5F4-AB6678CA3FC1}"/>
              </c:ext>
            </c:extLst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6F-43EC-A5F4-AB6678CA3FC1}"/>
              </c:ext>
            </c:extLst>
          </c:dPt>
          <c:dPt>
            <c:idx val="4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6F-43EC-A5F4-AB6678CA3FC1}"/>
              </c:ext>
            </c:extLst>
          </c:dPt>
          <c:dPt>
            <c:idx val="5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A6F-43EC-A5F4-AB6678CA3FC1}"/>
              </c:ext>
            </c:extLst>
          </c:dPt>
          <c:cat>
            <c:strRef>
              <c:f>Calculations!$M$35:$M$40</c:f>
              <c:strCache>
                <c:ptCount val="4"/>
                <c:pt idx="0">
                  <c:v>Emergency Fund</c:v>
                </c:pt>
                <c:pt idx="1">
                  <c:v>Stock Portfolio</c:v>
                </c:pt>
                <c:pt idx="2">
                  <c:v>Retirement Account</c:v>
                </c:pt>
                <c:pt idx="3">
                  <c:v>Other Savings</c:v>
                </c:pt>
              </c:strCache>
            </c:strRef>
          </c:cat>
          <c:val>
            <c:numRef>
              <c:f>Calculations!$N$35:$N$40</c:f>
              <c:numCache>
                <c:formatCode>_-* #,##0_-;\-* #,##0_-;_-* "-"??_-;_-@_-</c:formatCode>
                <c:ptCount val="6"/>
                <c:pt idx="0">
                  <c:v>1800</c:v>
                </c:pt>
                <c:pt idx="1">
                  <c:v>500</c:v>
                </c:pt>
                <c:pt idx="2">
                  <c:v>390</c:v>
                </c:pt>
                <c:pt idx="3">
                  <c:v>110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6F-43EC-A5F4-AB6678CA3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13D18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26-43FA-9CBE-968E33C304B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26-43FA-9CBE-968E33C304B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26-43FA-9CBE-968E33C304B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926-43FA-9CBE-968E33C304B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926-43FA-9CBE-968E33C304B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926-43FA-9CBE-968E33C304B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926-43FA-9CBE-968E33C304B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926-43FA-9CBE-968E33C304B2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926-43FA-9CBE-968E33C304B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926-43FA-9CBE-968E33C304B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926-43FA-9CBE-968E33C304B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926-43FA-9CBE-968E33C304B2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926-43FA-9CBE-968E33C304B2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926-43FA-9CBE-968E33C304B2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926-43FA-9CBE-968E33C304B2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926-43FA-9CBE-968E33C304B2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3926-43FA-9CBE-968E33C304B2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3926-43FA-9CBE-968E33C304B2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926-43FA-9CBE-968E33C304B2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926-43FA-9CBE-968E33C304B2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926-43FA-9CBE-968E33C304B2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926-43FA-9CBE-968E33C304B2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3926-43FA-9CBE-968E33C304B2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3926-43FA-9CBE-968E33C304B2}"/>
              </c:ext>
            </c:extLst>
          </c:dPt>
          <c:cat>
            <c:numRef>
              <c:f>Calculations!$D$55:$D$102</c:f>
              <c:numCache>
                <c:formatCode>mmm</c:formatCode>
                <c:ptCount val="48"/>
                <c:pt idx="0">
                  <c:v>44562</c:v>
                </c:pt>
                <c:pt idx="4">
                  <c:v>44593</c:v>
                </c:pt>
                <c:pt idx="8">
                  <c:v>44621</c:v>
                </c:pt>
                <c:pt idx="12">
                  <c:v>44652</c:v>
                </c:pt>
                <c:pt idx="16">
                  <c:v>44682</c:v>
                </c:pt>
                <c:pt idx="20">
                  <c:v>44713</c:v>
                </c:pt>
                <c:pt idx="24">
                  <c:v>44743</c:v>
                </c:pt>
                <c:pt idx="28">
                  <c:v>44774</c:v>
                </c:pt>
                <c:pt idx="32">
                  <c:v>44805</c:v>
                </c:pt>
                <c:pt idx="36">
                  <c:v>44835</c:v>
                </c:pt>
                <c:pt idx="40">
                  <c:v>44866</c:v>
                </c:pt>
                <c:pt idx="44">
                  <c:v>44896</c:v>
                </c:pt>
              </c:numCache>
            </c:numRef>
          </c:cat>
          <c:val>
            <c:numRef>
              <c:f>Calculations!$M$55:$M$102</c:f>
              <c:numCache>
                <c:formatCode>_-* #,##0_-;\-* #,##0_-;_-* "-"??_-;_-@_-</c:formatCode>
                <c:ptCount val="48"/>
                <c:pt idx="0">
                  <c:v>3240</c:v>
                </c:pt>
                <c:pt idx="1">
                  <c:v>2000</c:v>
                </c:pt>
                <c:pt idx="2">
                  <c:v>700</c:v>
                </c:pt>
                <c:pt idx="4">
                  <c:v>550</c:v>
                </c:pt>
                <c:pt idx="5">
                  <c:v>1470</c:v>
                </c:pt>
                <c:pt idx="6">
                  <c:v>640</c:v>
                </c:pt>
                <c:pt idx="8">
                  <c:v>3240</c:v>
                </c:pt>
                <c:pt idx="9">
                  <c:v>1920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926-43FA-9CBE-968E33C304B2}"/>
            </c:ext>
          </c:extLst>
        </c:ser>
        <c:ser>
          <c:idx val="1"/>
          <c:order val="1"/>
          <c:spPr>
            <a:solidFill>
              <a:srgbClr val="AEF8DA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3926-43FA-9CBE-968E33C304B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3926-43FA-9CBE-968E33C304B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3926-43FA-9CBE-968E33C304B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3926-43FA-9CBE-968E33C304B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3926-43FA-9CBE-968E33C304B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3926-43FA-9CBE-968E33C304B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3926-43FA-9CBE-968E33C304B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3926-43FA-9CBE-968E33C304B2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3926-43FA-9CBE-968E33C304B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3926-43FA-9CBE-968E33C304B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3926-43FA-9CBE-968E33C304B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3926-43FA-9CBE-968E33C304B2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3926-43FA-9CBE-968E33C304B2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3926-43FA-9CBE-968E33C304B2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3926-43FA-9CBE-968E33C304B2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3926-43FA-9CBE-968E33C304B2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3926-43FA-9CBE-968E33C304B2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3926-43FA-9CBE-968E33C304B2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3926-43FA-9CBE-968E33C304B2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3926-43FA-9CBE-968E33C304B2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3926-43FA-9CBE-968E33C304B2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3926-43FA-9CBE-968E33C304B2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3926-43FA-9CBE-968E33C304B2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3926-43FA-9CBE-968E33C304B2}"/>
              </c:ext>
            </c:extLst>
          </c:dPt>
          <c:cat>
            <c:numRef>
              <c:f>Calculations!$D$55:$D$102</c:f>
              <c:numCache>
                <c:formatCode>mmm</c:formatCode>
                <c:ptCount val="48"/>
                <c:pt idx="0">
                  <c:v>44562</c:v>
                </c:pt>
                <c:pt idx="4">
                  <c:v>44593</c:v>
                </c:pt>
                <c:pt idx="8">
                  <c:v>44621</c:v>
                </c:pt>
                <c:pt idx="12">
                  <c:v>44652</c:v>
                </c:pt>
                <c:pt idx="16">
                  <c:v>44682</c:v>
                </c:pt>
                <c:pt idx="20">
                  <c:v>44713</c:v>
                </c:pt>
                <c:pt idx="24">
                  <c:v>44743</c:v>
                </c:pt>
                <c:pt idx="28">
                  <c:v>44774</c:v>
                </c:pt>
                <c:pt idx="32">
                  <c:v>44805</c:v>
                </c:pt>
                <c:pt idx="36">
                  <c:v>44835</c:v>
                </c:pt>
                <c:pt idx="40">
                  <c:v>44866</c:v>
                </c:pt>
                <c:pt idx="44">
                  <c:v>44896</c:v>
                </c:pt>
              </c:numCache>
            </c:numRef>
          </c:cat>
          <c:val>
            <c:numRef>
              <c:f>Calculations!$N$55:$N$102</c:f>
              <c:numCache>
                <c:formatCode>_-* #,##0_-;\-* #,##0_-;_-* "-"??_-;_-@_-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2705</c:v>
                </c:pt>
                <c:pt idx="5">
                  <c:v>530</c:v>
                </c:pt>
                <c:pt idx="6">
                  <c:v>60</c:v>
                </c:pt>
                <c:pt idx="8">
                  <c:v>0</c:v>
                </c:pt>
                <c:pt idx="9">
                  <c:v>80</c:v>
                </c:pt>
                <c:pt idx="10">
                  <c:v>700</c:v>
                </c:pt>
                <c:pt idx="12">
                  <c:v>3265</c:v>
                </c:pt>
                <c:pt idx="13">
                  <c:v>2000</c:v>
                </c:pt>
                <c:pt idx="14">
                  <c:v>700</c:v>
                </c:pt>
                <c:pt idx="16">
                  <c:v>3275</c:v>
                </c:pt>
                <c:pt idx="17">
                  <c:v>2000</c:v>
                </c:pt>
                <c:pt idx="18">
                  <c:v>700</c:v>
                </c:pt>
                <c:pt idx="20">
                  <c:v>8080</c:v>
                </c:pt>
                <c:pt idx="21">
                  <c:v>2000</c:v>
                </c:pt>
                <c:pt idx="22">
                  <c:v>5200</c:v>
                </c:pt>
                <c:pt idx="24">
                  <c:v>55</c:v>
                </c:pt>
                <c:pt idx="25">
                  <c:v>2000</c:v>
                </c:pt>
                <c:pt idx="26">
                  <c:v>5200</c:v>
                </c:pt>
                <c:pt idx="28">
                  <c:v>55</c:v>
                </c:pt>
                <c:pt idx="29">
                  <c:v>2000</c:v>
                </c:pt>
                <c:pt idx="30">
                  <c:v>5200</c:v>
                </c:pt>
                <c:pt idx="32">
                  <c:v>2455</c:v>
                </c:pt>
                <c:pt idx="33">
                  <c:v>2000</c:v>
                </c:pt>
                <c:pt idx="34">
                  <c:v>700</c:v>
                </c:pt>
                <c:pt idx="36">
                  <c:v>2430</c:v>
                </c:pt>
                <c:pt idx="37">
                  <c:v>2000</c:v>
                </c:pt>
                <c:pt idx="38">
                  <c:v>700</c:v>
                </c:pt>
                <c:pt idx="40">
                  <c:v>2430</c:v>
                </c:pt>
                <c:pt idx="41">
                  <c:v>2000</c:v>
                </c:pt>
                <c:pt idx="42">
                  <c:v>700</c:v>
                </c:pt>
                <c:pt idx="44">
                  <c:v>2430</c:v>
                </c:pt>
                <c:pt idx="45">
                  <c:v>2000</c:v>
                </c:pt>
                <c:pt idx="46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3926-43FA-9CBE-968E33C304B2}"/>
            </c:ext>
          </c:extLst>
        </c:ser>
        <c:ser>
          <c:idx val="2"/>
          <c:order val="2"/>
          <c:spPr>
            <a:solidFill>
              <a:srgbClr val="0D8D59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3926-43FA-9CBE-968E33C304B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3926-43FA-9CBE-968E33C304B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3926-43FA-9CBE-968E33C304B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3926-43FA-9CBE-968E33C304B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3926-43FA-9CBE-968E33C304B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3926-43FA-9CBE-968E33C304B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3926-43FA-9CBE-968E33C304B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3926-43FA-9CBE-968E33C304B2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3926-43FA-9CBE-968E33C304B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3926-43FA-9CBE-968E33C304B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3926-43FA-9CBE-968E33C304B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3926-43FA-9CBE-968E33C304B2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3926-43FA-9CBE-968E33C304B2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3926-43FA-9CBE-968E33C304B2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3926-43FA-9CBE-968E33C304B2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3926-43FA-9CBE-968E33C304B2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3926-43FA-9CBE-968E33C304B2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3926-43FA-9CBE-968E33C304B2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3926-43FA-9CBE-968E33C304B2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3926-43FA-9CBE-968E33C304B2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3926-43FA-9CBE-968E33C304B2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3926-43FA-9CBE-968E33C304B2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3926-43FA-9CBE-968E33C304B2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3926-43FA-9CBE-968E33C304B2}"/>
              </c:ext>
            </c:extLst>
          </c:dPt>
          <c:cat>
            <c:numRef>
              <c:f>Calculations!$D$55:$D$102</c:f>
              <c:numCache>
                <c:formatCode>mmm</c:formatCode>
                <c:ptCount val="48"/>
                <c:pt idx="0">
                  <c:v>44562</c:v>
                </c:pt>
                <c:pt idx="4">
                  <c:v>44593</c:v>
                </c:pt>
                <c:pt idx="8">
                  <c:v>44621</c:v>
                </c:pt>
                <c:pt idx="12">
                  <c:v>44652</c:v>
                </c:pt>
                <c:pt idx="16">
                  <c:v>44682</c:v>
                </c:pt>
                <c:pt idx="20">
                  <c:v>44713</c:v>
                </c:pt>
                <c:pt idx="24">
                  <c:v>44743</c:v>
                </c:pt>
                <c:pt idx="28">
                  <c:v>44774</c:v>
                </c:pt>
                <c:pt idx="32">
                  <c:v>44805</c:v>
                </c:pt>
                <c:pt idx="36">
                  <c:v>44835</c:v>
                </c:pt>
                <c:pt idx="40">
                  <c:v>44866</c:v>
                </c:pt>
                <c:pt idx="44">
                  <c:v>44896</c:v>
                </c:pt>
              </c:numCache>
            </c:numRef>
          </c:cat>
          <c:val>
            <c:numRef>
              <c:f>Calculations!$O$55:$O$102</c:f>
              <c:numCache>
                <c:formatCode>_-* #,##0_-;\-* #,##0_-;_-* "-"??_-;_-@_-</c:formatCode>
                <c:ptCount val="48"/>
                <c:pt idx="0">
                  <c:v>1410</c:v>
                </c:pt>
                <c:pt idx="1">
                  <c:v>1390</c:v>
                </c:pt>
                <c:pt idx="2">
                  <c:v>1460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260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3926-43FA-9CBE-968E33C304B2}"/>
            </c:ext>
          </c:extLst>
        </c:ser>
        <c:ser>
          <c:idx val="3"/>
          <c:order val="3"/>
          <c:spPr>
            <a:solidFill>
              <a:srgbClr val="E0E0E0"/>
            </a:solidFill>
            <a:ln>
              <a:noFill/>
            </a:ln>
            <a:effectLst/>
          </c:spPr>
          <c:invertIfNegative val="0"/>
          <c:cat>
            <c:numRef>
              <c:f>Calculations!$D$55:$D$102</c:f>
              <c:numCache>
                <c:formatCode>mmm</c:formatCode>
                <c:ptCount val="48"/>
                <c:pt idx="0">
                  <c:v>44562</c:v>
                </c:pt>
                <c:pt idx="4">
                  <c:v>44593</c:v>
                </c:pt>
                <c:pt idx="8">
                  <c:v>44621</c:v>
                </c:pt>
                <c:pt idx="12">
                  <c:v>44652</c:v>
                </c:pt>
                <c:pt idx="16">
                  <c:v>44682</c:v>
                </c:pt>
                <c:pt idx="20">
                  <c:v>44713</c:v>
                </c:pt>
                <c:pt idx="24">
                  <c:v>44743</c:v>
                </c:pt>
                <c:pt idx="28">
                  <c:v>44774</c:v>
                </c:pt>
                <c:pt idx="32">
                  <c:v>44805</c:v>
                </c:pt>
                <c:pt idx="36">
                  <c:v>44835</c:v>
                </c:pt>
                <c:pt idx="40">
                  <c:v>44866</c:v>
                </c:pt>
                <c:pt idx="44">
                  <c:v>44896</c:v>
                </c:pt>
              </c:numCache>
            </c:numRef>
          </c:cat>
          <c:val>
            <c:numRef>
              <c:f>Calculations!$P$55:$P$102</c:f>
              <c:numCache>
                <c:formatCode>_-* #,##0_-;\-* #,##0_-;_-* "-"??_-;_-@_-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3926-43FA-9CBE-968E33C304B2}"/>
            </c:ext>
          </c:extLst>
        </c:ser>
        <c:ser>
          <c:idx val="4"/>
          <c:order val="4"/>
          <c:spPr>
            <a:solidFill>
              <a:srgbClr val="F2F2F2"/>
            </a:solidFill>
            <a:ln>
              <a:noFill/>
            </a:ln>
            <a:effectLst/>
          </c:spPr>
          <c:invertIfNegative val="0"/>
          <c:cat>
            <c:numRef>
              <c:f>Calculations!$D$55:$D$102</c:f>
              <c:numCache>
                <c:formatCode>mmm</c:formatCode>
                <c:ptCount val="48"/>
                <c:pt idx="0">
                  <c:v>44562</c:v>
                </c:pt>
                <c:pt idx="4">
                  <c:v>44593</c:v>
                </c:pt>
                <c:pt idx="8">
                  <c:v>44621</c:v>
                </c:pt>
                <c:pt idx="12">
                  <c:v>44652</c:v>
                </c:pt>
                <c:pt idx="16">
                  <c:v>44682</c:v>
                </c:pt>
                <c:pt idx="20">
                  <c:v>44713</c:v>
                </c:pt>
                <c:pt idx="24">
                  <c:v>44743</c:v>
                </c:pt>
                <c:pt idx="28">
                  <c:v>44774</c:v>
                </c:pt>
                <c:pt idx="32">
                  <c:v>44805</c:v>
                </c:pt>
                <c:pt idx="36">
                  <c:v>44835</c:v>
                </c:pt>
                <c:pt idx="40">
                  <c:v>44866</c:v>
                </c:pt>
                <c:pt idx="44">
                  <c:v>44896</c:v>
                </c:pt>
              </c:numCache>
            </c:numRef>
          </c:cat>
          <c:val>
            <c:numRef>
              <c:f>Calculations!$Q$55:$Q$102</c:f>
              <c:numCache>
                <c:formatCode>_-* #,##0_-;\-* #,##0_-;_-* "-"??_-;_-@_-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3926-43FA-9CBE-968E33C304B2}"/>
            </c:ext>
          </c:extLst>
        </c:ser>
        <c:ser>
          <c:idx val="5"/>
          <c:order val="5"/>
          <c:spPr>
            <a:solidFill>
              <a:srgbClr val="D1D1D1"/>
            </a:solidFill>
            <a:ln>
              <a:noFill/>
            </a:ln>
            <a:effectLst/>
          </c:spPr>
          <c:invertIfNegative val="0"/>
          <c:cat>
            <c:numRef>
              <c:f>Calculations!$D$55:$D$102</c:f>
              <c:numCache>
                <c:formatCode>mmm</c:formatCode>
                <c:ptCount val="48"/>
                <c:pt idx="0">
                  <c:v>44562</c:v>
                </c:pt>
                <c:pt idx="4">
                  <c:v>44593</c:v>
                </c:pt>
                <c:pt idx="8">
                  <c:v>44621</c:v>
                </c:pt>
                <c:pt idx="12">
                  <c:v>44652</c:v>
                </c:pt>
                <c:pt idx="16">
                  <c:v>44682</c:v>
                </c:pt>
                <c:pt idx="20">
                  <c:v>44713</c:v>
                </c:pt>
                <c:pt idx="24">
                  <c:v>44743</c:v>
                </c:pt>
                <c:pt idx="28">
                  <c:v>44774</c:v>
                </c:pt>
                <c:pt idx="32">
                  <c:v>44805</c:v>
                </c:pt>
                <c:pt idx="36">
                  <c:v>44835</c:v>
                </c:pt>
                <c:pt idx="40">
                  <c:v>44866</c:v>
                </c:pt>
                <c:pt idx="44">
                  <c:v>44896</c:v>
                </c:pt>
              </c:numCache>
            </c:numRef>
          </c:cat>
          <c:val>
            <c:numRef>
              <c:f>Calculations!$R$55:$R$102</c:f>
              <c:numCache>
                <c:formatCode>_-* #,##0_-;\-* #,##0_-;_-* "-"??_-;_-@_-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3926-43FA-9CBE-968E33C30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43678431"/>
        <c:axId val="943686751"/>
      </c:barChart>
      <c:catAx>
        <c:axId val="943678431"/>
        <c:scaling>
          <c:orientation val="minMax"/>
        </c:scaling>
        <c:delete val="0"/>
        <c:axPos val="b"/>
        <c:numFmt formatCode="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86751"/>
        <c:crosses val="autoZero"/>
        <c:auto val="0"/>
        <c:lblAlgn val="ctr"/>
        <c:lblOffset val="100"/>
        <c:noMultiLvlLbl val="0"/>
      </c:catAx>
      <c:valAx>
        <c:axId val="9436867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7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Calculations!$E$24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3-48FC-BB79-A211AF02C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7062224"/>
        <c:axId val="447065136"/>
      </c:barChart>
      <c:catAx>
        <c:axId val="447062224"/>
        <c:scaling>
          <c:orientation val="minMax"/>
        </c:scaling>
        <c:delete val="1"/>
        <c:axPos val="l"/>
        <c:majorTickMark val="none"/>
        <c:minorTickMark val="none"/>
        <c:tickLblPos val="nextTo"/>
        <c:crossAx val="447065136"/>
        <c:crosses val="autoZero"/>
        <c:auto val="1"/>
        <c:lblAlgn val="ctr"/>
        <c:lblOffset val="100"/>
        <c:noMultiLvlLbl val="0"/>
      </c:catAx>
      <c:valAx>
        <c:axId val="447065136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4706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Calculations!$E$24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7-4B7E-813C-1569C4B6A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7062224"/>
        <c:axId val="447065136"/>
      </c:barChart>
      <c:catAx>
        <c:axId val="447062224"/>
        <c:scaling>
          <c:orientation val="minMax"/>
        </c:scaling>
        <c:delete val="1"/>
        <c:axPos val="l"/>
        <c:majorTickMark val="none"/>
        <c:minorTickMark val="none"/>
        <c:tickLblPos val="nextTo"/>
        <c:crossAx val="447065136"/>
        <c:crosses val="autoZero"/>
        <c:auto val="1"/>
        <c:lblAlgn val="ctr"/>
        <c:lblOffset val="100"/>
        <c:noMultiLvlLbl val="0"/>
      </c:catAx>
      <c:valAx>
        <c:axId val="447065136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4706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Calculations!$E$49" lockText="1" noThreeD="1"/>
</file>

<file path=xl/ctrlProps/ctrlProp2.xml><?xml version="1.0" encoding="utf-8"?>
<formControlPr xmlns="http://schemas.microsoft.com/office/spreadsheetml/2009/9/main" objectType="CheckBox" checked="Checked" fmlaLink="Calculations!$E$51" lockText="1" noThreeD="1"/>
</file>

<file path=xl/ctrlProps/ctrlProp3.xml><?xml version="1.0" encoding="utf-8"?>
<formControlPr xmlns="http://schemas.microsoft.com/office/spreadsheetml/2009/9/main" objectType="CheckBox" checked="Checked" fmlaLink="Calculations!$E$50" lockText="1" noThreeD="1"/>
</file>

<file path=xl/ctrlProps/ctrlProp4.xml><?xml version="1.0" encoding="utf-8"?>
<formControlPr xmlns="http://schemas.microsoft.com/office/spreadsheetml/2009/9/main" objectType="CheckBox" checked="Checked" fmlaLink="Calculations!$E$52" lockText="1" noThreeD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219074</xdr:colOff>
      <xdr:row>4</xdr:row>
      <xdr:rowOff>19050</xdr:rowOff>
    </xdr:from>
    <xdr:to>
      <xdr:col>3</xdr:col>
      <xdr:colOff>215264</xdr:colOff>
      <xdr:row>8</xdr:row>
      <xdr:rowOff>80010</xdr:rowOff>
    </xdr:to>
    <xdr:grpSp>
      <xdr:nvGrpSpPr>
        <xdr:cNvPr id="17" name="Group 16"/>
        <xdr:cNvGrpSpPr/>
      </xdr:nvGrpSpPr>
      <xdr:grpSpPr>
        <a:xfrm>
          <a:off x="438149" y="781050"/>
          <a:ext cx="1443990" cy="822960"/>
          <a:chOff x="1200149" y="790575"/>
          <a:chExt cx="1463040" cy="822960"/>
        </a:xfrm>
      </xdr:grpSpPr>
      <xdr:sp macro="" textlink="">
        <xdr:nvSpPr>
          <xdr:cNvPr id="2" name="Rounded Rectangle 1"/>
          <xdr:cNvSpPr/>
        </xdr:nvSpPr>
        <xdr:spPr>
          <a:xfrm>
            <a:off x="1200149" y="790575"/>
            <a:ext cx="1463040" cy="822960"/>
          </a:xfrm>
          <a:prstGeom prst="round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  <a:effectLst>
            <a:outerShdw blurRad="825500" dist="127000" dir="5400000" sx="95000" sy="95000" algn="ctr" rotWithShape="0">
              <a:schemeClr val="tx1">
                <a:alpha val="15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3" name="TextBox 2"/>
          <xdr:cNvSpPr txBox="1"/>
        </xdr:nvSpPr>
        <xdr:spPr>
          <a:xfrm>
            <a:off x="1295400" y="847725"/>
            <a:ext cx="12287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100" b="1"/>
              <a:t>Date</a:t>
            </a:r>
            <a:r>
              <a:rPr lang="en-CA" sz="1100" b="1" baseline="0"/>
              <a:t> of Today</a:t>
            </a:r>
            <a:endParaRPr lang="en-CA" sz="1100" b="1"/>
          </a:p>
        </xdr:txBody>
      </xdr:sp>
      <xdr:sp macro="" textlink="current_date">
        <xdr:nvSpPr>
          <xdr:cNvPr id="4" name="TextBox 3"/>
          <xdr:cNvSpPr txBox="1"/>
        </xdr:nvSpPr>
        <xdr:spPr>
          <a:xfrm>
            <a:off x="1295400" y="1190625"/>
            <a:ext cx="12287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1704B810-E6E6-46EA-BF74-45F152D97C10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07-Sep-24</a:t>
            </a:fld>
            <a:endParaRPr lang="en-CA" sz="1100" b="1"/>
          </a:p>
        </xdr:txBody>
      </xdr:sp>
    </xdr:grpSp>
    <xdr:clientData/>
  </xdr:twoCellAnchor>
  <xdr:twoCellAnchor editAs="absolute">
    <xdr:from>
      <xdr:col>3</xdr:col>
      <xdr:colOff>476250</xdr:colOff>
      <xdr:row>4</xdr:row>
      <xdr:rowOff>19050</xdr:rowOff>
    </xdr:from>
    <xdr:to>
      <xdr:col>4</xdr:col>
      <xdr:colOff>1162050</xdr:colOff>
      <xdr:row>8</xdr:row>
      <xdr:rowOff>80010</xdr:rowOff>
    </xdr:to>
    <xdr:grpSp>
      <xdr:nvGrpSpPr>
        <xdr:cNvPr id="18" name="Group 17"/>
        <xdr:cNvGrpSpPr/>
      </xdr:nvGrpSpPr>
      <xdr:grpSpPr>
        <a:xfrm>
          <a:off x="2143125" y="781050"/>
          <a:ext cx="1857375" cy="822960"/>
          <a:chOff x="2924175" y="781050"/>
          <a:chExt cx="1857375" cy="822960"/>
        </a:xfrm>
      </xdr:grpSpPr>
      <xdr:sp macro="" textlink="">
        <xdr:nvSpPr>
          <xdr:cNvPr id="5" name="Rounded Rectangle 4"/>
          <xdr:cNvSpPr/>
        </xdr:nvSpPr>
        <xdr:spPr>
          <a:xfrm>
            <a:off x="2924175" y="781050"/>
            <a:ext cx="1857375" cy="822960"/>
          </a:xfrm>
          <a:prstGeom prst="round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  <a:effectLst>
            <a:outerShdw blurRad="825500" dist="127000" dir="5400000" sx="95000" sy="95000" algn="ctr" rotWithShape="0">
              <a:schemeClr val="tx1">
                <a:alpha val="15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3019426" y="838200"/>
            <a:ext cx="139064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100" b="1"/>
              <a:t>Date</a:t>
            </a:r>
            <a:r>
              <a:rPr lang="en-CA" sz="1100" b="1" baseline="0"/>
              <a:t> of Last Record</a:t>
            </a:r>
            <a:endParaRPr lang="en-CA" sz="1100" b="1"/>
          </a:p>
        </xdr:txBody>
      </xdr:sp>
      <xdr:sp macro="" textlink="Calculations!E9">
        <xdr:nvSpPr>
          <xdr:cNvPr id="7" name="TextBox 6"/>
          <xdr:cNvSpPr txBox="1"/>
        </xdr:nvSpPr>
        <xdr:spPr>
          <a:xfrm>
            <a:off x="3019426" y="1181100"/>
            <a:ext cx="74294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9041C2D3-53A0-46EC-8E31-C66A65C36336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04-Jan-24</a:t>
            </a:fld>
            <a:endParaRPr lang="en-CA" sz="1100" b="1"/>
          </a:p>
        </xdr:txBody>
      </xdr:sp>
      <xdr:sp macro="" textlink="Calculations!E10">
        <xdr:nvSpPr>
          <xdr:cNvPr id="8" name="TextBox 7"/>
          <xdr:cNvSpPr txBox="1"/>
        </xdr:nvSpPr>
        <xdr:spPr>
          <a:xfrm>
            <a:off x="3648076" y="1181100"/>
            <a:ext cx="103822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71A31C3A-9086-42A5-A72C-BFDB1E8BA2F6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(247 days ago)</a:t>
            </a:fld>
            <a:endParaRPr lang="en-CA" sz="1000" b="1"/>
          </a:p>
        </xdr:txBody>
      </xdr:sp>
    </xdr:grpSp>
    <xdr:clientData/>
  </xdr:twoCellAnchor>
  <xdr:twoCellAnchor editAs="absolute">
    <xdr:from>
      <xdr:col>5</xdr:col>
      <xdr:colOff>85726</xdr:colOff>
      <xdr:row>4</xdr:row>
      <xdr:rowOff>19050</xdr:rowOff>
    </xdr:from>
    <xdr:to>
      <xdr:col>6</xdr:col>
      <xdr:colOff>704851</xdr:colOff>
      <xdr:row>8</xdr:row>
      <xdr:rowOff>80010</xdr:rowOff>
    </xdr:to>
    <xdr:grpSp>
      <xdr:nvGrpSpPr>
        <xdr:cNvPr id="19" name="Group 18"/>
        <xdr:cNvGrpSpPr/>
      </xdr:nvGrpSpPr>
      <xdr:grpSpPr>
        <a:xfrm>
          <a:off x="4276726" y="781050"/>
          <a:ext cx="1562100" cy="822960"/>
          <a:chOff x="5057776" y="790575"/>
          <a:chExt cx="1562100" cy="822960"/>
        </a:xfrm>
      </xdr:grpSpPr>
      <xdr:sp macro="" textlink="">
        <xdr:nvSpPr>
          <xdr:cNvPr id="9" name="Rounded Rectangle 8"/>
          <xdr:cNvSpPr/>
        </xdr:nvSpPr>
        <xdr:spPr>
          <a:xfrm>
            <a:off x="5057776" y="790575"/>
            <a:ext cx="1562100" cy="822960"/>
          </a:xfrm>
          <a:prstGeom prst="round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  <a:effectLst>
            <a:outerShdw blurRad="825500" dist="127000" dir="5400000" sx="95000" sy="95000" algn="ctr" rotWithShape="0">
              <a:schemeClr val="tx1">
                <a:alpha val="15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5153026" y="847725"/>
            <a:ext cx="139064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100" b="1"/>
              <a:t># of Tracked Records</a:t>
            </a:r>
          </a:p>
        </xdr:txBody>
      </xdr:sp>
      <xdr:sp macro="" textlink="Calculations!E11">
        <xdr:nvSpPr>
          <xdr:cNvPr id="11" name="TextBox 10"/>
          <xdr:cNvSpPr txBox="1"/>
        </xdr:nvSpPr>
        <xdr:spPr>
          <a:xfrm>
            <a:off x="5153026" y="1190625"/>
            <a:ext cx="74294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DD3F96D4-8F15-41DD-8556-EE3730FDCF50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55</a:t>
            </a:fld>
            <a:endParaRPr lang="en-CA" sz="1000" b="1"/>
          </a:p>
        </xdr:txBody>
      </xdr:sp>
      <xdr:sp macro="" textlink="Calculations!E12">
        <xdr:nvSpPr>
          <xdr:cNvPr id="12" name="TextBox 11"/>
          <xdr:cNvSpPr txBox="1"/>
        </xdr:nvSpPr>
        <xdr:spPr>
          <a:xfrm>
            <a:off x="5781676" y="1190625"/>
            <a:ext cx="3809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1EEB618E-2DB5-4B79-9E19-50994C9CC90B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1</a:t>
            </a:fld>
            <a:endParaRPr lang="en-CA" sz="1000" b="1"/>
          </a:p>
        </xdr:txBody>
      </xdr:sp>
    </xdr:grpSp>
    <xdr:clientData/>
  </xdr:twoCellAnchor>
  <xdr:twoCellAnchor editAs="absolute">
    <xdr:from>
      <xdr:col>6</xdr:col>
      <xdr:colOff>904875</xdr:colOff>
      <xdr:row>4</xdr:row>
      <xdr:rowOff>19050</xdr:rowOff>
    </xdr:from>
    <xdr:to>
      <xdr:col>9</xdr:col>
      <xdr:colOff>180975</xdr:colOff>
      <xdr:row>8</xdr:row>
      <xdr:rowOff>80010</xdr:rowOff>
    </xdr:to>
    <xdr:grpSp>
      <xdr:nvGrpSpPr>
        <xdr:cNvPr id="20" name="Group 19"/>
        <xdr:cNvGrpSpPr/>
      </xdr:nvGrpSpPr>
      <xdr:grpSpPr>
        <a:xfrm>
          <a:off x="6038850" y="781050"/>
          <a:ext cx="3257550" cy="822960"/>
          <a:chOff x="6819900" y="781050"/>
          <a:chExt cx="3257550" cy="822960"/>
        </a:xfrm>
      </xdr:grpSpPr>
      <xdr:sp macro="" textlink="">
        <xdr:nvSpPr>
          <xdr:cNvPr id="13" name="Rounded Rectangle 12"/>
          <xdr:cNvSpPr/>
        </xdr:nvSpPr>
        <xdr:spPr>
          <a:xfrm>
            <a:off x="6819900" y="781050"/>
            <a:ext cx="3257550" cy="822960"/>
          </a:xfrm>
          <a:prstGeom prst="round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  <a:effectLst>
            <a:outerShdw blurRad="825500" dist="127000" dir="5400000" sx="95000" sy="95000" algn="ctr" rotWithShape="0">
              <a:schemeClr val="tx1">
                <a:alpha val="15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6915150" y="838200"/>
            <a:ext cx="15906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100" b="1"/>
              <a:t>Total</a:t>
            </a:r>
            <a:r>
              <a:rPr lang="en-CA" sz="1100" b="1" baseline="0"/>
              <a:t> Tracking Balance</a:t>
            </a:r>
            <a:endParaRPr lang="en-CA" sz="1100" b="1"/>
          </a:p>
        </xdr:txBody>
      </xdr:sp>
      <xdr:sp macro="" textlink="Calculations!E13">
        <xdr:nvSpPr>
          <xdr:cNvPr id="15" name="TextBox 14"/>
          <xdr:cNvSpPr txBox="1"/>
        </xdr:nvSpPr>
        <xdr:spPr>
          <a:xfrm>
            <a:off x="6953250" y="1162050"/>
            <a:ext cx="74294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8A2FB098-5EB0-467C-B170-1E3ACB9C2AA9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$2,520</a:t>
            </a:fld>
            <a:endParaRPr lang="en-CA" sz="1000" b="1"/>
          </a:p>
        </xdr:txBody>
      </xdr:sp>
      <xdr:sp macro="" textlink="Calculations!E14">
        <xdr:nvSpPr>
          <xdr:cNvPr id="16" name="TextBox 15"/>
          <xdr:cNvSpPr txBox="1"/>
        </xdr:nvSpPr>
        <xdr:spPr>
          <a:xfrm>
            <a:off x="7543799" y="1181100"/>
            <a:ext cx="243840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B0DEE0AB-75C0-4CDE-A0B8-C75B23A2C1EF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of tracked income to be allocated</a:t>
            </a:fld>
            <a:endParaRPr lang="en-CA" sz="10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104775</xdr:colOff>
      <xdr:row>12</xdr:row>
      <xdr:rowOff>66675</xdr:rowOff>
    </xdr:from>
    <xdr:to>
      <xdr:col>32</xdr:col>
      <xdr:colOff>938158</xdr:colOff>
      <xdr:row>13</xdr:row>
      <xdr:rowOff>152400</xdr:rowOff>
    </xdr:to>
    <xdr:sp macro="" textlink="">
      <xdr:nvSpPr>
        <xdr:cNvPr id="2" name="TextBox 1"/>
        <xdr:cNvSpPr txBox="1"/>
      </xdr:nvSpPr>
      <xdr:spPr>
        <a:xfrm>
          <a:off x="15887700" y="2352675"/>
          <a:ext cx="1852558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CA" sz="1100" b="1">
              <a:solidFill>
                <a:srgbClr val="00B050"/>
              </a:solidFill>
            </a:rPr>
            <a:t>Income </a:t>
          </a:r>
          <a:r>
            <a:rPr lang="en-CA" sz="1100" b="1"/>
            <a:t>Categories</a:t>
          </a:r>
          <a:r>
            <a:rPr lang="en-CA" sz="1100" b="1" baseline="0"/>
            <a:t> (Tracked)</a:t>
          </a:r>
          <a:endParaRPr lang="en-CA" sz="1100" b="1"/>
        </a:p>
      </xdr:txBody>
    </xdr:sp>
    <xdr:clientData/>
  </xdr:twoCellAnchor>
  <xdr:twoCellAnchor editAs="oneCell">
    <xdr:from>
      <xdr:col>30</xdr:col>
      <xdr:colOff>238125</xdr:colOff>
      <xdr:row>14</xdr:row>
      <xdr:rowOff>0</xdr:rowOff>
    </xdr:from>
    <xdr:to>
      <xdr:col>32</xdr:col>
      <xdr:colOff>1000125</xdr:colOff>
      <xdr:row>23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31</xdr:col>
      <xdr:colOff>104775</xdr:colOff>
      <xdr:row>25</xdr:row>
      <xdr:rowOff>66675</xdr:rowOff>
    </xdr:from>
    <xdr:ext cx="1852558" cy="276225"/>
    <xdr:sp macro="" textlink="">
      <xdr:nvSpPr>
        <xdr:cNvPr id="4" name="TextBox 3"/>
        <xdr:cNvSpPr txBox="1"/>
      </xdr:nvSpPr>
      <xdr:spPr>
        <a:xfrm>
          <a:off x="6505575" y="2352675"/>
          <a:ext cx="1852558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CA" sz="1100" b="1">
              <a:solidFill>
                <a:srgbClr val="FF0000"/>
              </a:solidFill>
            </a:rPr>
            <a:t>Expenses</a:t>
          </a:r>
          <a:r>
            <a:rPr lang="en-CA" sz="1100" b="1">
              <a:solidFill>
                <a:srgbClr val="00B050"/>
              </a:solidFill>
            </a:rPr>
            <a:t> </a:t>
          </a:r>
          <a:r>
            <a:rPr lang="en-CA" sz="1100" b="1"/>
            <a:t>Categories</a:t>
          </a:r>
          <a:r>
            <a:rPr lang="en-CA" sz="1100" b="1" baseline="0"/>
            <a:t> (Tracked)</a:t>
          </a:r>
          <a:endParaRPr lang="en-CA" sz="1100" b="1"/>
        </a:p>
      </xdr:txBody>
    </xdr:sp>
    <xdr:clientData/>
  </xdr:oneCellAnchor>
  <xdr:oneCellAnchor>
    <xdr:from>
      <xdr:col>30</xdr:col>
      <xdr:colOff>238125</xdr:colOff>
      <xdr:row>27</xdr:row>
      <xdr:rowOff>0</xdr:rowOff>
    </xdr:from>
    <xdr:ext cx="2085975" cy="1828800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38</xdr:col>
      <xdr:colOff>104775</xdr:colOff>
      <xdr:row>25</xdr:row>
      <xdr:rowOff>66675</xdr:rowOff>
    </xdr:from>
    <xdr:ext cx="1852558" cy="276225"/>
    <xdr:sp macro="" textlink="">
      <xdr:nvSpPr>
        <xdr:cNvPr id="6" name="TextBox 5"/>
        <xdr:cNvSpPr txBox="1"/>
      </xdr:nvSpPr>
      <xdr:spPr>
        <a:xfrm>
          <a:off x="20678775" y="4838700"/>
          <a:ext cx="1852558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CA" sz="1100" b="1">
              <a:solidFill>
                <a:schemeClr val="accent1"/>
              </a:solidFill>
            </a:rPr>
            <a:t>Savings</a:t>
          </a:r>
          <a:r>
            <a:rPr lang="en-CA" sz="1100" b="1">
              <a:solidFill>
                <a:srgbClr val="00B050"/>
              </a:solidFill>
            </a:rPr>
            <a:t> </a:t>
          </a:r>
          <a:r>
            <a:rPr lang="en-CA" sz="1100" b="1"/>
            <a:t>Categories</a:t>
          </a:r>
          <a:r>
            <a:rPr lang="en-CA" sz="1100" b="1" baseline="0"/>
            <a:t> (Tracked)</a:t>
          </a:r>
          <a:endParaRPr lang="en-CA" sz="1100" b="1"/>
        </a:p>
      </xdr:txBody>
    </xdr:sp>
    <xdr:clientData/>
  </xdr:oneCellAnchor>
  <xdr:oneCellAnchor>
    <xdr:from>
      <xdr:col>38</xdr:col>
      <xdr:colOff>0</xdr:colOff>
      <xdr:row>27</xdr:row>
      <xdr:rowOff>0</xdr:rowOff>
    </xdr:from>
    <xdr:ext cx="2085975" cy="1828800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 editAs="oneCell">
    <xdr:from>
      <xdr:col>38</xdr:col>
      <xdr:colOff>104775</xdr:colOff>
      <xdr:row>12</xdr:row>
      <xdr:rowOff>66675</xdr:rowOff>
    </xdr:from>
    <xdr:to>
      <xdr:col>39</xdr:col>
      <xdr:colOff>938158</xdr:colOff>
      <xdr:row>13</xdr:row>
      <xdr:rowOff>152400</xdr:rowOff>
    </xdr:to>
    <xdr:sp macro="" textlink="">
      <xdr:nvSpPr>
        <xdr:cNvPr id="8" name="TextBox 7"/>
        <xdr:cNvSpPr txBox="1"/>
      </xdr:nvSpPr>
      <xdr:spPr>
        <a:xfrm>
          <a:off x="20678775" y="2352675"/>
          <a:ext cx="1852558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CA" sz="1100" b="1">
              <a:solidFill>
                <a:sysClr val="windowText" lastClr="000000"/>
              </a:solidFill>
            </a:rPr>
            <a:t>Tracked (vs. Budget</a:t>
          </a:r>
          <a:r>
            <a:rPr lang="en-CA" sz="1100" b="1" baseline="0">
              <a:solidFill>
                <a:sysClr val="windowText" lastClr="000000"/>
              </a:solidFill>
            </a:rPr>
            <a:t>)</a:t>
          </a:r>
          <a:endParaRPr lang="en-CA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114300</xdr:colOff>
      <xdr:row>14</xdr:row>
      <xdr:rowOff>66674</xdr:rowOff>
    </xdr:from>
    <xdr:to>
      <xdr:col>43</xdr:col>
      <xdr:colOff>561975</xdr:colOff>
      <xdr:row>23</xdr:row>
      <xdr:rowOff>180974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142875</xdr:colOff>
          <xdr:row>12</xdr:row>
          <xdr:rowOff>0</xdr:rowOff>
        </xdr:from>
        <xdr:to>
          <xdr:col>41</xdr:col>
          <xdr:colOff>942975</xdr:colOff>
          <xdr:row>13</xdr:row>
          <xdr:rowOff>19050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Income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1047750</xdr:colOff>
          <xdr:row>12</xdr:row>
          <xdr:rowOff>0</xdr:rowOff>
        </xdr:from>
        <xdr:to>
          <xdr:col>43</xdr:col>
          <xdr:colOff>47625</xdr:colOff>
          <xdr:row>13</xdr:row>
          <xdr:rowOff>19050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Savings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142875</xdr:colOff>
          <xdr:row>13</xdr:row>
          <xdr:rowOff>9525</xdr:rowOff>
        </xdr:from>
        <xdr:to>
          <xdr:col>41</xdr:col>
          <xdr:colOff>942975</xdr:colOff>
          <xdr:row>14</xdr:row>
          <xdr:rowOff>28575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Expenses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1047750</xdr:colOff>
          <xdr:row>12</xdr:row>
          <xdr:rowOff>171450</xdr:rowOff>
        </xdr:from>
        <xdr:to>
          <xdr:col>43</xdr:col>
          <xdr:colOff>47625</xdr:colOff>
          <xdr:row>14</xdr:row>
          <xdr:rowOff>57150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Budget</a:t>
              </a:r>
            </a:p>
          </xdr:txBody>
        </xdr:sp>
        <xdr:clientData/>
      </xdr:twoCellAnchor>
    </mc:Choice>
    <mc:Fallback/>
  </mc:AlternateContent>
  <xdr:twoCellAnchor>
    <xdr:from>
      <xdr:col>41</xdr:col>
      <xdr:colOff>142875</xdr:colOff>
      <xdr:row>12</xdr:row>
      <xdr:rowOff>28575</xdr:rowOff>
    </xdr:from>
    <xdr:to>
      <xdr:col>43</xdr:col>
      <xdr:colOff>571499</xdr:colOff>
      <xdr:row>14</xdr:row>
      <xdr:rowOff>57150</xdr:rowOff>
    </xdr:to>
    <xdr:sp macro="" textlink="">
      <xdr:nvSpPr>
        <xdr:cNvPr id="10" name="Rectangle 9"/>
        <xdr:cNvSpPr/>
      </xdr:nvSpPr>
      <xdr:spPr>
        <a:xfrm>
          <a:off x="16697325" y="2314575"/>
          <a:ext cx="2228849" cy="409575"/>
        </a:xfrm>
        <a:prstGeom prst="rect">
          <a:avLst/>
        </a:prstGeom>
        <a:noFill/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</xdr:col>
      <xdr:colOff>0</xdr:colOff>
      <xdr:row>4</xdr:row>
      <xdr:rowOff>0</xdr:rowOff>
    </xdr:from>
    <xdr:to>
      <xdr:col>26</xdr:col>
      <xdr:colOff>123824</xdr:colOff>
      <xdr:row>8</xdr:row>
      <xdr:rowOff>60960</xdr:rowOff>
    </xdr:to>
    <xdr:grpSp>
      <xdr:nvGrpSpPr>
        <xdr:cNvPr id="12" name="Group 11"/>
        <xdr:cNvGrpSpPr/>
      </xdr:nvGrpSpPr>
      <xdr:grpSpPr>
        <a:xfrm>
          <a:off x="1219200" y="762000"/>
          <a:ext cx="2200274" cy="822960"/>
          <a:chOff x="3276599" y="762000"/>
          <a:chExt cx="2200275" cy="822960"/>
        </a:xfrm>
      </xdr:grpSpPr>
      <xdr:sp macro="" textlink="">
        <xdr:nvSpPr>
          <xdr:cNvPr id="16" name="Rounded Rectangle 15"/>
          <xdr:cNvSpPr/>
        </xdr:nvSpPr>
        <xdr:spPr>
          <a:xfrm>
            <a:off x="3276599" y="762000"/>
            <a:ext cx="2200275" cy="822960"/>
          </a:xfrm>
          <a:prstGeom prst="round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  <a:effectLst>
            <a:outerShdw blurRad="825500" dist="127000" dir="5400000" sx="95000" sy="95000" algn="ctr" rotWithShape="0">
              <a:schemeClr val="tx1">
                <a:alpha val="15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370611" y="819150"/>
            <a:ext cx="195386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100" b="1"/>
              <a:t>Selected Year &amp; Period</a:t>
            </a:r>
          </a:p>
        </xdr:txBody>
      </xdr:sp>
      <xdr:sp macro="" textlink="selected_year">
        <xdr:nvSpPr>
          <xdr:cNvPr id="11" name="Rounded Rectangle 10"/>
          <xdr:cNvSpPr/>
        </xdr:nvSpPr>
        <xdr:spPr>
          <a:xfrm>
            <a:off x="3429000" y="1162050"/>
            <a:ext cx="581025" cy="238125"/>
          </a:xfrm>
          <a:prstGeom prst="roundRect">
            <a:avLst/>
          </a:prstGeom>
          <a:solidFill>
            <a:schemeClr val="bg1"/>
          </a:solidFill>
          <a:ln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35EC53A-A2F8-4594-84BC-EE1090FD7C34}" type="TxLink">
              <a:rPr lang="en-US" sz="10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2022</a:t>
            </a:fld>
            <a:endParaRPr lang="en-CA" sz="1000" b="1"/>
          </a:p>
        </xdr:txBody>
      </xdr:sp>
      <xdr:sp macro="" textlink="selected_period_display">
        <xdr:nvSpPr>
          <xdr:cNvPr id="20" name="Rounded Rectangle 19"/>
          <xdr:cNvSpPr/>
        </xdr:nvSpPr>
        <xdr:spPr>
          <a:xfrm>
            <a:off x="4133849" y="1162050"/>
            <a:ext cx="981076" cy="238125"/>
          </a:xfrm>
          <a:prstGeom prst="roundRect">
            <a:avLst/>
          </a:prstGeom>
          <a:solidFill>
            <a:schemeClr val="bg1"/>
          </a:solidFill>
          <a:ln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46C0799-30F3-4B7D-A488-B5157484BB93}" type="TxLink">
              <a:rPr lang="en-US" sz="10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Total Year</a:t>
            </a:fld>
            <a:endParaRPr lang="en-CA" sz="1000" b="1"/>
          </a:p>
        </xdr:txBody>
      </xdr:sp>
    </xdr:grpSp>
    <xdr:clientData/>
  </xdr:twoCellAnchor>
  <xdr:twoCellAnchor>
    <xdr:from>
      <xdr:col>26</xdr:col>
      <xdr:colOff>245269</xdr:colOff>
      <xdr:row>4</xdr:row>
      <xdr:rowOff>0</xdr:rowOff>
    </xdr:from>
    <xdr:to>
      <xdr:col>28</xdr:col>
      <xdr:colOff>311944</xdr:colOff>
      <xdr:row>8</xdr:row>
      <xdr:rowOff>60960</xdr:rowOff>
    </xdr:to>
    <xdr:grpSp>
      <xdr:nvGrpSpPr>
        <xdr:cNvPr id="13" name="Group 12"/>
        <xdr:cNvGrpSpPr/>
      </xdr:nvGrpSpPr>
      <xdr:grpSpPr>
        <a:xfrm>
          <a:off x="3540919" y="762000"/>
          <a:ext cx="1571625" cy="822960"/>
          <a:chOff x="3969544" y="762000"/>
          <a:chExt cx="1571625" cy="822960"/>
        </a:xfrm>
      </xdr:grpSpPr>
      <xdr:sp macro="" textlink="">
        <xdr:nvSpPr>
          <xdr:cNvPr id="22" name="Rounded Rectangle 21"/>
          <xdr:cNvSpPr/>
        </xdr:nvSpPr>
        <xdr:spPr>
          <a:xfrm>
            <a:off x="3969544" y="762000"/>
            <a:ext cx="1571625" cy="822960"/>
          </a:xfrm>
          <a:prstGeom prst="round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  <a:effectLst>
            <a:outerShdw blurRad="825500" dist="127000" dir="5400000" sx="95000" sy="95000" algn="ctr" rotWithShape="0">
              <a:schemeClr val="tx1">
                <a:alpha val="15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23" name="TextBox 22"/>
          <xdr:cNvSpPr txBox="1"/>
        </xdr:nvSpPr>
        <xdr:spPr>
          <a:xfrm>
            <a:off x="4137422" y="819150"/>
            <a:ext cx="123586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100" b="1"/>
              <a:t>Period Completed</a:t>
            </a:r>
          </a:p>
        </xdr:txBody>
      </xdr:sp>
      <xdr:graphicFrame macro="">
        <xdr:nvGraphicFramePr>
          <xdr:cNvPr id="26" name="Chart 25"/>
          <xdr:cNvGraphicFramePr>
            <a:graphicFrameLocks/>
          </xdr:cNvGraphicFramePr>
        </xdr:nvGraphicFramePr>
        <xdr:xfrm>
          <a:off x="3987403" y="1009650"/>
          <a:ext cx="1535906" cy="5619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Calculations!E24">
        <xdr:nvSpPr>
          <xdr:cNvPr id="24" name="TextBox 23"/>
          <xdr:cNvSpPr txBox="1"/>
        </xdr:nvSpPr>
        <xdr:spPr>
          <a:xfrm>
            <a:off x="4383882" y="1162050"/>
            <a:ext cx="74294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fld id="{FC4CEDA3-DF9F-41D6-8138-9861B168D0C5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100%</a:t>
            </a:fld>
            <a:endParaRPr lang="en-CA" sz="1100" b="1"/>
          </a:p>
        </xdr:txBody>
      </xdr:sp>
    </xdr:grpSp>
    <xdr:clientData/>
  </xdr:twoCellAnchor>
  <xdr:twoCellAnchor editAs="absolute">
    <xdr:from>
      <xdr:col>29</xdr:col>
      <xdr:colOff>0</xdr:colOff>
      <xdr:row>4</xdr:row>
      <xdr:rowOff>0</xdr:rowOff>
    </xdr:from>
    <xdr:to>
      <xdr:col>33</xdr:col>
      <xdr:colOff>114300</xdr:colOff>
      <xdr:row>8</xdr:row>
      <xdr:rowOff>60960</xdr:rowOff>
    </xdr:to>
    <xdr:grpSp>
      <xdr:nvGrpSpPr>
        <xdr:cNvPr id="27" name="Group 26"/>
        <xdr:cNvGrpSpPr/>
      </xdr:nvGrpSpPr>
      <xdr:grpSpPr>
        <a:xfrm>
          <a:off x="5448300" y="762000"/>
          <a:ext cx="3105150" cy="822960"/>
          <a:chOff x="6819900" y="781050"/>
          <a:chExt cx="3257550" cy="822960"/>
        </a:xfrm>
      </xdr:grpSpPr>
      <xdr:sp macro="" textlink="">
        <xdr:nvSpPr>
          <xdr:cNvPr id="28" name="Rounded Rectangle 27"/>
          <xdr:cNvSpPr/>
        </xdr:nvSpPr>
        <xdr:spPr>
          <a:xfrm>
            <a:off x="6819900" y="781050"/>
            <a:ext cx="3257550" cy="822960"/>
          </a:xfrm>
          <a:prstGeom prst="round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  <a:effectLst>
            <a:outerShdw blurRad="825500" dist="127000" dir="5400000" sx="95000" sy="95000" algn="ctr" rotWithShape="0">
              <a:schemeClr val="tx1">
                <a:alpha val="15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05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6915150" y="838200"/>
            <a:ext cx="15906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050" b="1" baseline="0"/>
              <a:t>Period Tracking Balance</a:t>
            </a:r>
            <a:endParaRPr lang="en-CA" sz="1050" b="1"/>
          </a:p>
        </xdr:txBody>
      </xdr:sp>
      <xdr:sp macro="" textlink="Calculations!E25">
        <xdr:nvSpPr>
          <xdr:cNvPr id="30" name="TextBox 29"/>
          <xdr:cNvSpPr txBox="1"/>
        </xdr:nvSpPr>
        <xdr:spPr>
          <a:xfrm>
            <a:off x="6953250" y="1162050"/>
            <a:ext cx="74294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4C455D7B-48B3-4F80-A566-F870F788BF77}" type="TxLink">
              <a:rPr lang="en-US" sz="1050" b="1" i="0" u="none" strike="noStrike">
                <a:solidFill>
                  <a:srgbClr val="000000"/>
                </a:solidFill>
                <a:latin typeface="Calibri"/>
                <a:cs typeface="Calibri"/>
              </a:rPr>
              <a:t>-880 </a:t>
            </a:fld>
            <a:endParaRPr lang="en-CA" sz="900" b="1"/>
          </a:p>
        </xdr:txBody>
      </xdr:sp>
      <xdr:sp macro="" textlink="Calculations!E26">
        <xdr:nvSpPr>
          <xdr:cNvPr id="31" name="TextBox 30"/>
          <xdr:cNvSpPr txBox="1"/>
        </xdr:nvSpPr>
        <xdr:spPr>
          <a:xfrm>
            <a:off x="7543799" y="1181100"/>
            <a:ext cx="243840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29BD40A6-B38D-4397-A06B-A1AA0650C8C8}" type="TxLink">
              <a:rPr lang="en-US" sz="1050" b="0" i="0" u="none" strike="noStrike">
                <a:solidFill>
                  <a:srgbClr val="000000"/>
                </a:solidFill>
                <a:latin typeface="Calibri"/>
                <a:cs typeface="Calibri"/>
              </a:rPr>
              <a:t>allocated not covered by income</a:t>
            </a:fld>
            <a:endParaRPr lang="en-CA" sz="900" b="1"/>
          </a:p>
        </xdr:txBody>
      </xdr:sp>
    </xdr:grpSp>
    <xdr:clientData/>
  </xdr:twoCellAnchor>
  <xdr:twoCellAnchor>
    <xdr:from>
      <xdr:col>34</xdr:col>
      <xdr:colOff>180975</xdr:colOff>
      <xdr:row>4</xdr:row>
      <xdr:rowOff>0</xdr:rowOff>
    </xdr:from>
    <xdr:to>
      <xdr:col>38</xdr:col>
      <xdr:colOff>190500</xdr:colOff>
      <xdr:row>8</xdr:row>
      <xdr:rowOff>60960</xdr:rowOff>
    </xdr:to>
    <xdr:grpSp>
      <xdr:nvGrpSpPr>
        <xdr:cNvPr id="15" name="Group 14"/>
        <xdr:cNvGrpSpPr/>
      </xdr:nvGrpSpPr>
      <xdr:grpSpPr>
        <a:xfrm>
          <a:off x="8763000" y="762000"/>
          <a:ext cx="2619375" cy="822960"/>
          <a:chOff x="8763000" y="762000"/>
          <a:chExt cx="2619375" cy="822960"/>
        </a:xfrm>
      </xdr:grpSpPr>
      <xdr:sp macro="" textlink="">
        <xdr:nvSpPr>
          <xdr:cNvPr id="34" name="Rounded Rectangle 33"/>
          <xdr:cNvSpPr/>
        </xdr:nvSpPr>
        <xdr:spPr>
          <a:xfrm>
            <a:off x="8763000" y="762000"/>
            <a:ext cx="2619375" cy="822960"/>
          </a:xfrm>
          <a:prstGeom prst="round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  <a:effectLst>
            <a:outerShdw blurRad="825500" dist="127000" dir="5400000" sx="95000" sy="95000" algn="ctr" rotWithShape="0">
              <a:schemeClr val="tx1">
                <a:alpha val="15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050"/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8853794" y="819150"/>
            <a:ext cx="151625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050" b="1" baseline="0"/>
              <a:t>Period Savings Rate</a:t>
            </a:r>
            <a:endParaRPr lang="en-CA" sz="1050" b="1"/>
          </a:p>
        </xdr:txBody>
      </xdr:sp>
      <xdr:sp macro="" textlink="Calculations!E27">
        <xdr:nvSpPr>
          <xdr:cNvPr id="36" name="TextBox 35"/>
          <xdr:cNvSpPr txBox="1"/>
        </xdr:nvSpPr>
        <xdr:spPr>
          <a:xfrm>
            <a:off x="9756887" y="1133475"/>
            <a:ext cx="568214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9BA4521D-2477-4CC1-AFD4-EE8BFB400C00}" type="TxLink">
              <a:rPr lang="en-US" sz="1200" b="1" i="0" u="none" strike="noStrike">
                <a:solidFill>
                  <a:srgbClr val="00B0F0"/>
                </a:solidFill>
                <a:latin typeface="Calibri"/>
                <a:cs typeface="Calibri"/>
              </a:rPr>
              <a:t>22.1%</a:t>
            </a:fld>
            <a:endParaRPr lang="en-CA" sz="1000" b="1">
              <a:solidFill>
                <a:srgbClr val="00B0F0"/>
              </a:solidFill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8848725" y="1133475"/>
            <a:ext cx="99060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050"/>
              <a:t>You are</a:t>
            </a:r>
            <a:r>
              <a:rPr lang="en-CA" sz="1050" baseline="0"/>
              <a:t> saving</a:t>
            </a:r>
            <a:endParaRPr lang="en-CA" sz="1050"/>
          </a:p>
        </xdr:txBody>
      </xdr:sp>
      <xdr:sp macro="" textlink="">
        <xdr:nvSpPr>
          <xdr:cNvPr id="44" name="TextBox 43"/>
          <xdr:cNvSpPr txBox="1"/>
        </xdr:nvSpPr>
        <xdr:spPr>
          <a:xfrm>
            <a:off x="10239374" y="1133475"/>
            <a:ext cx="1114425" cy="2567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050"/>
              <a:t>of</a:t>
            </a:r>
            <a:r>
              <a:rPr lang="en-CA" sz="1050" baseline="0"/>
              <a:t> your income</a:t>
            </a:r>
            <a:endParaRPr lang="en-CA" sz="105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21</xdr:row>
      <xdr:rowOff>114299</xdr:rowOff>
    </xdr:from>
    <xdr:to>
      <xdr:col>7</xdr:col>
      <xdr:colOff>914400</xdr:colOff>
      <xdr:row>24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Income" displayName="Income" ref="C9:C12" totalsRowShown="0" headerRowDxfId="80" dataDxfId="79">
  <autoFilter ref="C9:C12">
    <filterColumn colId="0" hiddenButton="1"/>
  </autoFilter>
  <tableColumns count="1">
    <tableColumn id="1" name="Income" dataDxfId="78"/>
  </tableColumns>
  <tableStyleInfo name="Income Table Sty" showFirstColumn="0" showLastColumn="0" showRowStripes="1" showColumnStripes="0"/>
</table>
</file>

<file path=xl/tables/table2.xml><?xml version="1.0" encoding="utf-8"?>
<table xmlns="http://schemas.openxmlformats.org/spreadsheetml/2006/main" id="2" name="Expenses" displayName="Expenses" ref="C22:C30" totalsRowShown="0" headerRowDxfId="77" dataDxfId="76">
  <autoFilter ref="C22:C30">
    <filterColumn colId="0" hiddenButton="1"/>
  </autoFilter>
  <tableColumns count="1">
    <tableColumn id="1" name="Expenses" dataDxfId="75"/>
  </tableColumns>
  <tableStyleInfo name="Expenses Table Style" showFirstColumn="0" showLastColumn="0" showRowStripes="1" showColumnStripes="0"/>
</table>
</file>

<file path=xl/tables/table3.xml><?xml version="1.0" encoding="utf-8"?>
<table xmlns="http://schemas.openxmlformats.org/spreadsheetml/2006/main" id="3" name="Savings" displayName="Savings" ref="C40:C45" totalsRowShown="0" headerRowDxfId="74" dataDxfId="73">
  <autoFilter ref="C40:C45">
    <filterColumn colId="0" hiddenButton="1"/>
  </autoFilter>
  <tableColumns count="1">
    <tableColumn id="1" name="Savings" dataDxfId="72"/>
  </tableColumns>
  <tableStyleInfo name="Savings Table Style" showFirstColumn="0" showLastColumn="0" showRowStripes="1" showColumnStripes="0"/>
</table>
</file>

<file path=xl/tables/table4.xml><?xml version="1.0" encoding="utf-8"?>
<table xmlns="http://schemas.openxmlformats.org/spreadsheetml/2006/main" id="4" name="Tracking" displayName="Tracking" ref="C11:I66" totalsRowShown="0" headerRowDxfId="71" dataDxfId="70">
  <autoFilter ref="C11:I66"/>
  <sortState ref="C12:I66">
    <sortCondition ref="C11:C66"/>
  </sortState>
  <tableColumns count="7">
    <tableColumn id="1" name="Date" dataDxfId="69"/>
    <tableColumn id="2" name="Type" dataDxfId="68"/>
    <tableColumn id="3" name="Category" dataDxfId="67"/>
    <tableColumn id="4" name="Amount" dataDxfId="66" dataCellStyle="Comma"/>
    <tableColumn id="5" name="Details" dataDxfId="65"/>
    <tableColumn id="6" name="Balance" dataDxfId="64" dataCellStyle="Comma">
      <calculatedColumnFormula>SUMPRODUCT(Tracking[Amount],--(Tracking[Date]&lt;=Tracking[[#This Row],[Date]]), (Tracking[Type]&lt;&gt;"Income")*(-1)+(Tracking[Type]="Income"))</calculatedColumnFormula>
    </tableColumn>
    <tableColumn id="7" name="Effective Date" dataDxfId="63">
      <calculatedColumnFormula>IF(AND(Tracking[[#This Row],[Type]]="Income", shift_late_income_status="Active", DAY(Tracking[[#This Row],[Date]])&gt;=shift_late_income_starting_day), DATE(YEAR(Tracking[[#This Row],[Date]]), MONTH(Tracking[[#This Row],[Date]])+1,1), Tracking[[#This Row],[Date]])</calculatedColumnFormula>
    </tableColumn>
  </tableColumns>
  <tableStyleInfo name="Tracking Table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selection activeCell="D31" sqref="D31"/>
    </sheetView>
  </sheetViews>
  <sheetFormatPr defaultRowHeight="15" x14ac:dyDescent="0.25"/>
  <cols>
    <col min="3" max="3" width="3.140625" customWidth="1"/>
    <col min="4" max="4" width="28.42578125" bestFit="1" customWidth="1"/>
    <col min="5" max="5" width="24.5703125" customWidth="1"/>
    <col min="6" max="6" width="2.42578125" customWidth="1"/>
    <col min="7" max="7" width="61.42578125" customWidth="1"/>
    <col min="8" max="8" width="2.85546875" customWidth="1"/>
  </cols>
  <sheetData>
    <row r="1" spans="1:8" s="109" customFormat="1" x14ac:dyDescent="0.25">
      <c r="A1" s="109" t="s">
        <v>0</v>
      </c>
    </row>
    <row r="2" spans="1:8" s="109" customFormat="1" x14ac:dyDescent="0.25"/>
    <row r="3" spans="1:8" s="109" customFormat="1" x14ac:dyDescent="0.25"/>
    <row r="5" spans="1:8" x14ac:dyDescent="0.25">
      <c r="C5" s="110" t="s">
        <v>1</v>
      </c>
      <c r="D5" s="110"/>
      <c r="E5" s="110"/>
      <c r="F5" s="110"/>
      <c r="G5" s="110"/>
      <c r="H5" s="110"/>
    </row>
    <row r="6" spans="1:8" x14ac:dyDescent="0.25">
      <c r="C6" s="31"/>
      <c r="D6" s="1"/>
      <c r="E6" s="1"/>
      <c r="F6" s="1"/>
      <c r="G6" s="1"/>
      <c r="H6" s="32"/>
    </row>
    <row r="7" spans="1:8" x14ac:dyDescent="0.25">
      <c r="C7" s="31"/>
      <c r="D7" s="2" t="s">
        <v>2</v>
      </c>
      <c r="E7" s="3">
        <v>2022</v>
      </c>
      <c r="F7" s="1"/>
      <c r="G7" s="4" t="s">
        <v>3</v>
      </c>
      <c r="H7" s="32"/>
    </row>
    <row r="8" spans="1:8" x14ac:dyDescent="0.25">
      <c r="C8" s="33"/>
      <c r="D8" s="34"/>
      <c r="E8" s="34"/>
      <c r="F8" s="34"/>
      <c r="G8" s="34"/>
      <c r="H8" s="35"/>
    </row>
    <row r="11" spans="1:8" x14ac:dyDescent="0.25">
      <c r="C11" s="110" t="s">
        <v>40</v>
      </c>
      <c r="D11" s="110"/>
      <c r="E11" s="110"/>
      <c r="F11" s="110"/>
      <c r="G11" s="110"/>
      <c r="H11" s="110"/>
    </row>
    <row r="12" spans="1:8" x14ac:dyDescent="0.25">
      <c r="C12" s="31"/>
      <c r="D12" s="1"/>
      <c r="E12" s="1"/>
      <c r="F12" s="1"/>
      <c r="G12" s="1"/>
      <c r="H12" s="32"/>
    </row>
    <row r="13" spans="1:8" x14ac:dyDescent="0.25">
      <c r="C13" s="31"/>
      <c r="D13" s="36" t="s">
        <v>41</v>
      </c>
      <c r="E13" s="1"/>
      <c r="F13" s="1"/>
      <c r="G13" s="1"/>
      <c r="H13" s="32"/>
    </row>
    <row r="14" spans="1:8" x14ac:dyDescent="0.25">
      <c r="C14" s="31"/>
      <c r="D14" s="1"/>
      <c r="E14" s="1"/>
      <c r="F14" s="1"/>
      <c r="G14" s="1"/>
      <c r="H14" s="32"/>
    </row>
    <row r="15" spans="1:8" x14ac:dyDescent="0.25">
      <c r="C15" s="31"/>
      <c r="D15" s="30" t="s">
        <v>42</v>
      </c>
      <c r="E15" s="3" t="s">
        <v>90</v>
      </c>
      <c r="F15" s="1"/>
      <c r="G15" s="111" t="s">
        <v>116</v>
      </c>
      <c r="H15" s="32"/>
    </row>
    <row r="16" spans="1:8" x14ac:dyDescent="0.25">
      <c r="C16" s="31"/>
      <c r="D16" s="1"/>
      <c r="E16" s="1"/>
      <c r="F16" s="1"/>
      <c r="G16" s="111"/>
      <c r="H16" s="32"/>
    </row>
    <row r="17" spans="3:8" x14ac:dyDescent="0.25">
      <c r="C17" s="31"/>
      <c r="D17" s="30" t="s">
        <v>43</v>
      </c>
      <c r="E17" s="3">
        <v>25</v>
      </c>
      <c r="F17" s="1"/>
      <c r="G17" s="111"/>
      <c r="H17" s="32"/>
    </row>
    <row r="18" spans="3:8" x14ac:dyDescent="0.25">
      <c r="C18" s="31"/>
      <c r="D18" s="1"/>
      <c r="E18" s="1"/>
      <c r="F18" s="1"/>
      <c r="G18" s="1"/>
      <c r="H18" s="32"/>
    </row>
    <row r="19" spans="3:8" x14ac:dyDescent="0.25">
      <c r="C19" s="31"/>
      <c r="D19" s="126" t="s">
        <v>113</v>
      </c>
      <c r="E19" s="1"/>
      <c r="F19" s="1"/>
      <c r="G19" s="1"/>
      <c r="H19" s="32"/>
    </row>
    <row r="20" spans="3:8" x14ac:dyDescent="0.25">
      <c r="C20" s="31"/>
      <c r="D20" s="1"/>
      <c r="E20" s="1"/>
      <c r="F20" s="1"/>
      <c r="G20" s="1"/>
      <c r="H20" s="32"/>
    </row>
    <row r="21" spans="3:8" ht="15" customHeight="1" x14ac:dyDescent="0.25">
      <c r="C21" s="31"/>
      <c r="D21" s="30" t="s">
        <v>114</v>
      </c>
      <c r="E21" s="3" t="s">
        <v>115</v>
      </c>
      <c r="F21" s="1"/>
      <c r="G21" s="111" t="s">
        <v>117</v>
      </c>
      <c r="H21" s="32"/>
    </row>
    <row r="22" spans="3:8" ht="15" customHeight="1" x14ac:dyDescent="0.25">
      <c r="C22" s="31"/>
      <c r="D22" s="30"/>
      <c r="E22" s="30"/>
      <c r="F22" s="1"/>
      <c r="G22" s="111"/>
      <c r="H22" s="32"/>
    </row>
    <row r="23" spans="3:8" x14ac:dyDescent="0.25">
      <c r="C23" s="31"/>
      <c r="D23" s="30"/>
      <c r="E23" s="30"/>
      <c r="F23" s="1"/>
      <c r="G23" s="111"/>
      <c r="H23" s="32"/>
    </row>
    <row r="24" spans="3:8" x14ac:dyDescent="0.25">
      <c r="C24" s="33"/>
      <c r="D24" s="34"/>
      <c r="E24" s="34"/>
      <c r="F24" s="34"/>
      <c r="G24" s="34"/>
      <c r="H24" s="35"/>
    </row>
  </sheetData>
  <mergeCells count="5">
    <mergeCell ref="G21:G23"/>
    <mergeCell ref="A1:XFD3"/>
    <mergeCell ref="C5:H5"/>
    <mergeCell ref="C11:H11"/>
    <mergeCell ref="G15:G17"/>
  </mergeCells>
  <conditionalFormatting sqref="E17">
    <cfRule type="expression" dxfId="62" priority="1">
      <formula>shift_late_income_status = "Inactive"</formula>
    </cfRule>
  </conditionalFormatting>
  <dataValidations count="2">
    <dataValidation type="list" allowBlank="1" showInputMessage="1" showErrorMessage="1" sqref="E15">
      <formula1>"Active, Inactive"</formula1>
    </dataValidation>
    <dataValidation type="list" allowBlank="1" showInputMessage="1" showErrorMessage="1" sqref="E21">
      <formula1>"% Allocated to Savings, % not allocated to Expenses"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1"/>
  <sheetViews>
    <sheetView showGridLines="0" topLeftCell="A4" workbookViewId="0">
      <selection activeCell="C52" sqref="C52"/>
    </sheetView>
  </sheetViews>
  <sheetFormatPr defaultRowHeight="15" outlineLevelCol="1" x14ac:dyDescent="0.25"/>
  <cols>
    <col min="3" max="3" width="34.5703125" customWidth="1"/>
    <col min="4" max="4" width="1" customWidth="1"/>
    <col min="5" max="16" width="11.7109375" customWidth="1" outlineLevel="1"/>
    <col min="17" max="17" width="11.7109375" customWidth="1"/>
    <col min="18" max="18" width="0.5703125" customWidth="1"/>
    <col min="19" max="30" width="11.7109375" hidden="1" customWidth="1" outlineLevel="1"/>
    <col min="31" max="31" width="11.7109375" customWidth="1" collapsed="1"/>
    <col min="32" max="32" width="1.28515625" customWidth="1"/>
    <col min="33" max="44" width="11.7109375" hidden="1" customWidth="1" outlineLevel="1"/>
    <col min="45" max="45" width="11.7109375" customWidth="1" collapsed="1"/>
    <col min="46" max="46" width="1.28515625" customWidth="1"/>
    <col min="47" max="58" width="11.7109375" hidden="1" customWidth="1" outlineLevel="1"/>
    <col min="59" max="59" width="11.7109375" customWidth="1" collapsed="1"/>
    <col min="60" max="60" width="1.28515625" customWidth="1"/>
    <col min="61" max="72" width="11.7109375" hidden="1" customWidth="1" outlineLevel="1"/>
    <col min="73" max="73" width="11.7109375" customWidth="1" collapsed="1"/>
    <col min="74" max="74" width="1.28515625" customWidth="1"/>
  </cols>
  <sheetData>
    <row r="1" spans="1:73" s="23" customFormat="1" ht="15" customHeight="1" x14ac:dyDescent="0.25">
      <c r="A1" s="109" t="s">
        <v>4</v>
      </c>
      <c r="B1" s="109"/>
      <c r="C1" s="109"/>
    </row>
    <row r="2" spans="1:73" s="23" customFormat="1" ht="15" customHeight="1" x14ac:dyDescent="0.25">
      <c r="A2" s="109"/>
      <c r="B2" s="109"/>
      <c r="C2" s="109"/>
    </row>
    <row r="3" spans="1:73" s="23" customFormat="1" ht="15" customHeight="1" x14ac:dyDescent="0.25">
      <c r="A3" s="109"/>
      <c r="B3" s="109"/>
      <c r="C3" s="109"/>
    </row>
    <row r="5" spans="1:73" x14ac:dyDescent="0.25">
      <c r="C5" s="5" t="s">
        <v>5</v>
      </c>
      <c r="E5" s="110">
        <f>starting_year</f>
        <v>2022</v>
      </c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S5" s="110">
        <f>starting_year+1</f>
        <v>2023</v>
      </c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G5" s="110">
        <f>starting_year+2</f>
        <v>2024</v>
      </c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U5" s="110">
        <f>starting_year+3</f>
        <v>2025</v>
      </c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I5" s="110">
        <f>starting_year+4</f>
        <v>2026</v>
      </c>
      <c r="BJ5" s="110"/>
      <c r="BK5" s="110"/>
      <c r="BL5" s="110"/>
      <c r="BM5" s="110"/>
      <c r="BN5" s="110"/>
      <c r="BO5" s="110"/>
      <c r="BP5" s="110"/>
      <c r="BQ5" s="110"/>
      <c r="BR5" s="110"/>
      <c r="BS5" s="110"/>
      <c r="BT5" s="110"/>
      <c r="BU5" s="110"/>
    </row>
    <row r="6" spans="1:73" x14ac:dyDescent="0.25">
      <c r="E6" s="22" t="str">
        <f ca="1">IF(E7=0, "Jan ✓", "Jan")</f>
        <v>Jan</v>
      </c>
      <c r="F6" s="22" t="str">
        <f ca="1">IF(F7=0, "Feb ✓", "Feb")</f>
        <v>Feb</v>
      </c>
      <c r="G6" s="22" t="str">
        <f ca="1">IF(G7=0, "Mar ✓", "Mar")</f>
        <v>Mar</v>
      </c>
      <c r="H6" s="22" t="str">
        <f ca="1">IF(H7=0, "Apr ✓", "Apr")</f>
        <v>Apr</v>
      </c>
      <c r="I6" s="22" t="str">
        <f ca="1">IF(I7=0, "May ✓", "May")</f>
        <v>May</v>
      </c>
      <c r="J6" s="22" t="str">
        <f ca="1">IF(J7=0, "Jun ✓", "Jun")</f>
        <v>Jun</v>
      </c>
      <c r="K6" s="22" t="str">
        <f ca="1">IF(K7=0, "Jul ✓", "Jul")</f>
        <v>Jul</v>
      </c>
      <c r="L6" s="22" t="str">
        <f ca="1">IF(L7=0, "Aug ✓", "Aug")</f>
        <v>Aug</v>
      </c>
      <c r="M6" s="22" t="str">
        <f ca="1">IF(M7=0, "Sep ✓", "Sep")</f>
        <v>Sep</v>
      </c>
      <c r="N6" s="22" t="str">
        <f ca="1">IF(N7=0, "Oct ✓", "Oct")</f>
        <v>Oct</v>
      </c>
      <c r="O6" s="22" t="str">
        <f ca="1">IF(O7=0, "Nov ✓", "Nov")</f>
        <v>Nov</v>
      </c>
      <c r="P6" s="22" t="str">
        <f ca="1">IF(P7=0, "Dec ✓", "Dec")</f>
        <v>Dec</v>
      </c>
      <c r="Q6" s="22" t="str">
        <f ca="1">IF(Q7=0, "Total ✓", "Total")</f>
        <v>Total</v>
      </c>
      <c r="S6" s="22" t="str">
        <f ca="1">IF(S7=0, "Jan ✓", "Jan")</f>
        <v>Jan ✓</v>
      </c>
      <c r="T6" s="22" t="str">
        <f ca="1">IF(T7=0, "Feb ✓", "Feb")</f>
        <v>Feb ✓</v>
      </c>
      <c r="U6" s="22" t="str">
        <f ca="1">IF(U7=0, "Mar ✓", "Mar")</f>
        <v>Mar ✓</v>
      </c>
      <c r="V6" s="22" t="str">
        <f ca="1">IF(V7=0, "Apr ✓", "Apr")</f>
        <v>Apr ✓</v>
      </c>
      <c r="W6" s="22" t="str">
        <f ca="1">IF(W7=0, "May ✓", "May")</f>
        <v>May ✓</v>
      </c>
      <c r="X6" s="22" t="str">
        <f ca="1">IF(X7=0, "Jun ✓", "Jun")</f>
        <v>Jun ✓</v>
      </c>
      <c r="Y6" s="22" t="str">
        <f ca="1">IF(Y7=0, "Jul ✓", "Jul")</f>
        <v>Jul ✓</v>
      </c>
      <c r="Z6" s="22" t="str">
        <f ca="1">IF(Z7=0, "Aug ✓", "Aug")</f>
        <v>Aug ✓</v>
      </c>
      <c r="AA6" s="22" t="str">
        <f ca="1">IF(AA7=0, "Sep ✓", "Sep")</f>
        <v>Sep ✓</v>
      </c>
      <c r="AB6" s="22" t="str">
        <f ca="1">IF(AB7=0, "Oct ✓", "Oct")</f>
        <v>Oct ✓</v>
      </c>
      <c r="AC6" s="22" t="str">
        <f ca="1">IF(AC7=0, "Nov ✓", "Nov")</f>
        <v>Nov ✓</v>
      </c>
      <c r="AD6" s="22" t="str">
        <f ca="1">IF(AD7=0, "Dec ✓", "Dec")</f>
        <v>Dec ✓</v>
      </c>
      <c r="AE6" s="22" t="str">
        <f>IF(AE7=0, "Total ✓", "Total")</f>
        <v>Total ✓</v>
      </c>
      <c r="AG6" s="22" t="str">
        <f ca="1">IF(AG7=0, "Jan ✓", "Jan")</f>
        <v>Jan ✓</v>
      </c>
      <c r="AH6" s="22" t="str">
        <f ca="1">IF(AH7=0, "Feb ✓", "Feb")</f>
        <v>Feb ✓</v>
      </c>
      <c r="AI6" s="22" t="str">
        <f ca="1">IF(AI7=0, "Mar ✓", "Mar")</f>
        <v>Mar ✓</v>
      </c>
      <c r="AJ6" s="22" t="str">
        <f ca="1">IF(AJ7=0, "Apr ✓", "Apr")</f>
        <v>Apr ✓</v>
      </c>
      <c r="AK6" s="22" t="str">
        <f ca="1">IF(AK7=0, "May ✓", "May")</f>
        <v>May ✓</v>
      </c>
      <c r="AL6" s="22" t="str">
        <f ca="1">IF(AL7=0, "Jun ✓", "Jun")</f>
        <v>Jun ✓</v>
      </c>
      <c r="AM6" s="22" t="str">
        <f ca="1">IF(AM7=0, "Jul ✓", "Jul")</f>
        <v>Jul ✓</v>
      </c>
      <c r="AN6" s="22" t="str">
        <f ca="1">IF(AN7=0, "Aug ✓", "Aug")</f>
        <v>Aug ✓</v>
      </c>
      <c r="AO6" s="22" t="str">
        <f ca="1">IF(AO7=0, "Sep ✓", "Sep")</f>
        <v>Sep ✓</v>
      </c>
      <c r="AP6" s="22" t="str">
        <f ca="1">IF(AP7=0, "Oct ✓", "Oct")</f>
        <v>Oct ✓</v>
      </c>
      <c r="AQ6" s="22" t="str">
        <f ca="1">IF(AQ7=0, "Nov ✓", "Nov")</f>
        <v>Nov ✓</v>
      </c>
      <c r="AR6" s="22" t="str">
        <f ca="1">IF(AR7=0, "Dec ✓", "Dec")</f>
        <v>Dec ✓</v>
      </c>
      <c r="AS6" s="22" t="str">
        <f>IF(AS7=0, "Total ✓", "Total")</f>
        <v>Total ✓</v>
      </c>
      <c r="AU6" s="22" t="str">
        <f ca="1">IF(AU7=0, "Jan ✓", "Jan")</f>
        <v>Jan ✓</v>
      </c>
      <c r="AV6" s="22" t="str">
        <f ca="1">IF(AV7=0, "Feb ✓", "Feb")</f>
        <v>Feb ✓</v>
      </c>
      <c r="AW6" s="22" t="str">
        <f ca="1">IF(AW7=0, "Mar ✓", "Mar")</f>
        <v>Mar ✓</v>
      </c>
      <c r="AX6" s="22" t="str">
        <f ca="1">IF(AX7=0, "Apr ✓", "Apr")</f>
        <v>Apr ✓</v>
      </c>
      <c r="AY6" s="22" t="str">
        <f ca="1">IF(AY7=0, "May ✓", "May")</f>
        <v>May ✓</v>
      </c>
      <c r="AZ6" s="22" t="str">
        <f ca="1">IF(AZ7=0, "Jun ✓", "Jun")</f>
        <v>Jun ✓</v>
      </c>
      <c r="BA6" s="22" t="str">
        <f ca="1">IF(BA7=0, "Jul ✓", "Jul")</f>
        <v>Jul ✓</v>
      </c>
      <c r="BB6" s="22" t="str">
        <f ca="1">IF(BB7=0, "Aug ✓", "Aug")</f>
        <v>Aug ✓</v>
      </c>
      <c r="BC6" s="22" t="str">
        <f ca="1">IF(BC7=0, "Sep ✓", "Sep")</f>
        <v>Sep ✓</v>
      </c>
      <c r="BD6" s="22" t="str">
        <f ca="1">IF(BD7=0, "Oct ✓", "Oct")</f>
        <v>Oct ✓</v>
      </c>
      <c r="BE6" s="22" t="str">
        <f ca="1">IF(BE7=0, "Nov ✓", "Nov")</f>
        <v>Nov ✓</v>
      </c>
      <c r="BF6" s="22" t="str">
        <f ca="1">IF(BF7=0, "Dec ✓", "Dec")</f>
        <v>Dec ✓</v>
      </c>
      <c r="BG6" s="22" t="str">
        <f>IF(BG7=0, "Total ✓", "Total")</f>
        <v>Total ✓</v>
      </c>
      <c r="BI6" s="22" t="str">
        <f ca="1">IF(BI7=0, "Jan ✓", "Jan")</f>
        <v>Jan ✓</v>
      </c>
      <c r="BJ6" s="22" t="str">
        <f ca="1">IF(BJ7=0, "Feb ✓", "Feb")</f>
        <v>Feb ✓</v>
      </c>
      <c r="BK6" s="22" t="str">
        <f ca="1">IF(BK7=0, "Mar ✓", "Mar")</f>
        <v>Mar ✓</v>
      </c>
      <c r="BL6" s="22" t="str">
        <f ca="1">IF(BL7=0, "Apr ✓", "Apr")</f>
        <v>Apr ✓</v>
      </c>
      <c r="BM6" s="22" t="str">
        <f ca="1">IF(BM7=0, "May ✓", "May")</f>
        <v>May ✓</v>
      </c>
      <c r="BN6" s="22" t="str">
        <f ca="1">IF(BN7=0, "Jun ✓", "Jun")</f>
        <v>Jun ✓</v>
      </c>
      <c r="BO6" s="22" t="str">
        <f ca="1">IF(BO7=0, "Jul ✓", "Jul")</f>
        <v>Jul ✓</v>
      </c>
      <c r="BP6" s="22" t="str">
        <f ca="1">IF(BP7=0, "Aug ✓", "Aug")</f>
        <v>Aug ✓</v>
      </c>
      <c r="BQ6" s="22" t="str">
        <f ca="1">IF(BQ7=0, "Sep ✓", "Sep")</f>
        <v>Sep ✓</v>
      </c>
      <c r="BR6" s="22" t="str">
        <f ca="1">IF(BR7=0, "Oct ✓", "Oct")</f>
        <v>Oct ✓</v>
      </c>
      <c r="BS6" s="22" t="str">
        <f ca="1">IF(BS7=0, "Nov ✓", "Nov")</f>
        <v>Nov ✓</v>
      </c>
      <c r="BT6" s="22" t="str">
        <f ca="1">IF(BT7=0, "Dec ✓", "Dec")</f>
        <v>Dec ✓</v>
      </c>
      <c r="BU6" s="22" t="str">
        <f>IF(BU7=0, "Total ✓", "Total")</f>
        <v>Total ✓</v>
      </c>
    </row>
    <row r="7" spans="1:73" x14ac:dyDescent="0.25">
      <c r="C7" s="21" t="s">
        <v>24</v>
      </c>
      <c r="E7" s="13">
        <f ca="1">E20-(E38+E51)</f>
        <v>540</v>
      </c>
      <c r="F7" s="13">
        <f t="shared" ref="F7:Q7" ca="1" si="0">F20-(F38+F51)</f>
        <v>555</v>
      </c>
      <c r="G7" s="13">
        <f t="shared" ca="1" si="0"/>
        <v>540</v>
      </c>
      <c r="H7" s="13">
        <f t="shared" ca="1" si="0"/>
        <v>565</v>
      </c>
      <c r="I7" s="13">
        <f t="shared" ca="1" si="0"/>
        <v>575</v>
      </c>
      <c r="J7" s="13">
        <f t="shared" ca="1" si="0"/>
        <v>880</v>
      </c>
      <c r="K7" s="13">
        <f t="shared" ca="1" si="0"/>
        <v>-7145</v>
      </c>
      <c r="L7" s="13">
        <f t="shared" ca="1" si="0"/>
        <v>-7145</v>
      </c>
      <c r="M7" s="13">
        <f t="shared" ca="1" si="0"/>
        <v>-245</v>
      </c>
      <c r="N7" s="13">
        <f t="shared" ca="1" si="0"/>
        <v>-270</v>
      </c>
      <c r="O7" s="13">
        <f t="shared" ca="1" si="0"/>
        <v>-270</v>
      </c>
      <c r="P7" s="13">
        <f t="shared" ca="1" si="0"/>
        <v>-270</v>
      </c>
      <c r="Q7" s="13">
        <f t="shared" ca="1" si="0"/>
        <v>-11690</v>
      </c>
      <c r="S7" s="13">
        <f ca="1">S20-(S38+S51)</f>
        <v>0</v>
      </c>
      <c r="T7" s="13">
        <f t="shared" ref="T7:AE7" ca="1" si="1">T20-(T38+T51)</f>
        <v>0</v>
      </c>
      <c r="U7" s="13">
        <f t="shared" ca="1" si="1"/>
        <v>0</v>
      </c>
      <c r="V7" s="13">
        <f t="shared" ca="1" si="1"/>
        <v>0</v>
      </c>
      <c r="W7" s="13">
        <f t="shared" ca="1" si="1"/>
        <v>0</v>
      </c>
      <c r="X7" s="13">
        <f t="shared" ca="1" si="1"/>
        <v>0</v>
      </c>
      <c r="Y7" s="13">
        <f t="shared" ca="1" si="1"/>
        <v>0</v>
      </c>
      <c r="Z7" s="13">
        <f t="shared" ca="1" si="1"/>
        <v>0</v>
      </c>
      <c r="AA7" s="13">
        <f t="shared" ca="1" si="1"/>
        <v>0</v>
      </c>
      <c r="AB7" s="13">
        <f t="shared" ca="1" si="1"/>
        <v>0</v>
      </c>
      <c r="AC7" s="13">
        <f t="shared" ca="1" si="1"/>
        <v>0</v>
      </c>
      <c r="AD7" s="13">
        <f t="shared" ca="1" si="1"/>
        <v>0</v>
      </c>
      <c r="AE7" s="13">
        <f t="shared" si="1"/>
        <v>0</v>
      </c>
      <c r="AG7" s="13">
        <f ca="1">AG20-(AG38+AG51)</f>
        <v>0</v>
      </c>
      <c r="AH7" s="13">
        <f t="shared" ref="AH7:AS7" ca="1" si="2">AH20-(AH38+AH51)</f>
        <v>0</v>
      </c>
      <c r="AI7" s="13">
        <f t="shared" ca="1" si="2"/>
        <v>0</v>
      </c>
      <c r="AJ7" s="13">
        <f t="shared" ca="1" si="2"/>
        <v>0</v>
      </c>
      <c r="AK7" s="13">
        <f t="shared" ca="1" si="2"/>
        <v>0</v>
      </c>
      <c r="AL7" s="13">
        <f t="shared" ca="1" si="2"/>
        <v>0</v>
      </c>
      <c r="AM7" s="13">
        <f t="shared" ca="1" si="2"/>
        <v>0</v>
      </c>
      <c r="AN7" s="13">
        <f t="shared" ca="1" si="2"/>
        <v>0</v>
      </c>
      <c r="AO7" s="13">
        <f t="shared" ca="1" si="2"/>
        <v>0</v>
      </c>
      <c r="AP7" s="13">
        <f t="shared" ca="1" si="2"/>
        <v>0</v>
      </c>
      <c r="AQ7" s="13">
        <f t="shared" ca="1" si="2"/>
        <v>0</v>
      </c>
      <c r="AR7" s="13">
        <f t="shared" ca="1" si="2"/>
        <v>0</v>
      </c>
      <c r="AS7" s="13">
        <f t="shared" si="2"/>
        <v>0</v>
      </c>
      <c r="AU7" s="13">
        <f ca="1">AU20-(AU38+AU51)</f>
        <v>0</v>
      </c>
      <c r="AV7" s="13">
        <f t="shared" ref="AV7:BG7" ca="1" si="3">AV20-(AV38+AV51)</f>
        <v>0</v>
      </c>
      <c r="AW7" s="13">
        <f t="shared" ca="1" si="3"/>
        <v>0</v>
      </c>
      <c r="AX7" s="13">
        <f t="shared" ca="1" si="3"/>
        <v>0</v>
      </c>
      <c r="AY7" s="13">
        <f t="shared" ca="1" si="3"/>
        <v>0</v>
      </c>
      <c r="AZ7" s="13">
        <f t="shared" ca="1" si="3"/>
        <v>0</v>
      </c>
      <c r="BA7" s="13">
        <f t="shared" ca="1" si="3"/>
        <v>0</v>
      </c>
      <c r="BB7" s="13">
        <f t="shared" ca="1" si="3"/>
        <v>0</v>
      </c>
      <c r="BC7" s="13">
        <f t="shared" ca="1" si="3"/>
        <v>0</v>
      </c>
      <c r="BD7" s="13">
        <f t="shared" ca="1" si="3"/>
        <v>0</v>
      </c>
      <c r="BE7" s="13">
        <f t="shared" ca="1" si="3"/>
        <v>0</v>
      </c>
      <c r="BF7" s="13">
        <f t="shared" ca="1" si="3"/>
        <v>0</v>
      </c>
      <c r="BG7" s="13">
        <f t="shared" si="3"/>
        <v>0</v>
      </c>
      <c r="BI7" s="13">
        <f ca="1">BI20-(BI38+BI51)</f>
        <v>0</v>
      </c>
      <c r="BJ7" s="13">
        <f t="shared" ref="BJ7:BU7" ca="1" si="4">BJ20-(BJ38+BJ51)</f>
        <v>0</v>
      </c>
      <c r="BK7" s="13">
        <f t="shared" ca="1" si="4"/>
        <v>0</v>
      </c>
      <c r="BL7" s="13">
        <f t="shared" ca="1" si="4"/>
        <v>0</v>
      </c>
      <c r="BM7" s="13">
        <f t="shared" ca="1" si="4"/>
        <v>0</v>
      </c>
      <c r="BN7" s="13">
        <f t="shared" ca="1" si="4"/>
        <v>0</v>
      </c>
      <c r="BO7" s="13">
        <f t="shared" ca="1" si="4"/>
        <v>0</v>
      </c>
      <c r="BP7" s="13">
        <f t="shared" ca="1" si="4"/>
        <v>0</v>
      </c>
      <c r="BQ7" s="13">
        <f t="shared" ca="1" si="4"/>
        <v>0</v>
      </c>
      <c r="BR7" s="13">
        <f t="shared" ca="1" si="4"/>
        <v>0</v>
      </c>
      <c r="BS7" s="13">
        <f t="shared" ca="1" si="4"/>
        <v>0</v>
      </c>
      <c r="BT7" s="13">
        <f t="shared" ca="1" si="4"/>
        <v>0</v>
      </c>
      <c r="BU7" s="13">
        <f t="shared" si="4"/>
        <v>0</v>
      </c>
    </row>
    <row r="9" spans="1:73" x14ac:dyDescent="0.25">
      <c r="C9" s="7" t="s">
        <v>6</v>
      </c>
      <c r="E9" s="10">
        <f>DATE(E$5, 1, 1)</f>
        <v>44562</v>
      </c>
      <c r="F9" s="10">
        <f>DATE(E$5, 2, 1)</f>
        <v>44593</v>
      </c>
      <c r="G9" s="10">
        <f>DATE(E$5, 3, 1)</f>
        <v>44621</v>
      </c>
      <c r="H9" s="10">
        <f>DATE(E$5, 4, 1)</f>
        <v>44652</v>
      </c>
      <c r="I9" s="10">
        <f>DATE(E$5, 5, 1)</f>
        <v>44682</v>
      </c>
      <c r="J9" s="10">
        <f>DATE(E$5, 6, 1)</f>
        <v>44713</v>
      </c>
      <c r="K9" s="10">
        <f>DATE(E$5, 7, 1)</f>
        <v>44743</v>
      </c>
      <c r="L9" s="10">
        <f>DATE(E$5, 8, 1)</f>
        <v>44774</v>
      </c>
      <c r="M9" s="10">
        <f>DATE(E$5, 9, 1)</f>
        <v>44805</v>
      </c>
      <c r="N9" s="10">
        <f>DATE(E$5, 10, 1)</f>
        <v>44835</v>
      </c>
      <c r="O9" s="10">
        <f>DATE(E$5, 11, 1)</f>
        <v>44866</v>
      </c>
      <c r="P9" s="10">
        <f>DATE(E$5, 12, 1)</f>
        <v>44896</v>
      </c>
      <c r="Q9" s="9">
        <f>E$5</f>
        <v>2022</v>
      </c>
      <c r="S9" s="10">
        <f>DATE(S$5, 1, 1)</f>
        <v>44927</v>
      </c>
      <c r="T9" s="10">
        <f>DATE(S$5, 2, 1)</f>
        <v>44958</v>
      </c>
      <c r="U9" s="10">
        <f>DATE(S$5, 3, 1)</f>
        <v>44986</v>
      </c>
      <c r="V9" s="10">
        <f>DATE(S$5, 4, 1)</f>
        <v>45017</v>
      </c>
      <c r="W9" s="10">
        <f>DATE(S$5, 5, 1)</f>
        <v>45047</v>
      </c>
      <c r="X9" s="10">
        <f>DATE(S$5, 6, 1)</f>
        <v>45078</v>
      </c>
      <c r="Y9" s="10">
        <f>DATE(S$5, 7, 1)</f>
        <v>45108</v>
      </c>
      <c r="Z9" s="10">
        <f>DATE(S$5, 8, 1)</f>
        <v>45139</v>
      </c>
      <c r="AA9" s="10">
        <f>DATE(S$5, 9, 1)</f>
        <v>45170</v>
      </c>
      <c r="AB9" s="10">
        <f>DATE(S$5, 10, 1)</f>
        <v>45200</v>
      </c>
      <c r="AC9" s="10">
        <f>DATE(S$5, 11, 1)</f>
        <v>45231</v>
      </c>
      <c r="AD9" s="10">
        <f>DATE(S$5, 12, 1)</f>
        <v>45261</v>
      </c>
      <c r="AE9" s="9">
        <f>S$5</f>
        <v>2023</v>
      </c>
      <c r="AG9" s="10">
        <f>DATE(AG$5, 1, 1)</f>
        <v>45292</v>
      </c>
      <c r="AH9" s="10">
        <f>DATE(AG$5, 2, 1)</f>
        <v>45323</v>
      </c>
      <c r="AI9" s="10">
        <f>DATE(AG$5, 3, 1)</f>
        <v>45352</v>
      </c>
      <c r="AJ9" s="10">
        <f>DATE(AG$5, 4, 1)</f>
        <v>45383</v>
      </c>
      <c r="AK9" s="10">
        <f>DATE(AG$5, 5, 1)</f>
        <v>45413</v>
      </c>
      <c r="AL9" s="10">
        <f>DATE(AG$5, 6, 1)</f>
        <v>45444</v>
      </c>
      <c r="AM9" s="10">
        <f>DATE(AG$5, 7, 1)</f>
        <v>45474</v>
      </c>
      <c r="AN9" s="10">
        <f>DATE(AG$5, 8, 1)</f>
        <v>45505</v>
      </c>
      <c r="AO9" s="10">
        <f>DATE(AG$5, 9, 1)</f>
        <v>45536</v>
      </c>
      <c r="AP9" s="10">
        <f>DATE(AG$5, 10, 1)</f>
        <v>45566</v>
      </c>
      <c r="AQ9" s="10">
        <f>DATE(AG$5, 11, 1)</f>
        <v>45597</v>
      </c>
      <c r="AR9" s="10">
        <f>DATE(AG$5, 12, 1)</f>
        <v>45627</v>
      </c>
      <c r="AS9" s="9">
        <f>AG$5</f>
        <v>2024</v>
      </c>
      <c r="AU9" s="10">
        <f>DATE(AU$5, 1, 1)</f>
        <v>45658</v>
      </c>
      <c r="AV9" s="10">
        <f>DATE(AU$5, 2, 1)</f>
        <v>45689</v>
      </c>
      <c r="AW9" s="10">
        <f>DATE(AU$5, 3, 1)</f>
        <v>45717</v>
      </c>
      <c r="AX9" s="10">
        <f>DATE(AU$5, 4, 1)</f>
        <v>45748</v>
      </c>
      <c r="AY9" s="10">
        <f>DATE(AU$5, 5, 1)</f>
        <v>45778</v>
      </c>
      <c r="AZ9" s="10">
        <f>DATE(AU$5, 6, 1)</f>
        <v>45809</v>
      </c>
      <c r="BA9" s="10">
        <f>DATE(AU$5, 7, 1)</f>
        <v>45839</v>
      </c>
      <c r="BB9" s="10">
        <f>DATE(AU$5, 8, 1)</f>
        <v>45870</v>
      </c>
      <c r="BC9" s="10">
        <f>DATE(AU$5, 9, 1)</f>
        <v>45901</v>
      </c>
      <c r="BD9" s="10">
        <f>DATE(AU$5, 10, 1)</f>
        <v>45931</v>
      </c>
      <c r="BE9" s="10">
        <f>DATE(AU$5, 11, 1)</f>
        <v>45962</v>
      </c>
      <c r="BF9" s="10">
        <f>DATE(AU$5, 12, 1)</f>
        <v>45992</v>
      </c>
      <c r="BG9" s="9">
        <f>AU$5</f>
        <v>2025</v>
      </c>
      <c r="BI9" s="10">
        <f>DATE(BI$5, 1, 1)</f>
        <v>46023</v>
      </c>
      <c r="BJ9" s="10">
        <f>DATE(BI$5, 2, 1)</f>
        <v>46054</v>
      </c>
      <c r="BK9" s="10">
        <f>DATE(BI$5, 3, 1)</f>
        <v>46082</v>
      </c>
      <c r="BL9" s="10">
        <f>DATE(BI$5, 4, 1)</f>
        <v>46113</v>
      </c>
      <c r="BM9" s="10">
        <f>DATE(BI$5, 5, 1)</f>
        <v>46143</v>
      </c>
      <c r="BN9" s="10">
        <f>DATE(BI$5, 6, 1)</f>
        <v>46174</v>
      </c>
      <c r="BO9" s="10">
        <f>DATE(BI$5, 7, 1)</f>
        <v>46204</v>
      </c>
      <c r="BP9" s="10">
        <f>DATE(BI$5, 8, 1)</f>
        <v>46235</v>
      </c>
      <c r="BQ9" s="10">
        <f>DATE(BI$5, 9, 1)</f>
        <v>46266</v>
      </c>
      <c r="BR9" s="10">
        <f>DATE(BI$5, 10, 1)</f>
        <v>46296</v>
      </c>
      <c r="BS9" s="10">
        <f>DATE(BI$5, 11, 1)</f>
        <v>46327</v>
      </c>
      <c r="BT9" s="10">
        <f>DATE(BI$5, 12, 1)</f>
        <v>46357</v>
      </c>
      <c r="BU9" s="9">
        <f>BI$5</f>
        <v>2026</v>
      </c>
    </row>
    <row r="10" spans="1:73" x14ac:dyDescent="0.25">
      <c r="C10" s="11" t="s">
        <v>9</v>
      </c>
      <c r="E10" s="12">
        <v>3200</v>
      </c>
      <c r="F10" s="12">
        <v>3200</v>
      </c>
      <c r="G10" s="12">
        <v>3200</v>
      </c>
      <c r="H10" s="12">
        <v>3200</v>
      </c>
      <c r="I10" s="12">
        <v>3200</v>
      </c>
      <c r="J10" s="12">
        <v>8000</v>
      </c>
      <c r="K10" s="12">
        <v>0</v>
      </c>
      <c r="L10" s="12">
        <v>0</v>
      </c>
      <c r="M10" s="12">
        <v>2400</v>
      </c>
      <c r="N10" s="12">
        <v>2400</v>
      </c>
      <c r="O10" s="12">
        <v>2400</v>
      </c>
      <c r="P10" s="12">
        <v>2400</v>
      </c>
      <c r="Q10" s="14">
        <f>SUM(E10:P10)</f>
        <v>33600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4">
        <f>SUM(S10:AD10)</f>
        <v>0</v>
      </c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4">
        <f>SUM(AG10:AR10)</f>
        <v>0</v>
      </c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4">
        <f>SUM(AU10:BF10)</f>
        <v>0</v>
      </c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4">
        <f>SUM(BI10:BT10)</f>
        <v>0</v>
      </c>
    </row>
    <row r="11" spans="1:73" x14ac:dyDescent="0.25">
      <c r="C11" s="11" t="s">
        <v>10</v>
      </c>
      <c r="E11" s="12">
        <v>10</v>
      </c>
      <c r="F11" s="12">
        <v>25</v>
      </c>
      <c r="G11" s="12">
        <v>10</v>
      </c>
      <c r="H11" s="12">
        <v>35</v>
      </c>
      <c r="I11" s="12">
        <v>45</v>
      </c>
      <c r="J11" s="12">
        <v>50</v>
      </c>
      <c r="K11" s="12">
        <v>25</v>
      </c>
      <c r="L11" s="12">
        <v>25</v>
      </c>
      <c r="M11" s="12">
        <v>25</v>
      </c>
      <c r="N11" s="12"/>
      <c r="O11" s="12"/>
      <c r="P11" s="12"/>
      <c r="Q11" s="14">
        <f t="shared" ref="Q11:Q19" si="5">SUM(E11:P11)</f>
        <v>250</v>
      </c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4">
        <f t="shared" ref="AE11:AE19" si="6">SUM(S11:AD11)</f>
        <v>0</v>
      </c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4">
        <f t="shared" ref="AS11:AS19" si="7">SUM(AG11:AR11)</f>
        <v>0</v>
      </c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4">
        <f t="shared" ref="BG11:BG19" si="8">SUM(AU11:BF11)</f>
        <v>0</v>
      </c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4">
        <f t="shared" ref="BU11:BU19" si="9">SUM(BI11:BT11)</f>
        <v>0</v>
      </c>
    </row>
    <row r="12" spans="1:73" x14ac:dyDescent="0.25">
      <c r="C12" s="11" t="s">
        <v>11</v>
      </c>
      <c r="E12" s="12">
        <v>30</v>
      </c>
      <c r="F12" s="12">
        <v>30</v>
      </c>
      <c r="G12" s="12">
        <v>30</v>
      </c>
      <c r="H12" s="12">
        <v>30</v>
      </c>
      <c r="I12" s="12">
        <v>30</v>
      </c>
      <c r="J12" s="12">
        <v>30</v>
      </c>
      <c r="K12" s="12">
        <v>30</v>
      </c>
      <c r="L12" s="12">
        <v>30</v>
      </c>
      <c r="M12" s="12">
        <v>30</v>
      </c>
      <c r="N12" s="12">
        <v>30</v>
      </c>
      <c r="O12" s="12">
        <v>30</v>
      </c>
      <c r="P12" s="12">
        <v>30</v>
      </c>
      <c r="Q12" s="14">
        <f t="shared" si="5"/>
        <v>360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4">
        <f t="shared" si="6"/>
        <v>0</v>
      </c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4">
        <f t="shared" si="7"/>
        <v>0</v>
      </c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4">
        <f t="shared" si="8"/>
        <v>0</v>
      </c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4">
        <f t="shared" si="9"/>
        <v>0</v>
      </c>
    </row>
    <row r="13" spans="1:73" x14ac:dyDescent="0.25">
      <c r="C13" s="15" t="s">
        <v>12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4">
        <f t="shared" si="5"/>
        <v>0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4">
        <f t="shared" si="6"/>
        <v>0</v>
      </c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4">
        <f t="shared" si="7"/>
        <v>0</v>
      </c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4">
        <f t="shared" si="8"/>
        <v>0</v>
      </c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4">
        <f t="shared" si="9"/>
        <v>0</v>
      </c>
    </row>
    <row r="14" spans="1:73" hidden="1" x14ac:dyDescent="0.25">
      <c r="C14" s="15" t="s">
        <v>7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4">
        <f t="shared" si="5"/>
        <v>0</v>
      </c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4">
        <f t="shared" si="6"/>
        <v>0</v>
      </c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4">
        <f t="shared" si="7"/>
        <v>0</v>
      </c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4">
        <f t="shared" si="8"/>
        <v>0</v>
      </c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4">
        <f t="shared" si="9"/>
        <v>0</v>
      </c>
    </row>
    <row r="15" spans="1:73" hidden="1" x14ac:dyDescent="0.25">
      <c r="C15" s="11" t="s">
        <v>7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4">
        <f t="shared" si="5"/>
        <v>0</v>
      </c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4">
        <f t="shared" si="6"/>
        <v>0</v>
      </c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4">
        <f t="shared" si="7"/>
        <v>0</v>
      </c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4">
        <f t="shared" si="8"/>
        <v>0</v>
      </c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4">
        <f t="shared" si="9"/>
        <v>0</v>
      </c>
    </row>
    <row r="16" spans="1:73" hidden="1" x14ac:dyDescent="0.25">
      <c r="C16" s="11" t="s">
        <v>7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4">
        <f t="shared" si="5"/>
        <v>0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4">
        <f t="shared" si="6"/>
        <v>0</v>
      </c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4">
        <f t="shared" si="7"/>
        <v>0</v>
      </c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4">
        <f t="shared" si="8"/>
        <v>0</v>
      </c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4">
        <f t="shared" si="9"/>
        <v>0</v>
      </c>
    </row>
    <row r="17" spans="3:73" hidden="1" x14ac:dyDescent="0.25">
      <c r="C17" s="11" t="s">
        <v>7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4">
        <f t="shared" si="5"/>
        <v>0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4">
        <f t="shared" si="6"/>
        <v>0</v>
      </c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4">
        <f t="shared" si="7"/>
        <v>0</v>
      </c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4">
        <f t="shared" si="8"/>
        <v>0</v>
      </c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4">
        <f t="shared" si="9"/>
        <v>0</v>
      </c>
    </row>
    <row r="18" spans="3:73" hidden="1" x14ac:dyDescent="0.25">
      <c r="C18" s="11" t="s">
        <v>7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4">
        <f t="shared" si="5"/>
        <v>0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4">
        <f t="shared" si="6"/>
        <v>0</v>
      </c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4">
        <f t="shared" si="7"/>
        <v>0</v>
      </c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4">
        <f t="shared" si="8"/>
        <v>0</v>
      </c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4">
        <f t="shared" si="9"/>
        <v>0</v>
      </c>
    </row>
    <row r="19" spans="3:73" hidden="1" x14ac:dyDescent="0.25">
      <c r="C19" s="11" t="s">
        <v>7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4">
        <f t="shared" si="5"/>
        <v>0</v>
      </c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4">
        <f t="shared" si="6"/>
        <v>0</v>
      </c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4">
        <f t="shared" si="7"/>
        <v>0</v>
      </c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4">
        <f t="shared" si="8"/>
        <v>0</v>
      </c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4">
        <f t="shared" si="9"/>
        <v>0</v>
      </c>
    </row>
    <row r="20" spans="3:73" x14ac:dyDescent="0.25">
      <c r="C20" s="8" t="s">
        <v>8</v>
      </c>
      <c r="E20" s="13">
        <f ca="1">SUM(INDIRECT(ADDRESS(income_min_row,COLUMN())&amp;":"&amp;ADDRESS(income_max_row,COLUMN())))</f>
        <v>3240</v>
      </c>
      <c r="F20" s="13">
        <f ca="1">SUM(INDIRECT(ADDRESS(income_min_row,COLUMN())&amp;":"&amp;ADDRESS(income_max_row,COLUMN())))</f>
        <v>3255</v>
      </c>
      <c r="G20" s="13">
        <f ca="1">SUM(INDIRECT(ADDRESS(income_min_row,COLUMN())&amp;":"&amp;ADDRESS(income_max_row,COLUMN())))</f>
        <v>3240</v>
      </c>
      <c r="H20" s="13">
        <f ca="1">SUM(INDIRECT(ADDRESS(income_min_row,COLUMN())&amp;":"&amp;ADDRESS(income_max_row,COLUMN())))</f>
        <v>3265</v>
      </c>
      <c r="I20" s="13">
        <f ca="1">SUM(INDIRECT(ADDRESS(income_min_row,COLUMN())&amp;":"&amp;ADDRESS(income_max_row,COLUMN())))</f>
        <v>3275</v>
      </c>
      <c r="J20" s="13">
        <f ca="1">SUM(INDIRECT(ADDRESS(income_min_row,COLUMN())&amp;":"&amp;ADDRESS(income_max_row,COLUMN())))</f>
        <v>8080</v>
      </c>
      <c r="K20" s="13">
        <f ca="1">SUM(INDIRECT(ADDRESS(income_min_row,COLUMN())&amp;":"&amp;ADDRESS(income_max_row,COLUMN())))</f>
        <v>55</v>
      </c>
      <c r="L20" s="13">
        <f ca="1">SUM(INDIRECT(ADDRESS(income_min_row,COLUMN())&amp;":"&amp;ADDRESS(income_max_row,COLUMN())))</f>
        <v>55</v>
      </c>
      <c r="M20" s="13">
        <f ca="1">SUM(INDIRECT(ADDRESS(income_min_row,COLUMN())&amp;":"&amp;ADDRESS(income_max_row,COLUMN())))</f>
        <v>2455</v>
      </c>
      <c r="N20" s="13">
        <f ca="1">SUM(INDIRECT(ADDRESS(income_min_row,COLUMN())&amp;":"&amp;ADDRESS(income_max_row,COLUMN())))</f>
        <v>2430</v>
      </c>
      <c r="O20" s="13">
        <f ca="1">SUM(INDIRECT(ADDRESS(income_min_row,COLUMN())&amp;":"&amp;ADDRESS(income_max_row,COLUMN())))</f>
        <v>2430</v>
      </c>
      <c r="P20" s="13">
        <f ca="1">SUM(INDIRECT(ADDRESS(income_min_row,COLUMN())&amp;":"&amp;ADDRESS(income_max_row,COLUMN())))</f>
        <v>2430</v>
      </c>
      <c r="Q20" s="24">
        <f ca="1">SUM(E20:P20)</f>
        <v>34210</v>
      </c>
      <c r="S20" s="13">
        <f ca="1">SUM(INDIRECT(ADDRESS(income_min_row,COLUMN())&amp;":"&amp;ADDRESS(income_max_row,COLUMN())))</f>
        <v>0</v>
      </c>
      <c r="T20" s="13">
        <f ca="1">SUM(INDIRECT(ADDRESS(income_min_row,COLUMN())&amp;":"&amp;ADDRESS(income_max_row,COLUMN())))</f>
        <v>0</v>
      </c>
      <c r="U20" s="13">
        <f ca="1">SUM(INDIRECT(ADDRESS(income_min_row,COLUMN())&amp;":"&amp;ADDRESS(income_max_row,COLUMN())))</f>
        <v>0</v>
      </c>
      <c r="V20" s="13">
        <f ca="1">SUM(INDIRECT(ADDRESS(income_min_row,COLUMN())&amp;":"&amp;ADDRESS(income_max_row,COLUMN())))</f>
        <v>0</v>
      </c>
      <c r="W20" s="13">
        <f ca="1">SUM(INDIRECT(ADDRESS(income_min_row,COLUMN())&amp;":"&amp;ADDRESS(income_max_row,COLUMN())))</f>
        <v>0</v>
      </c>
      <c r="X20" s="13">
        <f ca="1">SUM(INDIRECT(ADDRESS(income_min_row,COLUMN())&amp;":"&amp;ADDRESS(income_max_row,COLUMN())))</f>
        <v>0</v>
      </c>
      <c r="Y20" s="13">
        <f ca="1">SUM(INDIRECT(ADDRESS(income_min_row,COLUMN())&amp;":"&amp;ADDRESS(income_max_row,COLUMN())))</f>
        <v>0</v>
      </c>
      <c r="Z20" s="13">
        <f ca="1">SUM(INDIRECT(ADDRESS(income_min_row,COLUMN())&amp;":"&amp;ADDRESS(income_max_row,COLUMN())))</f>
        <v>0</v>
      </c>
      <c r="AA20" s="13">
        <f ca="1">SUM(INDIRECT(ADDRESS(income_min_row,COLUMN())&amp;":"&amp;ADDRESS(income_max_row,COLUMN())))</f>
        <v>0</v>
      </c>
      <c r="AB20" s="13">
        <f ca="1">SUM(INDIRECT(ADDRESS(income_min_row,COLUMN())&amp;":"&amp;ADDRESS(income_max_row,COLUMN())))</f>
        <v>0</v>
      </c>
      <c r="AC20" s="13">
        <f ca="1">SUM(INDIRECT(ADDRESS(income_min_row,COLUMN())&amp;":"&amp;ADDRESS(income_max_row,COLUMN())))</f>
        <v>0</v>
      </c>
      <c r="AD20" s="13">
        <f ca="1">SUM(INDIRECT(ADDRESS(income_min_row,COLUMN())&amp;":"&amp;ADDRESS(income_max_row,COLUMN())))</f>
        <v>0</v>
      </c>
      <c r="AE20" s="14"/>
      <c r="AG20" s="13">
        <f ca="1">SUM(INDIRECT(ADDRESS(income_min_row,COLUMN())&amp;":"&amp;ADDRESS(income_max_row,COLUMN())))</f>
        <v>0</v>
      </c>
      <c r="AH20" s="13">
        <f ca="1">SUM(INDIRECT(ADDRESS(income_min_row,COLUMN())&amp;":"&amp;ADDRESS(income_max_row,COLUMN())))</f>
        <v>0</v>
      </c>
      <c r="AI20" s="13">
        <f ca="1">SUM(INDIRECT(ADDRESS(income_min_row,COLUMN())&amp;":"&amp;ADDRESS(income_max_row,COLUMN())))</f>
        <v>0</v>
      </c>
      <c r="AJ20" s="13">
        <f ca="1">SUM(INDIRECT(ADDRESS(income_min_row,COLUMN())&amp;":"&amp;ADDRESS(income_max_row,COLUMN())))</f>
        <v>0</v>
      </c>
      <c r="AK20" s="13">
        <f ca="1">SUM(INDIRECT(ADDRESS(income_min_row,COLUMN())&amp;":"&amp;ADDRESS(income_max_row,COLUMN())))</f>
        <v>0</v>
      </c>
      <c r="AL20" s="13">
        <f ca="1">SUM(INDIRECT(ADDRESS(income_min_row,COLUMN())&amp;":"&amp;ADDRESS(income_max_row,COLUMN())))</f>
        <v>0</v>
      </c>
      <c r="AM20" s="13">
        <f ca="1">SUM(INDIRECT(ADDRESS(income_min_row,COLUMN())&amp;":"&amp;ADDRESS(income_max_row,COLUMN())))</f>
        <v>0</v>
      </c>
      <c r="AN20" s="13">
        <f ca="1">SUM(INDIRECT(ADDRESS(income_min_row,COLUMN())&amp;":"&amp;ADDRESS(income_max_row,COLUMN())))</f>
        <v>0</v>
      </c>
      <c r="AO20" s="13">
        <f ca="1">SUM(INDIRECT(ADDRESS(income_min_row,COLUMN())&amp;":"&amp;ADDRESS(income_max_row,COLUMN())))</f>
        <v>0</v>
      </c>
      <c r="AP20" s="13">
        <f ca="1">SUM(INDIRECT(ADDRESS(income_min_row,COLUMN())&amp;":"&amp;ADDRESS(income_max_row,COLUMN())))</f>
        <v>0</v>
      </c>
      <c r="AQ20" s="13">
        <f ca="1">SUM(INDIRECT(ADDRESS(income_min_row,COLUMN())&amp;":"&amp;ADDRESS(income_max_row,COLUMN())))</f>
        <v>0</v>
      </c>
      <c r="AR20" s="13">
        <f ca="1">SUM(INDIRECT(ADDRESS(income_min_row,COLUMN())&amp;":"&amp;ADDRESS(income_max_row,COLUMN())))</f>
        <v>0</v>
      </c>
      <c r="AS20" s="14"/>
      <c r="AU20" s="13">
        <f ca="1">SUM(INDIRECT(ADDRESS(income_min_row,COLUMN())&amp;":"&amp;ADDRESS(income_max_row,COLUMN())))</f>
        <v>0</v>
      </c>
      <c r="AV20" s="13">
        <f ca="1">SUM(INDIRECT(ADDRESS(income_min_row,COLUMN())&amp;":"&amp;ADDRESS(income_max_row,COLUMN())))</f>
        <v>0</v>
      </c>
      <c r="AW20" s="13">
        <f ca="1">SUM(INDIRECT(ADDRESS(income_min_row,COLUMN())&amp;":"&amp;ADDRESS(income_max_row,COLUMN())))</f>
        <v>0</v>
      </c>
      <c r="AX20" s="13">
        <f ca="1">SUM(INDIRECT(ADDRESS(income_min_row,COLUMN())&amp;":"&amp;ADDRESS(income_max_row,COLUMN())))</f>
        <v>0</v>
      </c>
      <c r="AY20" s="13">
        <f ca="1">SUM(INDIRECT(ADDRESS(income_min_row,COLUMN())&amp;":"&amp;ADDRESS(income_max_row,COLUMN())))</f>
        <v>0</v>
      </c>
      <c r="AZ20" s="13">
        <f ca="1">SUM(INDIRECT(ADDRESS(income_min_row,COLUMN())&amp;":"&amp;ADDRESS(income_max_row,COLUMN())))</f>
        <v>0</v>
      </c>
      <c r="BA20" s="13">
        <f ca="1">SUM(INDIRECT(ADDRESS(income_min_row,COLUMN())&amp;":"&amp;ADDRESS(income_max_row,COLUMN())))</f>
        <v>0</v>
      </c>
      <c r="BB20" s="13">
        <f ca="1">SUM(INDIRECT(ADDRESS(income_min_row,COLUMN())&amp;":"&amp;ADDRESS(income_max_row,COLUMN())))</f>
        <v>0</v>
      </c>
      <c r="BC20" s="13">
        <f ca="1">SUM(INDIRECT(ADDRESS(income_min_row,COLUMN())&amp;":"&amp;ADDRESS(income_max_row,COLUMN())))</f>
        <v>0</v>
      </c>
      <c r="BD20" s="13">
        <f ca="1">SUM(INDIRECT(ADDRESS(income_min_row,COLUMN())&amp;":"&amp;ADDRESS(income_max_row,COLUMN())))</f>
        <v>0</v>
      </c>
      <c r="BE20" s="13">
        <f ca="1">SUM(INDIRECT(ADDRESS(income_min_row,COLUMN())&amp;":"&amp;ADDRESS(income_max_row,COLUMN())))</f>
        <v>0</v>
      </c>
      <c r="BF20" s="13">
        <f ca="1">SUM(INDIRECT(ADDRESS(income_min_row,COLUMN())&amp;":"&amp;ADDRESS(income_max_row,COLUMN())))</f>
        <v>0</v>
      </c>
      <c r="BG20" s="14"/>
      <c r="BI20" s="13">
        <f ca="1">SUM(INDIRECT(ADDRESS(income_min_row,COLUMN())&amp;":"&amp;ADDRESS(income_max_row,COLUMN())))</f>
        <v>0</v>
      </c>
      <c r="BJ20" s="13">
        <f ca="1">SUM(INDIRECT(ADDRESS(income_min_row,COLUMN())&amp;":"&amp;ADDRESS(income_max_row,COLUMN())))</f>
        <v>0</v>
      </c>
      <c r="BK20" s="13">
        <f ca="1">SUM(INDIRECT(ADDRESS(income_min_row,COLUMN())&amp;":"&amp;ADDRESS(income_max_row,COLUMN())))</f>
        <v>0</v>
      </c>
      <c r="BL20" s="13">
        <f ca="1">SUM(INDIRECT(ADDRESS(income_min_row,COLUMN())&amp;":"&amp;ADDRESS(income_max_row,COLUMN())))</f>
        <v>0</v>
      </c>
      <c r="BM20" s="13">
        <f ca="1">SUM(INDIRECT(ADDRESS(income_min_row,COLUMN())&amp;":"&amp;ADDRESS(income_max_row,COLUMN())))</f>
        <v>0</v>
      </c>
      <c r="BN20" s="13">
        <f ca="1">SUM(INDIRECT(ADDRESS(income_min_row,COLUMN())&amp;":"&amp;ADDRESS(income_max_row,COLUMN())))</f>
        <v>0</v>
      </c>
      <c r="BO20" s="13">
        <f ca="1">SUM(INDIRECT(ADDRESS(income_min_row,COLUMN())&amp;":"&amp;ADDRESS(income_max_row,COLUMN())))</f>
        <v>0</v>
      </c>
      <c r="BP20" s="13">
        <f ca="1">SUM(INDIRECT(ADDRESS(income_min_row,COLUMN())&amp;":"&amp;ADDRESS(income_max_row,COLUMN())))</f>
        <v>0</v>
      </c>
      <c r="BQ20" s="13">
        <f ca="1">SUM(INDIRECT(ADDRESS(income_min_row,COLUMN())&amp;":"&amp;ADDRESS(income_max_row,COLUMN())))</f>
        <v>0</v>
      </c>
      <c r="BR20" s="13">
        <f ca="1">SUM(INDIRECT(ADDRESS(income_min_row,COLUMN())&amp;":"&amp;ADDRESS(income_max_row,COLUMN())))</f>
        <v>0</v>
      </c>
      <c r="BS20" s="13">
        <f ca="1">SUM(INDIRECT(ADDRESS(income_min_row,COLUMN())&amp;":"&amp;ADDRESS(income_max_row,COLUMN())))</f>
        <v>0</v>
      </c>
      <c r="BT20" s="13">
        <f ca="1">SUM(INDIRECT(ADDRESS(income_min_row,COLUMN())&amp;":"&amp;ADDRESS(income_max_row,COLUMN())))</f>
        <v>0</v>
      </c>
      <c r="BU20" s="14"/>
    </row>
    <row r="22" spans="3:73" x14ac:dyDescent="0.25">
      <c r="C22" s="7" t="s">
        <v>13</v>
      </c>
      <c r="E22" s="16">
        <f>DATE(E$5, 1, 1)</f>
        <v>44562</v>
      </c>
      <c r="F22" s="16">
        <f>DATE(E$5, 2, 1)</f>
        <v>44593</v>
      </c>
      <c r="G22" s="16">
        <f>DATE(E$5, 3, 1)</f>
        <v>44621</v>
      </c>
      <c r="H22" s="16">
        <f>DATE(E$5, 4, 1)</f>
        <v>44652</v>
      </c>
      <c r="I22" s="16">
        <f>DATE(E$5, 5, 1)</f>
        <v>44682</v>
      </c>
      <c r="J22" s="16">
        <f>DATE(E$5, 6, 1)</f>
        <v>44713</v>
      </c>
      <c r="K22" s="16">
        <f>DATE(E$5, 7, 1)</f>
        <v>44743</v>
      </c>
      <c r="L22" s="16">
        <f>DATE(E$5, 8, 1)</f>
        <v>44774</v>
      </c>
      <c r="M22" s="16">
        <f>DATE(E$5, 9, 1)</f>
        <v>44805</v>
      </c>
      <c r="N22" s="16">
        <f>DATE(E$5, 10, 1)</f>
        <v>44835</v>
      </c>
      <c r="O22" s="16">
        <f>DATE(E$5, 11, 1)</f>
        <v>44866</v>
      </c>
      <c r="P22" s="16">
        <f>DATE(E$5, 12, 1)</f>
        <v>44896</v>
      </c>
      <c r="Q22" s="17">
        <f>E$5</f>
        <v>2022</v>
      </c>
      <c r="S22" s="16">
        <f>DATE(S$5, 1, 1)</f>
        <v>44927</v>
      </c>
      <c r="T22" s="16">
        <f>DATE(S$5, 2, 1)</f>
        <v>44958</v>
      </c>
      <c r="U22" s="16">
        <f>DATE(S$5, 3, 1)</f>
        <v>44986</v>
      </c>
      <c r="V22" s="16">
        <f>DATE(S$5, 4, 1)</f>
        <v>45017</v>
      </c>
      <c r="W22" s="16">
        <f>DATE(S$5, 5, 1)</f>
        <v>45047</v>
      </c>
      <c r="X22" s="16">
        <f>DATE(S$5, 6, 1)</f>
        <v>45078</v>
      </c>
      <c r="Y22" s="16">
        <f>DATE(S$5, 7, 1)</f>
        <v>45108</v>
      </c>
      <c r="Z22" s="16">
        <f>DATE(S$5, 8, 1)</f>
        <v>45139</v>
      </c>
      <c r="AA22" s="16">
        <f>DATE(S$5, 9, 1)</f>
        <v>45170</v>
      </c>
      <c r="AB22" s="16">
        <f>DATE(S$5, 10, 1)</f>
        <v>45200</v>
      </c>
      <c r="AC22" s="16">
        <f>DATE(S$5, 11, 1)</f>
        <v>45231</v>
      </c>
      <c r="AD22" s="16">
        <f>DATE(S$5, 12, 1)</f>
        <v>45261</v>
      </c>
      <c r="AE22" s="17">
        <f>S$5</f>
        <v>2023</v>
      </c>
      <c r="AG22" s="16">
        <f>DATE(AG$5, 1, 1)</f>
        <v>45292</v>
      </c>
      <c r="AH22" s="16">
        <f>DATE(AG$5, 2, 1)</f>
        <v>45323</v>
      </c>
      <c r="AI22" s="16">
        <f>DATE(AG$5, 3, 1)</f>
        <v>45352</v>
      </c>
      <c r="AJ22" s="16">
        <f>DATE(AG$5, 4, 1)</f>
        <v>45383</v>
      </c>
      <c r="AK22" s="16">
        <f>DATE(AG$5, 5, 1)</f>
        <v>45413</v>
      </c>
      <c r="AL22" s="16">
        <f>DATE(AG$5, 6, 1)</f>
        <v>45444</v>
      </c>
      <c r="AM22" s="16">
        <f>DATE(AG$5, 7, 1)</f>
        <v>45474</v>
      </c>
      <c r="AN22" s="16">
        <f>DATE(AG$5, 8, 1)</f>
        <v>45505</v>
      </c>
      <c r="AO22" s="16">
        <f>DATE(AG$5, 9, 1)</f>
        <v>45536</v>
      </c>
      <c r="AP22" s="16">
        <f>DATE(AG$5, 10, 1)</f>
        <v>45566</v>
      </c>
      <c r="AQ22" s="16">
        <f>DATE(AG$5, 11, 1)</f>
        <v>45597</v>
      </c>
      <c r="AR22" s="16">
        <f>DATE(AG$5, 12, 1)</f>
        <v>45627</v>
      </c>
      <c r="AS22" s="17">
        <f>AG$5</f>
        <v>2024</v>
      </c>
      <c r="AU22" s="16">
        <f>DATE(AU$5, 1, 1)</f>
        <v>45658</v>
      </c>
      <c r="AV22" s="16">
        <f>DATE(AU$5, 2, 1)</f>
        <v>45689</v>
      </c>
      <c r="AW22" s="16">
        <f>DATE(AU$5, 3, 1)</f>
        <v>45717</v>
      </c>
      <c r="AX22" s="16">
        <f>DATE(AU$5, 4, 1)</f>
        <v>45748</v>
      </c>
      <c r="AY22" s="16">
        <f>DATE(AU$5, 5, 1)</f>
        <v>45778</v>
      </c>
      <c r="AZ22" s="16">
        <f>DATE(AU$5, 6, 1)</f>
        <v>45809</v>
      </c>
      <c r="BA22" s="16">
        <f>DATE(AU$5, 7, 1)</f>
        <v>45839</v>
      </c>
      <c r="BB22" s="16">
        <f>DATE(AU$5, 8, 1)</f>
        <v>45870</v>
      </c>
      <c r="BC22" s="16">
        <f>DATE(AU$5, 9, 1)</f>
        <v>45901</v>
      </c>
      <c r="BD22" s="16">
        <f>DATE(AU$5, 10, 1)</f>
        <v>45931</v>
      </c>
      <c r="BE22" s="16">
        <f>DATE(AU$5, 11, 1)</f>
        <v>45962</v>
      </c>
      <c r="BF22" s="16">
        <f>DATE(AU$5, 12, 1)</f>
        <v>45992</v>
      </c>
      <c r="BG22" s="17">
        <f>AU$5</f>
        <v>2025</v>
      </c>
      <c r="BI22" s="16">
        <f>DATE(BI$5, 1, 1)</f>
        <v>46023</v>
      </c>
      <c r="BJ22" s="16">
        <f>DATE(BI$5, 2, 1)</f>
        <v>46054</v>
      </c>
      <c r="BK22" s="16">
        <f>DATE(BI$5, 3, 1)</f>
        <v>46082</v>
      </c>
      <c r="BL22" s="16">
        <f>DATE(BI$5, 4, 1)</f>
        <v>46113</v>
      </c>
      <c r="BM22" s="16">
        <f>DATE(BI$5, 5, 1)</f>
        <v>46143</v>
      </c>
      <c r="BN22" s="16">
        <f>DATE(BI$5, 6, 1)</f>
        <v>46174</v>
      </c>
      <c r="BO22" s="16">
        <f>DATE(BI$5, 7, 1)</f>
        <v>46204</v>
      </c>
      <c r="BP22" s="16">
        <f>DATE(BI$5, 8, 1)</f>
        <v>46235</v>
      </c>
      <c r="BQ22" s="16">
        <f>DATE(BI$5, 9, 1)</f>
        <v>46266</v>
      </c>
      <c r="BR22" s="16">
        <f>DATE(BI$5, 10, 1)</f>
        <v>46296</v>
      </c>
      <c r="BS22" s="16">
        <f>DATE(BI$5, 11, 1)</f>
        <v>46327</v>
      </c>
      <c r="BT22" s="16">
        <f>DATE(BI$5, 12, 1)</f>
        <v>46357</v>
      </c>
      <c r="BU22" s="17">
        <f>BI$5</f>
        <v>2026</v>
      </c>
    </row>
    <row r="23" spans="3:73" x14ac:dyDescent="0.25">
      <c r="C23" s="11" t="s">
        <v>14</v>
      </c>
      <c r="E23" s="12">
        <v>100</v>
      </c>
      <c r="F23" s="12">
        <v>100</v>
      </c>
      <c r="G23" s="12">
        <v>100</v>
      </c>
      <c r="H23" s="12">
        <v>100</v>
      </c>
      <c r="I23" s="12">
        <v>100</v>
      </c>
      <c r="J23" s="12">
        <v>100</v>
      </c>
      <c r="K23" s="12">
        <v>100</v>
      </c>
      <c r="L23" s="12">
        <v>100</v>
      </c>
      <c r="M23" s="12">
        <v>100</v>
      </c>
      <c r="N23" s="12">
        <v>100</v>
      </c>
      <c r="O23" s="12">
        <v>100</v>
      </c>
      <c r="P23" s="12">
        <v>100</v>
      </c>
      <c r="Q23" s="14">
        <f>SUM(E23:P23)</f>
        <v>1200</v>
      </c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4">
        <f>SUM(S23:AD23)</f>
        <v>0</v>
      </c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4">
        <f>SUM(AG23:AR23)</f>
        <v>0</v>
      </c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4">
        <f>SUM(AU23:BF23)</f>
        <v>0</v>
      </c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4">
        <f>SUM(BI23:BT23)</f>
        <v>0</v>
      </c>
    </row>
    <row r="24" spans="3:73" x14ac:dyDescent="0.25">
      <c r="C24" s="11" t="s">
        <v>15</v>
      </c>
      <c r="E24" s="12">
        <v>100</v>
      </c>
      <c r="F24" s="12">
        <v>100</v>
      </c>
      <c r="G24" s="12">
        <v>100</v>
      </c>
      <c r="H24" s="12">
        <v>100</v>
      </c>
      <c r="I24" s="12">
        <v>100</v>
      </c>
      <c r="J24" s="12">
        <v>100</v>
      </c>
      <c r="K24" s="12">
        <v>100</v>
      </c>
      <c r="L24" s="12">
        <v>100</v>
      </c>
      <c r="M24" s="12">
        <v>100</v>
      </c>
      <c r="N24" s="12">
        <v>100</v>
      </c>
      <c r="O24" s="12">
        <v>100</v>
      </c>
      <c r="P24" s="12">
        <v>100</v>
      </c>
      <c r="Q24" s="14">
        <f t="shared" ref="Q24:Q37" si="10">SUM(E24:P24)</f>
        <v>1200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4">
        <f t="shared" ref="AE24:AE37" si="11">SUM(S24:AD24)</f>
        <v>0</v>
      </c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4">
        <f t="shared" ref="AS24:AS37" si="12">SUM(AG24:AR24)</f>
        <v>0</v>
      </c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4">
        <f t="shared" ref="BG24:BG37" si="13">SUM(AU24:BF24)</f>
        <v>0</v>
      </c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4">
        <f t="shared" ref="BU24:BU37" si="14">SUM(BI24:BT24)</f>
        <v>0</v>
      </c>
    </row>
    <row r="25" spans="3:73" x14ac:dyDescent="0.25">
      <c r="C25" s="11" t="s">
        <v>16</v>
      </c>
      <c r="E25" s="12">
        <v>300</v>
      </c>
      <c r="F25" s="12">
        <v>300</v>
      </c>
      <c r="G25" s="12">
        <v>300</v>
      </c>
      <c r="H25" s="12">
        <v>300</v>
      </c>
      <c r="I25" s="12">
        <v>300</v>
      </c>
      <c r="J25" s="12">
        <v>300</v>
      </c>
      <c r="K25" s="12">
        <v>300</v>
      </c>
      <c r="L25" s="12">
        <v>300</v>
      </c>
      <c r="M25" s="12">
        <v>300</v>
      </c>
      <c r="N25" s="12">
        <v>300</v>
      </c>
      <c r="O25" s="12">
        <v>300</v>
      </c>
      <c r="P25" s="12">
        <v>300</v>
      </c>
      <c r="Q25" s="14">
        <f t="shared" si="10"/>
        <v>3600</v>
      </c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4">
        <f t="shared" si="11"/>
        <v>0</v>
      </c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4">
        <f t="shared" si="12"/>
        <v>0</v>
      </c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4">
        <f t="shared" si="13"/>
        <v>0</v>
      </c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4">
        <f t="shared" si="14"/>
        <v>0</v>
      </c>
    </row>
    <row r="26" spans="3:73" x14ac:dyDescent="0.25">
      <c r="C26" s="11" t="s">
        <v>25</v>
      </c>
      <c r="E26" s="12">
        <v>300</v>
      </c>
      <c r="F26" s="12">
        <v>300</v>
      </c>
      <c r="G26" s="12">
        <v>300</v>
      </c>
      <c r="H26" s="12">
        <v>300</v>
      </c>
      <c r="I26" s="12">
        <v>300</v>
      </c>
      <c r="J26" s="12">
        <v>300</v>
      </c>
      <c r="K26" s="12">
        <v>300</v>
      </c>
      <c r="L26" s="12">
        <v>300</v>
      </c>
      <c r="M26" s="12">
        <v>300</v>
      </c>
      <c r="N26" s="12">
        <v>300</v>
      </c>
      <c r="O26" s="12">
        <v>300</v>
      </c>
      <c r="P26" s="12">
        <v>300</v>
      </c>
      <c r="Q26" s="14">
        <f t="shared" si="10"/>
        <v>3600</v>
      </c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4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4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4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4"/>
    </row>
    <row r="27" spans="3:73" x14ac:dyDescent="0.25">
      <c r="C27" s="11" t="s">
        <v>26</v>
      </c>
      <c r="E27" s="12">
        <v>300</v>
      </c>
      <c r="F27" s="12">
        <v>300</v>
      </c>
      <c r="G27" s="12">
        <v>300</v>
      </c>
      <c r="H27" s="12">
        <v>300</v>
      </c>
      <c r="I27" s="12">
        <v>300</v>
      </c>
      <c r="J27" s="12">
        <v>300</v>
      </c>
      <c r="K27" s="12">
        <v>300</v>
      </c>
      <c r="L27" s="12">
        <v>300</v>
      </c>
      <c r="M27" s="12">
        <v>300</v>
      </c>
      <c r="N27" s="12">
        <v>300</v>
      </c>
      <c r="O27" s="12">
        <v>300</v>
      </c>
      <c r="P27" s="12">
        <v>300</v>
      </c>
      <c r="Q27" s="14">
        <f t="shared" si="10"/>
        <v>3600</v>
      </c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4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4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4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4"/>
    </row>
    <row r="28" spans="3:73" x14ac:dyDescent="0.25">
      <c r="C28" s="11" t="s">
        <v>28</v>
      </c>
      <c r="E28" s="12">
        <v>300</v>
      </c>
      <c r="F28" s="12">
        <v>300</v>
      </c>
      <c r="G28" s="12">
        <v>300</v>
      </c>
      <c r="H28" s="12">
        <v>300</v>
      </c>
      <c r="I28" s="12">
        <v>300</v>
      </c>
      <c r="J28" s="12">
        <v>300</v>
      </c>
      <c r="K28" s="12">
        <v>300</v>
      </c>
      <c r="L28" s="12">
        <v>300</v>
      </c>
      <c r="M28" s="12">
        <v>300</v>
      </c>
      <c r="N28" s="12">
        <v>300</v>
      </c>
      <c r="O28" s="12">
        <v>300</v>
      </c>
      <c r="P28" s="12">
        <v>300</v>
      </c>
      <c r="Q28" s="14">
        <f t="shared" si="10"/>
        <v>3600</v>
      </c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4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4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4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4"/>
    </row>
    <row r="29" spans="3:73" x14ac:dyDescent="0.25">
      <c r="C29" s="11" t="s">
        <v>29</v>
      </c>
      <c r="E29" s="12">
        <v>300</v>
      </c>
      <c r="F29" s="12">
        <v>300</v>
      </c>
      <c r="G29" s="12">
        <v>300</v>
      </c>
      <c r="H29" s="12">
        <v>300</v>
      </c>
      <c r="I29" s="12">
        <v>300</v>
      </c>
      <c r="J29" s="12">
        <v>300</v>
      </c>
      <c r="K29" s="12">
        <v>300</v>
      </c>
      <c r="L29" s="12">
        <v>300</v>
      </c>
      <c r="M29" s="12">
        <v>300</v>
      </c>
      <c r="N29" s="12">
        <v>300</v>
      </c>
      <c r="O29" s="12">
        <v>300</v>
      </c>
      <c r="P29" s="12">
        <v>300</v>
      </c>
      <c r="Q29" s="14">
        <f t="shared" si="10"/>
        <v>3600</v>
      </c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4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4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4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4"/>
    </row>
    <row r="30" spans="3:73" x14ac:dyDescent="0.25">
      <c r="C30" s="11" t="s">
        <v>27</v>
      </c>
      <c r="E30" s="12">
        <v>300</v>
      </c>
      <c r="F30" s="12">
        <v>300</v>
      </c>
      <c r="G30" s="12">
        <v>300</v>
      </c>
      <c r="H30" s="12">
        <v>300</v>
      </c>
      <c r="I30" s="12">
        <v>300</v>
      </c>
      <c r="J30" s="12">
        <v>300</v>
      </c>
      <c r="K30" s="12">
        <v>300</v>
      </c>
      <c r="L30" s="12">
        <v>300</v>
      </c>
      <c r="M30" s="12">
        <v>300</v>
      </c>
      <c r="N30" s="12">
        <v>300</v>
      </c>
      <c r="O30" s="12">
        <v>300</v>
      </c>
      <c r="P30" s="12">
        <v>300</v>
      </c>
      <c r="Q30" s="14">
        <f t="shared" si="10"/>
        <v>3600</v>
      </c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4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4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4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4"/>
    </row>
    <row r="31" spans="3:73" x14ac:dyDescent="0.25">
      <c r="C31" s="11" t="s">
        <v>30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4">
        <f t="shared" si="10"/>
        <v>0</v>
      </c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4">
        <f t="shared" si="11"/>
        <v>0</v>
      </c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4">
        <f t="shared" si="12"/>
        <v>0</v>
      </c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4">
        <f t="shared" si="13"/>
        <v>0</v>
      </c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4">
        <f t="shared" si="14"/>
        <v>0</v>
      </c>
    </row>
    <row r="32" spans="3:73" x14ac:dyDescent="0.25">
      <c r="C32" s="11" t="s">
        <v>17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4">
        <f t="shared" si="10"/>
        <v>0</v>
      </c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4">
        <f t="shared" si="11"/>
        <v>0</v>
      </c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4">
        <f t="shared" si="12"/>
        <v>0</v>
      </c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4">
        <f t="shared" si="13"/>
        <v>0</v>
      </c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4">
        <f t="shared" si="14"/>
        <v>0</v>
      </c>
    </row>
    <row r="33" spans="3:73" hidden="1" x14ac:dyDescent="0.25">
      <c r="C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4">
        <f t="shared" si="10"/>
        <v>0</v>
      </c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4">
        <f t="shared" si="11"/>
        <v>0</v>
      </c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4">
        <f t="shared" si="12"/>
        <v>0</v>
      </c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4">
        <f t="shared" si="13"/>
        <v>0</v>
      </c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4">
        <f t="shared" si="14"/>
        <v>0</v>
      </c>
    </row>
    <row r="34" spans="3:73" hidden="1" x14ac:dyDescent="0.25">
      <c r="C34" s="15" t="s">
        <v>17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4">
        <f t="shared" si="10"/>
        <v>0</v>
      </c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4">
        <f t="shared" si="11"/>
        <v>0</v>
      </c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4">
        <f t="shared" si="12"/>
        <v>0</v>
      </c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4">
        <f t="shared" si="13"/>
        <v>0</v>
      </c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4">
        <f t="shared" si="14"/>
        <v>0</v>
      </c>
    </row>
    <row r="35" spans="3:73" hidden="1" x14ac:dyDescent="0.25">
      <c r="C35" s="15" t="s">
        <v>17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4">
        <f t="shared" si="10"/>
        <v>0</v>
      </c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4">
        <f t="shared" si="11"/>
        <v>0</v>
      </c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4">
        <f t="shared" si="12"/>
        <v>0</v>
      </c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4">
        <f t="shared" si="13"/>
        <v>0</v>
      </c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4">
        <f t="shared" si="14"/>
        <v>0</v>
      </c>
    </row>
    <row r="36" spans="3:73" hidden="1" x14ac:dyDescent="0.25">
      <c r="C36" s="15" t="s">
        <v>17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4">
        <f t="shared" si="10"/>
        <v>0</v>
      </c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4">
        <f t="shared" si="11"/>
        <v>0</v>
      </c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4">
        <f t="shared" si="12"/>
        <v>0</v>
      </c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4">
        <f t="shared" si="13"/>
        <v>0</v>
      </c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4">
        <f t="shared" si="14"/>
        <v>0</v>
      </c>
    </row>
    <row r="37" spans="3:73" hidden="1" x14ac:dyDescent="0.25">
      <c r="C37" s="15" t="s">
        <v>17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4">
        <f t="shared" si="10"/>
        <v>0</v>
      </c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4">
        <f t="shared" si="11"/>
        <v>0</v>
      </c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4">
        <f t="shared" si="12"/>
        <v>0</v>
      </c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4">
        <f t="shared" si="13"/>
        <v>0</v>
      </c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4">
        <f t="shared" si="14"/>
        <v>0</v>
      </c>
    </row>
    <row r="38" spans="3:73" x14ac:dyDescent="0.25">
      <c r="C38" s="8" t="s">
        <v>8</v>
      </c>
      <c r="E38" s="13">
        <f t="shared" ref="E38:P38" ca="1" si="15">SUM(INDIRECT(ADDRESS(expense_min_row,COLUMN())&amp;":"&amp;ADDRESS(expense_max_row,COLUMN())))</f>
        <v>2000</v>
      </c>
      <c r="F38" s="13">
        <f t="shared" ca="1" si="15"/>
        <v>2000</v>
      </c>
      <c r="G38" s="13">
        <f t="shared" ca="1" si="15"/>
        <v>2000</v>
      </c>
      <c r="H38" s="13">
        <f t="shared" ca="1" si="15"/>
        <v>2000</v>
      </c>
      <c r="I38" s="13">
        <f t="shared" ca="1" si="15"/>
        <v>2000</v>
      </c>
      <c r="J38" s="13">
        <f t="shared" ca="1" si="15"/>
        <v>2000</v>
      </c>
      <c r="K38" s="13">
        <f t="shared" ca="1" si="15"/>
        <v>2000</v>
      </c>
      <c r="L38" s="13">
        <f t="shared" ca="1" si="15"/>
        <v>2000</v>
      </c>
      <c r="M38" s="13">
        <f t="shared" ca="1" si="15"/>
        <v>2000</v>
      </c>
      <c r="N38" s="13">
        <f t="shared" ca="1" si="15"/>
        <v>2000</v>
      </c>
      <c r="O38" s="13">
        <f t="shared" ca="1" si="15"/>
        <v>2000</v>
      </c>
      <c r="P38" s="13">
        <f t="shared" ca="1" si="15"/>
        <v>2000</v>
      </c>
      <c r="Q38" s="24">
        <f ca="1">SUM(E38:P38)</f>
        <v>24000</v>
      </c>
      <c r="S38" s="13">
        <f t="shared" ref="S38:AD38" ca="1" si="16">SUM(INDIRECT(ADDRESS(expense_min_row,COLUMN())&amp;":"&amp;ADDRESS(expense_max_row,COLUMN())))</f>
        <v>0</v>
      </c>
      <c r="T38" s="13">
        <f t="shared" ca="1" si="16"/>
        <v>0</v>
      </c>
      <c r="U38" s="13">
        <f t="shared" ca="1" si="16"/>
        <v>0</v>
      </c>
      <c r="V38" s="13">
        <f t="shared" ca="1" si="16"/>
        <v>0</v>
      </c>
      <c r="W38" s="13">
        <f t="shared" ca="1" si="16"/>
        <v>0</v>
      </c>
      <c r="X38" s="13">
        <f t="shared" ca="1" si="16"/>
        <v>0</v>
      </c>
      <c r="Y38" s="13">
        <f t="shared" ca="1" si="16"/>
        <v>0</v>
      </c>
      <c r="Z38" s="13">
        <f t="shared" ca="1" si="16"/>
        <v>0</v>
      </c>
      <c r="AA38" s="13">
        <f t="shared" ca="1" si="16"/>
        <v>0</v>
      </c>
      <c r="AB38" s="13">
        <f t="shared" ca="1" si="16"/>
        <v>0</v>
      </c>
      <c r="AC38" s="13">
        <f t="shared" ca="1" si="16"/>
        <v>0</v>
      </c>
      <c r="AD38" s="13">
        <f t="shared" ca="1" si="16"/>
        <v>0</v>
      </c>
      <c r="AE38" s="14"/>
      <c r="AG38" s="13">
        <f t="shared" ref="AG38:AR38" ca="1" si="17">SUM(INDIRECT(ADDRESS(expense_min_row,COLUMN())&amp;":"&amp;ADDRESS(expense_max_row,COLUMN())))</f>
        <v>0</v>
      </c>
      <c r="AH38" s="13">
        <f t="shared" ca="1" si="17"/>
        <v>0</v>
      </c>
      <c r="AI38" s="13">
        <f t="shared" ca="1" si="17"/>
        <v>0</v>
      </c>
      <c r="AJ38" s="13">
        <f t="shared" ca="1" si="17"/>
        <v>0</v>
      </c>
      <c r="AK38" s="13">
        <f t="shared" ca="1" si="17"/>
        <v>0</v>
      </c>
      <c r="AL38" s="13">
        <f t="shared" ca="1" si="17"/>
        <v>0</v>
      </c>
      <c r="AM38" s="13">
        <f t="shared" ca="1" si="17"/>
        <v>0</v>
      </c>
      <c r="AN38" s="13">
        <f t="shared" ca="1" si="17"/>
        <v>0</v>
      </c>
      <c r="AO38" s="13">
        <f t="shared" ca="1" si="17"/>
        <v>0</v>
      </c>
      <c r="AP38" s="13">
        <f t="shared" ca="1" si="17"/>
        <v>0</v>
      </c>
      <c r="AQ38" s="13">
        <f t="shared" ca="1" si="17"/>
        <v>0</v>
      </c>
      <c r="AR38" s="13">
        <f t="shared" ca="1" si="17"/>
        <v>0</v>
      </c>
      <c r="AS38" s="14"/>
      <c r="AU38" s="13">
        <f t="shared" ref="AU38:BF38" ca="1" si="18">SUM(INDIRECT(ADDRESS(expense_min_row,COLUMN())&amp;":"&amp;ADDRESS(expense_max_row,COLUMN())))</f>
        <v>0</v>
      </c>
      <c r="AV38" s="13">
        <f t="shared" ca="1" si="18"/>
        <v>0</v>
      </c>
      <c r="AW38" s="13">
        <f t="shared" ca="1" si="18"/>
        <v>0</v>
      </c>
      <c r="AX38" s="13">
        <f t="shared" ca="1" si="18"/>
        <v>0</v>
      </c>
      <c r="AY38" s="13">
        <f t="shared" ca="1" si="18"/>
        <v>0</v>
      </c>
      <c r="AZ38" s="13">
        <f t="shared" ca="1" si="18"/>
        <v>0</v>
      </c>
      <c r="BA38" s="13">
        <f t="shared" ca="1" si="18"/>
        <v>0</v>
      </c>
      <c r="BB38" s="13">
        <f t="shared" ca="1" si="18"/>
        <v>0</v>
      </c>
      <c r="BC38" s="13">
        <f t="shared" ca="1" si="18"/>
        <v>0</v>
      </c>
      <c r="BD38" s="13">
        <f t="shared" ca="1" si="18"/>
        <v>0</v>
      </c>
      <c r="BE38" s="13">
        <f t="shared" ca="1" si="18"/>
        <v>0</v>
      </c>
      <c r="BF38" s="13">
        <f t="shared" ca="1" si="18"/>
        <v>0</v>
      </c>
      <c r="BG38" s="14"/>
      <c r="BI38" s="13">
        <f t="shared" ref="BI38:BT38" ca="1" si="19">SUM(INDIRECT(ADDRESS(expense_min_row,COLUMN())&amp;":"&amp;ADDRESS(expense_max_row,COLUMN())))</f>
        <v>0</v>
      </c>
      <c r="BJ38" s="13">
        <f t="shared" ca="1" si="19"/>
        <v>0</v>
      </c>
      <c r="BK38" s="13">
        <f t="shared" ca="1" si="19"/>
        <v>0</v>
      </c>
      <c r="BL38" s="13">
        <f t="shared" ca="1" si="19"/>
        <v>0</v>
      </c>
      <c r="BM38" s="13">
        <f t="shared" ca="1" si="19"/>
        <v>0</v>
      </c>
      <c r="BN38" s="13">
        <f t="shared" ca="1" si="19"/>
        <v>0</v>
      </c>
      <c r="BO38" s="13">
        <f t="shared" ca="1" si="19"/>
        <v>0</v>
      </c>
      <c r="BP38" s="13">
        <f t="shared" ca="1" si="19"/>
        <v>0</v>
      </c>
      <c r="BQ38" s="13">
        <f t="shared" ca="1" si="19"/>
        <v>0</v>
      </c>
      <c r="BR38" s="13">
        <f t="shared" ca="1" si="19"/>
        <v>0</v>
      </c>
      <c r="BS38" s="13">
        <f t="shared" ca="1" si="19"/>
        <v>0</v>
      </c>
      <c r="BT38" s="13">
        <f t="shared" ca="1" si="19"/>
        <v>0</v>
      </c>
      <c r="BU38" s="14"/>
    </row>
    <row r="40" spans="3:73" x14ac:dyDescent="0.25">
      <c r="C40" s="7" t="s">
        <v>18</v>
      </c>
      <c r="E40" s="18">
        <f>DATE(E$5, 1, 1)</f>
        <v>44562</v>
      </c>
      <c r="F40" s="18">
        <f>DATE(E$5, 2, 1)</f>
        <v>44593</v>
      </c>
      <c r="G40" s="18">
        <f>DATE(E$5, 3, 1)</f>
        <v>44621</v>
      </c>
      <c r="H40" s="18">
        <f>DATE(E$5, 4, 1)</f>
        <v>44652</v>
      </c>
      <c r="I40" s="18">
        <f>DATE(E$5, 5, 1)</f>
        <v>44682</v>
      </c>
      <c r="J40" s="18">
        <f>DATE(E$5, 6, 1)</f>
        <v>44713</v>
      </c>
      <c r="K40" s="18">
        <f>DATE(E$5, 7, 1)</f>
        <v>44743</v>
      </c>
      <c r="L40" s="18">
        <f>DATE(E$5, 8, 1)</f>
        <v>44774</v>
      </c>
      <c r="M40" s="18">
        <f>DATE(E$5, 9, 1)</f>
        <v>44805</v>
      </c>
      <c r="N40" s="18">
        <f>DATE(E$5, 10, 1)</f>
        <v>44835</v>
      </c>
      <c r="O40" s="18">
        <f>DATE(E$5, 11, 1)</f>
        <v>44866</v>
      </c>
      <c r="P40" s="18">
        <f>DATE(E$5, 12, 1)</f>
        <v>44896</v>
      </c>
      <c r="Q40" s="19">
        <f>E$5</f>
        <v>2022</v>
      </c>
      <c r="S40" s="18">
        <f>DATE(S$5, 1, 1)</f>
        <v>44927</v>
      </c>
      <c r="T40" s="18">
        <f>DATE(S$5, 2, 1)</f>
        <v>44958</v>
      </c>
      <c r="U40" s="18">
        <f>DATE(S$5, 3, 1)</f>
        <v>44986</v>
      </c>
      <c r="V40" s="18">
        <f>DATE(S$5, 4, 1)</f>
        <v>45017</v>
      </c>
      <c r="W40" s="18">
        <f>DATE(S$5, 5, 1)</f>
        <v>45047</v>
      </c>
      <c r="X40" s="18">
        <f>DATE(S$5, 6, 1)</f>
        <v>45078</v>
      </c>
      <c r="Y40" s="18">
        <f>DATE(S$5, 7, 1)</f>
        <v>45108</v>
      </c>
      <c r="Z40" s="18">
        <f>DATE(S$5, 8, 1)</f>
        <v>45139</v>
      </c>
      <c r="AA40" s="18">
        <f>DATE(S$5, 9, 1)</f>
        <v>45170</v>
      </c>
      <c r="AB40" s="18">
        <f>DATE(S$5, 10, 1)</f>
        <v>45200</v>
      </c>
      <c r="AC40" s="18">
        <f>DATE(S$5, 11, 1)</f>
        <v>45231</v>
      </c>
      <c r="AD40" s="18">
        <f>DATE(S$5, 12, 1)</f>
        <v>45261</v>
      </c>
      <c r="AE40" s="19">
        <f>S$5</f>
        <v>2023</v>
      </c>
      <c r="AG40" s="18">
        <f>DATE(AG$5, 1, 1)</f>
        <v>45292</v>
      </c>
      <c r="AH40" s="18">
        <f>DATE(AG$5, 2, 1)</f>
        <v>45323</v>
      </c>
      <c r="AI40" s="18">
        <f>DATE(AG$5, 3, 1)</f>
        <v>45352</v>
      </c>
      <c r="AJ40" s="18">
        <f>DATE(AG$5, 4, 1)</f>
        <v>45383</v>
      </c>
      <c r="AK40" s="18">
        <f>DATE(AG$5, 5, 1)</f>
        <v>45413</v>
      </c>
      <c r="AL40" s="18">
        <f>DATE(AG$5, 6, 1)</f>
        <v>45444</v>
      </c>
      <c r="AM40" s="18">
        <f>DATE(AG$5, 7, 1)</f>
        <v>45474</v>
      </c>
      <c r="AN40" s="18">
        <f>DATE(AG$5, 8, 1)</f>
        <v>45505</v>
      </c>
      <c r="AO40" s="18">
        <f>DATE(AG$5, 9, 1)</f>
        <v>45536</v>
      </c>
      <c r="AP40" s="18">
        <f>DATE(AG$5, 10, 1)</f>
        <v>45566</v>
      </c>
      <c r="AQ40" s="18">
        <f>DATE(AG$5, 11, 1)</f>
        <v>45597</v>
      </c>
      <c r="AR40" s="18">
        <f>DATE(AG$5, 12, 1)</f>
        <v>45627</v>
      </c>
      <c r="AS40" s="19">
        <f>AG$5</f>
        <v>2024</v>
      </c>
      <c r="AU40" s="18">
        <f>DATE(AU$5, 1, 1)</f>
        <v>45658</v>
      </c>
      <c r="AV40" s="18">
        <f>DATE(AU$5, 2, 1)</f>
        <v>45689</v>
      </c>
      <c r="AW40" s="18">
        <f>DATE(AU$5, 3, 1)</f>
        <v>45717</v>
      </c>
      <c r="AX40" s="18">
        <f>DATE(AU$5, 4, 1)</f>
        <v>45748</v>
      </c>
      <c r="AY40" s="18">
        <f>DATE(AU$5, 5, 1)</f>
        <v>45778</v>
      </c>
      <c r="AZ40" s="18">
        <f>DATE(AU$5, 6, 1)</f>
        <v>45809</v>
      </c>
      <c r="BA40" s="18">
        <f>DATE(AU$5, 7, 1)</f>
        <v>45839</v>
      </c>
      <c r="BB40" s="18">
        <f>DATE(AU$5, 8, 1)</f>
        <v>45870</v>
      </c>
      <c r="BC40" s="18">
        <f>DATE(AU$5, 9, 1)</f>
        <v>45901</v>
      </c>
      <c r="BD40" s="18">
        <f>DATE(AU$5, 10, 1)</f>
        <v>45931</v>
      </c>
      <c r="BE40" s="18">
        <f>DATE(AU$5, 11, 1)</f>
        <v>45962</v>
      </c>
      <c r="BF40" s="18">
        <f>DATE(AU$5, 12, 1)</f>
        <v>45992</v>
      </c>
      <c r="BG40" s="19">
        <f>AU$5</f>
        <v>2025</v>
      </c>
      <c r="BI40" s="18">
        <f>DATE(BI$5, 1, 1)</f>
        <v>46023</v>
      </c>
      <c r="BJ40" s="18">
        <f>DATE(BI$5, 2, 1)</f>
        <v>46054</v>
      </c>
      <c r="BK40" s="18">
        <f>DATE(BI$5, 3, 1)</f>
        <v>46082</v>
      </c>
      <c r="BL40" s="18">
        <f>DATE(BI$5, 4, 1)</f>
        <v>46113</v>
      </c>
      <c r="BM40" s="18">
        <f>DATE(BI$5, 5, 1)</f>
        <v>46143</v>
      </c>
      <c r="BN40" s="18">
        <f>DATE(BI$5, 6, 1)</f>
        <v>46174</v>
      </c>
      <c r="BO40" s="18">
        <f>DATE(BI$5, 7, 1)</f>
        <v>46204</v>
      </c>
      <c r="BP40" s="18">
        <f>DATE(BI$5, 8, 1)</f>
        <v>46235</v>
      </c>
      <c r="BQ40" s="18">
        <f>DATE(BI$5, 9, 1)</f>
        <v>46266</v>
      </c>
      <c r="BR40" s="18">
        <f>DATE(BI$5, 10, 1)</f>
        <v>46296</v>
      </c>
      <c r="BS40" s="18">
        <f>DATE(BI$5, 11, 1)</f>
        <v>46327</v>
      </c>
      <c r="BT40" s="18">
        <f>DATE(BI$5, 12, 1)</f>
        <v>46357</v>
      </c>
      <c r="BU40" s="19">
        <f>BI$5</f>
        <v>2026</v>
      </c>
    </row>
    <row r="41" spans="3:73" x14ac:dyDescent="0.25">
      <c r="C41" s="11" t="s">
        <v>19</v>
      </c>
      <c r="E41" s="12">
        <v>100</v>
      </c>
      <c r="F41" s="12">
        <v>100</v>
      </c>
      <c r="G41" s="12">
        <v>100</v>
      </c>
      <c r="H41" s="12">
        <v>100</v>
      </c>
      <c r="I41" s="12">
        <v>100</v>
      </c>
      <c r="J41" s="12">
        <v>100</v>
      </c>
      <c r="K41" s="12">
        <v>100</v>
      </c>
      <c r="L41" s="12">
        <v>100</v>
      </c>
      <c r="M41" s="12">
        <v>100</v>
      </c>
      <c r="N41" s="12">
        <v>100</v>
      </c>
      <c r="O41" s="12">
        <v>100</v>
      </c>
      <c r="P41" s="12">
        <v>100</v>
      </c>
      <c r="Q41" s="14">
        <f>SUM(E41:P41)</f>
        <v>1200</v>
      </c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4">
        <f>SUM(S41:AD41)</f>
        <v>0</v>
      </c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4">
        <f>SUM(AG41:AR41)</f>
        <v>0</v>
      </c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4">
        <f>SUM(AU41:BF41)</f>
        <v>0</v>
      </c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4">
        <f>SUM(BI41:BT41)</f>
        <v>0</v>
      </c>
    </row>
    <row r="42" spans="3:73" x14ac:dyDescent="0.25">
      <c r="C42" s="11" t="s">
        <v>20</v>
      </c>
      <c r="E42" s="12">
        <v>100</v>
      </c>
      <c r="F42" s="12">
        <v>100</v>
      </c>
      <c r="G42" s="12">
        <v>100</v>
      </c>
      <c r="H42" s="12">
        <v>100</v>
      </c>
      <c r="I42" s="12">
        <v>100</v>
      </c>
      <c r="J42" s="12">
        <v>100</v>
      </c>
      <c r="K42" s="12">
        <v>100</v>
      </c>
      <c r="L42" s="12">
        <v>100</v>
      </c>
      <c r="M42" s="12">
        <v>100</v>
      </c>
      <c r="N42" s="12">
        <v>100</v>
      </c>
      <c r="O42" s="12">
        <v>100</v>
      </c>
      <c r="P42" s="12">
        <v>100</v>
      </c>
      <c r="Q42" s="14">
        <f t="shared" ref="Q42:Q50" si="20">SUM(E42:P42)</f>
        <v>1200</v>
      </c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4">
        <f t="shared" ref="AE42:AE50" si="21">SUM(S42:AD42)</f>
        <v>0</v>
      </c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4">
        <f t="shared" ref="AS42:AS50" si="22">SUM(AG42:AR42)</f>
        <v>0</v>
      </c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4">
        <f t="shared" ref="BG42:BG50" si="23">SUM(AU42:BF42)</f>
        <v>0</v>
      </c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4">
        <f t="shared" ref="BU42:BU50" si="24">SUM(BI42:BT42)</f>
        <v>0</v>
      </c>
    </row>
    <row r="43" spans="3:73" x14ac:dyDescent="0.25">
      <c r="C43" s="11" t="s">
        <v>21</v>
      </c>
      <c r="E43" s="12">
        <v>500</v>
      </c>
      <c r="F43" s="12">
        <v>500</v>
      </c>
      <c r="G43" s="12">
        <v>500</v>
      </c>
      <c r="H43" s="12">
        <v>500</v>
      </c>
      <c r="I43" s="12">
        <v>500</v>
      </c>
      <c r="J43" s="12">
        <v>5000</v>
      </c>
      <c r="K43" s="12">
        <v>5000</v>
      </c>
      <c r="L43" s="12">
        <v>5000</v>
      </c>
      <c r="M43" s="12">
        <v>500</v>
      </c>
      <c r="N43" s="12">
        <v>500</v>
      </c>
      <c r="O43" s="12">
        <v>500</v>
      </c>
      <c r="P43" s="12">
        <v>500</v>
      </c>
      <c r="Q43" s="14">
        <f t="shared" si="20"/>
        <v>19500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4">
        <f t="shared" si="21"/>
        <v>0</v>
      </c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4">
        <f t="shared" si="22"/>
        <v>0</v>
      </c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4">
        <f t="shared" si="23"/>
        <v>0</v>
      </c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4">
        <f t="shared" si="24"/>
        <v>0</v>
      </c>
    </row>
    <row r="44" spans="3:73" x14ac:dyDescent="0.25">
      <c r="C44" s="11" t="s">
        <v>22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4">
        <f t="shared" si="20"/>
        <v>0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4">
        <f t="shared" si="21"/>
        <v>0</v>
      </c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4">
        <f t="shared" si="22"/>
        <v>0</v>
      </c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4">
        <f t="shared" si="23"/>
        <v>0</v>
      </c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4">
        <f t="shared" si="24"/>
        <v>0</v>
      </c>
    </row>
    <row r="45" spans="3:73" x14ac:dyDescent="0.25">
      <c r="C45" s="11" t="s">
        <v>23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4">
        <f t="shared" si="20"/>
        <v>0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4">
        <f t="shared" si="21"/>
        <v>0</v>
      </c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4">
        <f t="shared" si="22"/>
        <v>0</v>
      </c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4">
        <f t="shared" si="23"/>
        <v>0</v>
      </c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4">
        <f t="shared" si="24"/>
        <v>0</v>
      </c>
    </row>
    <row r="46" spans="3:73" hidden="1" x14ac:dyDescent="0.25">
      <c r="C46" s="11" t="s">
        <v>23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4">
        <f t="shared" si="20"/>
        <v>0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4">
        <f t="shared" si="21"/>
        <v>0</v>
      </c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4">
        <f t="shared" si="22"/>
        <v>0</v>
      </c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4">
        <f t="shared" si="23"/>
        <v>0</v>
      </c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4">
        <f t="shared" si="24"/>
        <v>0</v>
      </c>
    </row>
    <row r="47" spans="3:73" hidden="1" x14ac:dyDescent="0.25">
      <c r="C47" s="11" t="s">
        <v>23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4">
        <f t="shared" si="20"/>
        <v>0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4">
        <f t="shared" si="21"/>
        <v>0</v>
      </c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4">
        <f t="shared" si="22"/>
        <v>0</v>
      </c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4">
        <f t="shared" si="23"/>
        <v>0</v>
      </c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4">
        <f t="shared" si="24"/>
        <v>0</v>
      </c>
    </row>
    <row r="48" spans="3:73" hidden="1" x14ac:dyDescent="0.25">
      <c r="C48" s="11" t="s">
        <v>23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4">
        <f t="shared" si="20"/>
        <v>0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4">
        <f t="shared" si="21"/>
        <v>0</v>
      </c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4">
        <f t="shared" si="22"/>
        <v>0</v>
      </c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4">
        <f t="shared" si="23"/>
        <v>0</v>
      </c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4">
        <f t="shared" si="24"/>
        <v>0</v>
      </c>
    </row>
    <row r="49" spans="3:73" hidden="1" x14ac:dyDescent="0.25">
      <c r="C49" s="11" t="s">
        <v>23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4">
        <f t="shared" si="20"/>
        <v>0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4">
        <f t="shared" si="21"/>
        <v>0</v>
      </c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4">
        <f t="shared" si="22"/>
        <v>0</v>
      </c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4">
        <f t="shared" si="23"/>
        <v>0</v>
      </c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4">
        <f t="shared" si="24"/>
        <v>0</v>
      </c>
    </row>
    <row r="50" spans="3:73" hidden="1" x14ac:dyDescent="0.25">
      <c r="C50" s="11" t="s">
        <v>23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4">
        <f t="shared" si="20"/>
        <v>0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4">
        <f t="shared" si="21"/>
        <v>0</v>
      </c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4">
        <f t="shared" si="22"/>
        <v>0</v>
      </c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4">
        <f t="shared" si="23"/>
        <v>0</v>
      </c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4">
        <f t="shared" si="24"/>
        <v>0</v>
      </c>
    </row>
    <row r="51" spans="3:73" x14ac:dyDescent="0.25">
      <c r="C51" s="8" t="s">
        <v>8</v>
      </c>
      <c r="E51" s="13">
        <f t="shared" ref="E51:P51" ca="1" si="25">SUM(INDIRECT(ADDRESS(savings_min_row,COLUMN())&amp;":"&amp;ADDRESS(savings_max_row,COLUMN())))</f>
        <v>700</v>
      </c>
      <c r="F51" s="13">
        <f t="shared" ca="1" si="25"/>
        <v>700</v>
      </c>
      <c r="G51" s="13">
        <f t="shared" ca="1" si="25"/>
        <v>700</v>
      </c>
      <c r="H51" s="13">
        <f t="shared" ca="1" si="25"/>
        <v>700</v>
      </c>
      <c r="I51" s="13">
        <f t="shared" ca="1" si="25"/>
        <v>700</v>
      </c>
      <c r="J51" s="13">
        <f t="shared" ca="1" si="25"/>
        <v>5200</v>
      </c>
      <c r="K51" s="13">
        <f t="shared" ca="1" si="25"/>
        <v>5200</v>
      </c>
      <c r="L51" s="13">
        <f t="shared" ca="1" si="25"/>
        <v>5200</v>
      </c>
      <c r="M51" s="13">
        <f t="shared" ca="1" si="25"/>
        <v>700</v>
      </c>
      <c r="N51" s="13">
        <f t="shared" ca="1" si="25"/>
        <v>700</v>
      </c>
      <c r="O51" s="13">
        <f t="shared" ca="1" si="25"/>
        <v>700</v>
      </c>
      <c r="P51" s="13">
        <f t="shared" ca="1" si="25"/>
        <v>700</v>
      </c>
      <c r="Q51" s="24">
        <f ca="1">SUM(E51:P51)</f>
        <v>21900</v>
      </c>
      <c r="S51" s="13">
        <f t="shared" ref="S51:AD51" ca="1" si="26">SUM(INDIRECT(ADDRESS(savings_min_row,COLUMN())&amp;":"&amp;ADDRESS(savings_max_row,COLUMN())))</f>
        <v>0</v>
      </c>
      <c r="T51" s="13">
        <f t="shared" ca="1" si="26"/>
        <v>0</v>
      </c>
      <c r="U51" s="13">
        <f t="shared" ca="1" si="26"/>
        <v>0</v>
      </c>
      <c r="V51" s="13">
        <f t="shared" ca="1" si="26"/>
        <v>0</v>
      </c>
      <c r="W51" s="13">
        <f t="shared" ca="1" si="26"/>
        <v>0</v>
      </c>
      <c r="X51" s="13">
        <f t="shared" ca="1" si="26"/>
        <v>0</v>
      </c>
      <c r="Y51" s="13">
        <f t="shared" ca="1" si="26"/>
        <v>0</v>
      </c>
      <c r="Z51" s="13">
        <f t="shared" ca="1" si="26"/>
        <v>0</v>
      </c>
      <c r="AA51" s="13">
        <f t="shared" ca="1" si="26"/>
        <v>0</v>
      </c>
      <c r="AB51" s="13">
        <f t="shared" ca="1" si="26"/>
        <v>0</v>
      </c>
      <c r="AC51" s="13">
        <f t="shared" ca="1" si="26"/>
        <v>0</v>
      </c>
      <c r="AD51" s="13">
        <f t="shared" ca="1" si="26"/>
        <v>0</v>
      </c>
      <c r="AE51" s="14"/>
      <c r="AG51" s="13">
        <f t="shared" ref="AG51:AR51" ca="1" si="27">SUM(INDIRECT(ADDRESS(savings_min_row,COLUMN())&amp;":"&amp;ADDRESS(savings_max_row,COLUMN())))</f>
        <v>0</v>
      </c>
      <c r="AH51" s="13">
        <f t="shared" ca="1" si="27"/>
        <v>0</v>
      </c>
      <c r="AI51" s="13">
        <f t="shared" ca="1" si="27"/>
        <v>0</v>
      </c>
      <c r="AJ51" s="13">
        <f t="shared" ca="1" si="27"/>
        <v>0</v>
      </c>
      <c r="AK51" s="13">
        <f t="shared" ca="1" si="27"/>
        <v>0</v>
      </c>
      <c r="AL51" s="13">
        <f t="shared" ca="1" si="27"/>
        <v>0</v>
      </c>
      <c r="AM51" s="13">
        <f t="shared" ca="1" si="27"/>
        <v>0</v>
      </c>
      <c r="AN51" s="13">
        <f t="shared" ca="1" si="27"/>
        <v>0</v>
      </c>
      <c r="AO51" s="13">
        <f t="shared" ca="1" si="27"/>
        <v>0</v>
      </c>
      <c r="AP51" s="13">
        <f t="shared" ca="1" si="27"/>
        <v>0</v>
      </c>
      <c r="AQ51" s="13">
        <f t="shared" ca="1" si="27"/>
        <v>0</v>
      </c>
      <c r="AR51" s="13">
        <f t="shared" ca="1" si="27"/>
        <v>0</v>
      </c>
      <c r="AS51" s="14"/>
      <c r="AU51" s="13">
        <f t="shared" ref="AU51:BF51" ca="1" si="28">SUM(INDIRECT(ADDRESS(savings_min_row,COLUMN())&amp;":"&amp;ADDRESS(savings_max_row,COLUMN())))</f>
        <v>0</v>
      </c>
      <c r="AV51" s="13">
        <f t="shared" ca="1" si="28"/>
        <v>0</v>
      </c>
      <c r="AW51" s="13">
        <f t="shared" ca="1" si="28"/>
        <v>0</v>
      </c>
      <c r="AX51" s="13">
        <f t="shared" ca="1" si="28"/>
        <v>0</v>
      </c>
      <c r="AY51" s="13">
        <f t="shared" ca="1" si="28"/>
        <v>0</v>
      </c>
      <c r="AZ51" s="13">
        <f t="shared" ca="1" si="28"/>
        <v>0</v>
      </c>
      <c r="BA51" s="13">
        <f t="shared" ca="1" si="28"/>
        <v>0</v>
      </c>
      <c r="BB51" s="13">
        <f t="shared" ca="1" si="28"/>
        <v>0</v>
      </c>
      <c r="BC51" s="13">
        <f t="shared" ca="1" si="28"/>
        <v>0</v>
      </c>
      <c r="BD51" s="13">
        <f t="shared" ca="1" si="28"/>
        <v>0</v>
      </c>
      <c r="BE51" s="13">
        <f t="shared" ca="1" si="28"/>
        <v>0</v>
      </c>
      <c r="BF51" s="13">
        <f t="shared" ca="1" si="28"/>
        <v>0</v>
      </c>
      <c r="BG51" s="14"/>
      <c r="BI51" s="13">
        <f t="shared" ref="BI51:BT51" ca="1" si="29">SUM(INDIRECT(ADDRESS(savings_min_row,COLUMN())&amp;":"&amp;ADDRESS(savings_max_row,COLUMN())))</f>
        <v>0</v>
      </c>
      <c r="BJ51" s="13">
        <f t="shared" ca="1" si="29"/>
        <v>0</v>
      </c>
      <c r="BK51" s="13">
        <f t="shared" ca="1" si="29"/>
        <v>0</v>
      </c>
      <c r="BL51" s="13">
        <f t="shared" ca="1" si="29"/>
        <v>0</v>
      </c>
      <c r="BM51" s="13">
        <f t="shared" ca="1" si="29"/>
        <v>0</v>
      </c>
      <c r="BN51" s="13">
        <f t="shared" ca="1" si="29"/>
        <v>0</v>
      </c>
      <c r="BO51" s="13">
        <f t="shared" ca="1" si="29"/>
        <v>0</v>
      </c>
      <c r="BP51" s="13">
        <f t="shared" ca="1" si="29"/>
        <v>0</v>
      </c>
      <c r="BQ51" s="13">
        <f t="shared" ca="1" si="29"/>
        <v>0</v>
      </c>
      <c r="BR51" s="13">
        <f t="shared" ca="1" si="29"/>
        <v>0</v>
      </c>
      <c r="BS51" s="13">
        <f t="shared" ca="1" si="29"/>
        <v>0</v>
      </c>
      <c r="BT51" s="13">
        <f t="shared" ca="1" si="29"/>
        <v>0</v>
      </c>
      <c r="BU51" s="14"/>
    </row>
  </sheetData>
  <mergeCells count="6">
    <mergeCell ref="BI5:BU5"/>
    <mergeCell ref="E5:Q5"/>
    <mergeCell ref="A1:C3"/>
    <mergeCell ref="S5:AE5"/>
    <mergeCell ref="AG5:AS5"/>
    <mergeCell ref="AU5:BG5"/>
  </mergeCells>
  <conditionalFormatting sqref="C10:C19 Q10:Q20 E10:P19">
    <cfRule type="expression" dxfId="61" priority="34">
      <formula>ROW(C10) &lt;= income_max_row</formula>
    </cfRule>
  </conditionalFormatting>
  <conditionalFormatting sqref="C23:C30 Q23:Q38 E23:P37">
    <cfRule type="expression" dxfId="60" priority="33">
      <formula>ROW(C23) &lt;= expense_max_row</formula>
    </cfRule>
  </conditionalFormatting>
  <conditionalFormatting sqref="Q41:Q51 C41:C45 E41:P50">
    <cfRule type="expression" dxfId="59" priority="32">
      <formula>ROW(C41) &lt;= savings_max_row</formula>
    </cfRule>
  </conditionalFormatting>
  <conditionalFormatting sqref="C47">
    <cfRule type="expression" dxfId="58" priority="31">
      <formula>ROW(C47) &lt;= expense_max_row</formula>
    </cfRule>
  </conditionalFormatting>
  <conditionalFormatting sqref="C48">
    <cfRule type="expression" dxfId="57" priority="30">
      <formula>ROW(C48) &lt;= expense_max_row</formula>
    </cfRule>
  </conditionalFormatting>
  <conditionalFormatting sqref="C49">
    <cfRule type="expression" dxfId="56" priority="29">
      <formula>ROW(C49) &lt;= expense_max_row</formula>
    </cfRule>
  </conditionalFormatting>
  <conditionalFormatting sqref="C50">
    <cfRule type="expression" dxfId="55" priority="28">
      <formula>ROW(C50) &lt;= expense_max_row</formula>
    </cfRule>
  </conditionalFormatting>
  <conditionalFormatting sqref="E6:Q7">
    <cfRule type="expression" dxfId="54" priority="25" stopIfTrue="1">
      <formula>AND(E$20 = 0,E$38 = 0,E$51 = 0)</formula>
    </cfRule>
    <cfRule type="expression" dxfId="53" priority="26" stopIfTrue="1">
      <formula>E$7 = 0</formula>
    </cfRule>
    <cfRule type="expression" dxfId="52" priority="27">
      <formula>E$7 &lt;0</formula>
    </cfRule>
  </conditionalFormatting>
  <conditionalFormatting sqref="AE10:AE20 S10:AD19">
    <cfRule type="expression" dxfId="51" priority="24">
      <formula>ROW(S10) &lt;= income_max_row</formula>
    </cfRule>
  </conditionalFormatting>
  <conditionalFormatting sqref="AE23:AE38 S23:AD37">
    <cfRule type="expression" dxfId="50" priority="23">
      <formula>ROW(S23) &lt;= expense_max_row</formula>
    </cfRule>
  </conditionalFormatting>
  <conditionalFormatting sqref="AE41:AE51 S41:AD50">
    <cfRule type="expression" dxfId="49" priority="22">
      <formula>ROW(S41) &lt;= savings_max_row</formula>
    </cfRule>
  </conditionalFormatting>
  <conditionalFormatting sqref="S6:AE7">
    <cfRule type="expression" dxfId="48" priority="19" stopIfTrue="1">
      <formula>AND(S$20 = 0,S$38 = 0,S$51 = 0)</formula>
    </cfRule>
    <cfRule type="expression" dxfId="47" priority="20" stopIfTrue="1">
      <formula>S$7 = 0</formula>
    </cfRule>
    <cfRule type="expression" dxfId="46" priority="21">
      <formula>S$7 &lt;0</formula>
    </cfRule>
  </conditionalFormatting>
  <conditionalFormatting sqref="AS10:AS20 AG10:AR19">
    <cfRule type="expression" dxfId="45" priority="18">
      <formula>ROW(AG10) &lt;= income_max_row</formula>
    </cfRule>
  </conditionalFormatting>
  <conditionalFormatting sqref="AS23:AS38 AG23:AR37">
    <cfRule type="expression" dxfId="44" priority="17">
      <formula>ROW(AG23) &lt;= expense_max_row</formula>
    </cfRule>
  </conditionalFormatting>
  <conditionalFormatting sqref="AS41:AS51 AG41:AR50">
    <cfRule type="expression" dxfId="43" priority="16">
      <formula>ROW(AG41) &lt;= savings_max_row</formula>
    </cfRule>
  </conditionalFormatting>
  <conditionalFormatting sqref="AG6:AS7">
    <cfRule type="expression" dxfId="42" priority="13" stopIfTrue="1">
      <formula>AND(AG$20 = 0,AG$38 = 0,AG$51 = 0)</formula>
    </cfRule>
    <cfRule type="expression" dxfId="41" priority="14" stopIfTrue="1">
      <formula>AG$7 = 0</formula>
    </cfRule>
    <cfRule type="expression" dxfId="40" priority="15">
      <formula>AG$7 &lt;0</formula>
    </cfRule>
  </conditionalFormatting>
  <conditionalFormatting sqref="BG10:BG20 AU10:BF19">
    <cfRule type="expression" dxfId="39" priority="12">
      <formula>ROW(AU10) &lt;= income_max_row</formula>
    </cfRule>
  </conditionalFormatting>
  <conditionalFormatting sqref="BG23:BG38 AU23:BF37">
    <cfRule type="expression" dxfId="38" priority="11">
      <formula>ROW(AU23) &lt;= expense_max_row</formula>
    </cfRule>
  </conditionalFormatting>
  <conditionalFormatting sqref="BG41:BG51 AU41:BF50">
    <cfRule type="expression" dxfId="37" priority="10">
      <formula>ROW(AU41) &lt;= savings_max_row</formula>
    </cfRule>
  </conditionalFormatting>
  <conditionalFormatting sqref="AU6:BG7">
    <cfRule type="expression" dxfId="36" priority="7" stopIfTrue="1">
      <formula>AND(AU$20 = 0,AU$38 = 0,AU$51 = 0)</formula>
    </cfRule>
    <cfRule type="expression" dxfId="35" priority="8" stopIfTrue="1">
      <formula>AU$7 = 0</formula>
    </cfRule>
    <cfRule type="expression" dxfId="34" priority="9">
      <formula>AU$7 &lt;0</formula>
    </cfRule>
  </conditionalFormatting>
  <conditionalFormatting sqref="BU10:BU20 BI10:BT19">
    <cfRule type="expression" dxfId="33" priority="6">
      <formula>ROW(BI10) &lt;= income_max_row</formula>
    </cfRule>
  </conditionalFormatting>
  <conditionalFormatting sqref="BU23:BU38 BI23:BT37">
    <cfRule type="expression" dxfId="32" priority="5">
      <formula>ROW(BI23) &lt;= expense_max_row</formula>
    </cfRule>
  </conditionalFormatting>
  <conditionalFormatting sqref="BU41:BU51 BI41:BT50">
    <cfRule type="expression" dxfId="31" priority="4">
      <formula>ROW(BI41) &lt;= savings_max_row</formula>
    </cfRule>
  </conditionalFormatting>
  <conditionalFormatting sqref="BI6:BU7">
    <cfRule type="expression" dxfId="30" priority="1" stopIfTrue="1">
      <formula>AND(BI$20 = 0,BI$38 = 0,BI$51 = 0)</formula>
    </cfRule>
    <cfRule type="expression" dxfId="29" priority="2" stopIfTrue="1">
      <formula>BI$7 = 0</formula>
    </cfRule>
    <cfRule type="expression" dxfId="28" priority="3">
      <formula>BI$7 &lt;0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showGridLines="0" zoomScaleNormal="100" workbookViewId="0">
      <pane ySplit="9" topLeftCell="A10" activePane="bottomLeft" state="frozen"/>
      <selection pane="bottomLeft" activeCell="H18" sqref="H18"/>
    </sheetView>
  </sheetViews>
  <sheetFormatPr defaultRowHeight="15" x14ac:dyDescent="0.25"/>
  <cols>
    <col min="1" max="2" width="3.28515625" customWidth="1"/>
    <col min="3" max="3" width="18.42578125" bestFit="1" customWidth="1"/>
    <col min="4" max="4" width="17.5703125" customWidth="1"/>
    <col min="5" max="5" width="20.28515625" bestFit="1" customWidth="1"/>
    <col min="6" max="6" width="14.140625" customWidth="1"/>
    <col min="7" max="7" width="24.140625" customWidth="1"/>
    <col min="8" max="8" width="19.140625" customWidth="1"/>
    <col min="9" max="9" width="16.42578125" customWidth="1"/>
  </cols>
  <sheetData>
    <row r="1" spans="1:9" s="109" customFormat="1" x14ac:dyDescent="0.25">
      <c r="A1" s="109" t="s">
        <v>31</v>
      </c>
    </row>
    <row r="2" spans="1:9" s="109" customFormat="1" x14ac:dyDescent="0.25"/>
    <row r="3" spans="1:9" s="109" customFormat="1" x14ac:dyDescent="0.25"/>
    <row r="11" spans="1:9" x14ac:dyDescent="0.25">
      <c r="C11" s="25" t="s">
        <v>32</v>
      </c>
      <c r="D11" s="25" t="s">
        <v>33</v>
      </c>
      <c r="E11" s="25" t="s">
        <v>34</v>
      </c>
      <c r="F11" s="25" t="s">
        <v>35</v>
      </c>
      <c r="G11" s="25" t="s">
        <v>36</v>
      </c>
      <c r="H11" s="26" t="s">
        <v>38</v>
      </c>
      <c r="I11" s="26" t="s">
        <v>39</v>
      </c>
    </row>
    <row r="12" spans="1:9" x14ac:dyDescent="0.25">
      <c r="C12" s="67">
        <v>44555</v>
      </c>
      <c r="D12" s="68" t="s">
        <v>6</v>
      </c>
      <c r="E12" s="68" t="s">
        <v>9</v>
      </c>
      <c r="F12" s="69">
        <v>3500</v>
      </c>
      <c r="G12" s="29"/>
      <c r="H12" s="28">
        <f>SUMPRODUCT(Tracking[Amount],--(Tracking[Date]&lt;=Tracking[[#This Row],[Date]]), (Tracking[Type]&lt;&gt;"Income")*(-1)+(Tracking[Type]="Income"))</f>
        <v>3500</v>
      </c>
      <c r="I12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44562</v>
      </c>
    </row>
    <row r="13" spans="1:9" x14ac:dyDescent="0.25">
      <c r="C13" s="67">
        <v>44563</v>
      </c>
      <c r="D13" s="68" t="s">
        <v>13</v>
      </c>
      <c r="E13" s="68" t="s">
        <v>26</v>
      </c>
      <c r="F13" s="69">
        <v>2000</v>
      </c>
      <c r="G13" s="29"/>
      <c r="H13" s="28">
        <f>SUMPRODUCT(Tracking[Amount],--(Tracking[Date]&lt;=Tracking[[#This Row],[Date]]), (Tracking[Type]&lt;&gt;"Income")*(-1)+(Tracking[Type]="Income"))</f>
        <v>500</v>
      </c>
      <c r="I13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44563</v>
      </c>
    </row>
    <row r="14" spans="1:9" x14ac:dyDescent="0.25">
      <c r="C14" s="67">
        <v>44563</v>
      </c>
      <c r="D14" s="68" t="s">
        <v>18</v>
      </c>
      <c r="E14" s="68" t="s">
        <v>19</v>
      </c>
      <c r="F14" s="69">
        <v>1000</v>
      </c>
      <c r="G14" s="29"/>
      <c r="H14" s="28">
        <f>SUMPRODUCT(Tracking[Amount],--(Tracking[Date]&lt;=Tracking[[#This Row],[Date]]), (Tracking[Type]&lt;&gt;"Income")*(-1)+(Tracking[Type]="Income"))</f>
        <v>500</v>
      </c>
      <c r="I14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44563</v>
      </c>
    </row>
    <row r="15" spans="1:9" x14ac:dyDescent="0.25">
      <c r="C15" s="67">
        <v>44564</v>
      </c>
      <c r="D15" s="68" t="s">
        <v>13</v>
      </c>
      <c r="E15" s="68" t="s">
        <v>29</v>
      </c>
      <c r="F15" s="69">
        <v>50</v>
      </c>
      <c r="G15" s="29" t="s">
        <v>37</v>
      </c>
      <c r="H15" s="28">
        <f>SUMPRODUCT(Tracking[Amount],--(Tracking[Date]&lt;=Tracking[[#This Row],[Date]]), (Tracking[Type]&lt;&gt;"Income")*(-1)+(Tracking[Type]="Income"))</f>
        <v>30</v>
      </c>
      <c r="I15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44564</v>
      </c>
    </row>
    <row r="16" spans="1:9" x14ac:dyDescent="0.25">
      <c r="C16" s="67">
        <v>44564</v>
      </c>
      <c r="D16" s="68" t="s">
        <v>13</v>
      </c>
      <c r="E16" s="68" t="s">
        <v>15</v>
      </c>
      <c r="F16" s="69">
        <v>300</v>
      </c>
      <c r="G16" s="29"/>
      <c r="H16" s="28">
        <f>SUMPRODUCT(Tracking[Amount],--(Tracking[Date]&lt;=Tracking[[#This Row],[Date]]), (Tracking[Type]&lt;&gt;"Income")*(-1)+(Tracking[Type]="Income"))</f>
        <v>30</v>
      </c>
      <c r="I16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44564</v>
      </c>
    </row>
    <row r="17" spans="3:9" x14ac:dyDescent="0.25">
      <c r="C17" s="67">
        <v>44564</v>
      </c>
      <c r="D17" s="68" t="s">
        <v>13</v>
      </c>
      <c r="E17" s="68" t="s">
        <v>16</v>
      </c>
      <c r="F17" s="69">
        <v>120</v>
      </c>
      <c r="G17" s="29"/>
      <c r="H17" s="28">
        <f>SUMPRODUCT(Tracking[Amount],--(Tracking[Date]&lt;=Tracking[[#This Row],[Date]]), (Tracking[Type]&lt;&gt;"Income")*(-1)+(Tracking[Type]="Income"))</f>
        <v>30</v>
      </c>
      <c r="I17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44564</v>
      </c>
    </row>
    <row r="18" spans="3:9" x14ac:dyDescent="0.25">
      <c r="C18" s="67">
        <v>44565</v>
      </c>
      <c r="D18" s="68" t="s">
        <v>13</v>
      </c>
      <c r="E18" s="68" t="s">
        <v>25</v>
      </c>
      <c r="F18" s="69">
        <v>80</v>
      </c>
      <c r="G18" s="29"/>
      <c r="H18" s="28">
        <f>SUMPRODUCT(Tracking[Amount],--(Tracking[Date]&lt;=Tracking[[#This Row],[Date]]), (Tracking[Type]&lt;&gt;"Income")*(-1)+(Tracking[Type]="Income"))</f>
        <v>-50</v>
      </c>
      <c r="I18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44565</v>
      </c>
    </row>
    <row r="19" spans="3:9" x14ac:dyDescent="0.25">
      <c r="C19" s="67">
        <v>44566</v>
      </c>
      <c r="D19" s="68" t="s">
        <v>13</v>
      </c>
      <c r="E19" s="68" t="s">
        <v>27</v>
      </c>
      <c r="F19" s="69">
        <v>120</v>
      </c>
      <c r="G19" s="29"/>
      <c r="H19" s="28">
        <f>SUMPRODUCT(Tracking[Amount],--(Tracking[Date]&lt;=Tracking[[#This Row],[Date]]), (Tracking[Type]&lt;&gt;"Income")*(-1)+(Tracking[Type]="Income"))</f>
        <v>-170</v>
      </c>
      <c r="I19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44566</v>
      </c>
    </row>
    <row r="20" spans="3:9" x14ac:dyDescent="0.25">
      <c r="C20" s="67">
        <v>44567</v>
      </c>
      <c r="D20" s="68" t="s">
        <v>6</v>
      </c>
      <c r="E20" s="68" t="s">
        <v>11</v>
      </c>
      <c r="F20" s="69">
        <v>150</v>
      </c>
      <c r="G20" s="29"/>
      <c r="H20" s="28">
        <f>SUMPRODUCT(Tracking[Amount],--(Tracking[Date]&lt;=Tracking[[#This Row],[Date]]), (Tracking[Type]&lt;&gt;"Income")*(-1)+(Tracking[Type]="Income"))</f>
        <v>-20</v>
      </c>
      <c r="I20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44567</v>
      </c>
    </row>
    <row r="21" spans="3:9" x14ac:dyDescent="0.25">
      <c r="C21" s="67">
        <v>44568</v>
      </c>
      <c r="D21" s="68" t="s">
        <v>13</v>
      </c>
      <c r="E21" s="68" t="s">
        <v>28</v>
      </c>
      <c r="F21" s="69">
        <v>50</v>
      </c>
      <c r="G21" s="29"/>
      <c r="H21" s="28">
        <f>SUMPRODUCT(Tracking[Amount],--(Tracking[Date]&lt;=Tracking[[#This Row],[Date]]), (Tracking[Type]&lt;&gt;"Income")*(-1)+(Tracking[Type]="Income"))</f>
        <v>-70</v>
      </c>
      <c r="I21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44568</v>
      </c>
    </row>
    <row r="22" spans="3:9" x14ac:dyDescent="0.25">
      <c r="C22" s="67">
        <v>44569</v>
      </c>
      <c r="D22" s="68" t="s">
        <v>13</v>
      </c>
      <c r="E22" s="68" t="s">
        <v>26</v>
      </c>
      <c r="F22" s="69">
        <v>70</v>
      </c>
      <c r="G22" s="29"/>
      <c r="H22" s="28">
        <f>SUMPRODUCT(Tracking[Amount],--(Tracking[Date]&lt;=Tracking[[#This Row],[Date]]), (Tracking[Type]&lt;&gt;"Income")*(-1)+(Tracking[Type]="Income"))</f>
        <v>-140</v>
      </c>
      <c r="I22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44569</v>
      </c>
    </row>
    <row r="23" spans="3:9" x14ac:dyDescent="0.25">
      <c r="C23" s="67">
        <v>44570</v>
      </c>
      <c r="D23" s="68" t="s">
        <v>13</v>
      </c>
      <c r="E23" s="68" t="s">
        <v>27</v>
      </c>
      <c r="F23" s="69">
        <v>80</v>
      </c>
      <c r="G23" s="29"/>
      <c r="H23" s="28">
        <f>SUMPRODUCT(Tracking[Amount],--(Tracking[Date]&lt;=Tracking[[#This Row],[Date]]), (Tracking[Type]&lt;&gt;"Income")*(-1)+(Tracking[Type]="Income"))</f>
        <v>-220</v>
      </c>
      <c r="I23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44570</v>
      </c>
    </row>
    <row r="24" spans="3:9" x14ac:dyDescent="0.25">
      <c r="C24" s="67">
        <v>44571</v>
      </c>
      <c r="D24" s="68" t="s">
        <v>6</v>
      </c>
      <c r="E24" s="68" t="s">
        <v>10</v>
      </c>
      <c r="F24" s="69">
        <v>1000</v>
      </c>
      <c r="G24" s="29"/>
      <c r="H24" s="28">
        <f>SUMPRODUCT(Tracking[Amount],--(Tracking[Date]&lt;=Tracking[[#This Row],[Date]]), (Tracking[Type]&lt;&gt;"Income")*(-1)+(Tracking[Type]="Income"))</f>
        <v>780</v>
      </c>
      <c r="I24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44571</v>
      </c>
    </row>
    <row r="25" spans="3:9" x14ac:dyDescent="0.25">
      <c r="C25" s="67">
        <v>44572</v>
      </c>
      <c r="D25" s="68" t="s">
        <v>13</v>
      </c>
      <c r="E25" s="68" t="s">
        <v>14</v>
      </c>
      <c r="F25" s="69">
        <v>100</v>
      </c>
      <c r="G25" s="29"/>
      <c r="H25" s="28">
        <f>SUMPRODUCT(Tracking[Amount],--(Tracking[Date]&lt;=Tracking[[#This Row],[Date]]), (Tracking[Type]&lt;&gt;"Income")*(-1)+(Tracking[Type]="Income"))</f>
        <v>680</v>
      </c>
      <c r="I25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44572</v>
      </c>
    </row>
    <row r="26" spans="3:9" x14ac:dyDescent="0.25">
      <c r="C26" s="67">
        <v>44573</v>
      </c>
      <c r="D26" s="68" t="s">
        <v>13</v>
      </c>
      <c r="E26" s="68" t="s">
        <v>15</v>
      </c>
      <c r="F26" s="69">
        <v>70</v>
      </c>
      <c r="G26" s="29"/>
      <c r="H26" s="28">
        <f>SUMPRODUCT(Tracking[Amount],--(Tracking[Date]&lt;=Tracking[[#This Row],[Date]]), (Tracking[Type]&lt;&gt;"Income")*(-1)+(Tracking[Type]="Income"))</f>
        <v>610</v>
      </c>
      <c r="I26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44573</v>
      </c>
    </row>
    <row r="27" spans="3:9" x14ac:dyDescent="0.25">
      <c r="C27" s="67">
        <v>44574</v>
      </c>
      <c r="D27" s="68" t="s">
        <v>13</v>
      </c>
      <c r="E27" s="68" t="s">
        <v>16</v>
      </c>
      <c r="F27" s="69">
        <v>60</v>
      </c>
      <c r="G27" s="29"/>
      <c r="H27" s="28">
        <f>SUMPRODUCT(Tracking[Amount],--(Tracking[Date]&lt;=Tracking[[#This Row],[Date]]), (Tracking[Type]&lt;&gt;"Income")*(-1)+(Tracking[Type]="Income"))</f>
        <v>550</v>
      </c>
      <c r="I27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44574</v>
      </c>
    </row>
    <row r="28" spans="3:9" x14ac:dyDescent="0.25">
      <c r="C28" s="67">
        <v>44575</v>
      </c>
      <c r="D28" s="6" t="s">
        <v>13</v>
      </c>
      <c r="E28" s="6" t="s">
        <v>25</v>
      </c>
      <c r="F28" s="28">
        <v>30</v>
      </c>
      <c r="G28" s="29"/>
      <c r="H28" s="28">
        <f>SUMPRODUCT(Tracking[Amount],--(Tracking[Date]&lt;=Tracking[[#This Row],[Date]]), (Tracking[Type]&lt;&gt;"Income")*(-1)+(Tracking[Type]="Income"))</f>
        <v>520</v>
      </c>
      <c r="I28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44575</v>
      </c>
    </row>
    <row r="29" spans="3:9" x14ac:dyDescent="0.25">
      <c r="C29" s="67">
        <v>44576</v>
      </c>
      <c r="D29" s="6" t="s">
        <v>13</v>
      </c>
      <c r="E29" s="6" t="s">
        <v>26</v>
      </c>
      <c r="F29" s="28">
        <v>100</v>
      </c>
      <c r="G29" s="29"/>
      <c r="H29" s="28">
        <f>SUMPRODUCT(Tracking[Amount],--(Tracking[Date]&lt;=Tracking[[#This Row],[Date]]), (Tracking[Type]&lt;&gt;"Income")*(-1)+(Tracking[Type]="Income"))</f>
        <v>420</v>
      </c>
      <c r="I29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44576</v>
      </c>
    </row>
    <row r="30" spans="3:9" x14ac:dyDescent="0.25">
      <c r="C30" s="55">
        <v>44577</v>
      </c>
      <c r="D30" s="6" t="s">
        <v>13</v>
      </c>
      <c r="E30" s="6" t="s">
        <v>28</v>
      </c>
      <c r="F30" s="28">
        <v>40</v>
      </c>
      <c r="G30" s="29"/>
      <c r="H30" s="28">
        <f>SUMPRODUCT(Tracking[Amount],--(Tracking[Date]&lt;=Tracking[[#This Row],[Date]]), (Tracking[Type]&lt;&gt;"Income")*(-1)+(Tracking[Type]="Income"))</f>
        <v>380</v>
      </c>
      <c r="I30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44577</v>
      </c>
    </row>
    <row r="31" spans="3:9" x14ac:dyDescent="0.25">
      <c r="C31" s="55">
        <v>44586</v>
      </c>
      <c r="D31" s="6" t="s">
        <v>6</v>
      </c>
      <c r="E31" s="6" t="s">
        <v>9</v>
      </c>
      <c r="F31" s="28"/>
      <c r="G31" s="29"/>
      <c r="H31" s="28">
        <f>SUMPRODUCT(Tracking[Amount],--(Tracking[Date]&lt;=Tracking[[#This Row],[Date]]), (Tracking[Type]&lt;&gt;"Income")*(-1)+(Tracking[Type]="Income"))</f>
        <v>380</v>
      </c>
      <c r="I31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44593</v>
      </c>
    </row>
    <row r="32" spans="3:9" x14ac:dyDescent="0.25">
      <c r="C32" s="55">
        <v>44589</v>
      </c>
      <c r="D32" s="6" t="s">
        <v>13</v>
      </c>
      <c r="E32" s="6" t="s">
        <v>29</v>
      </c>
      <c r="F32" s="28">
        <v>120</v>
      </c>
      <c r="G32" s="29"/>
      <c r="H32" s="28">
        <f>SUMPRODUCT(Tracking[Amount],--(Tracking[Date]&lt;=Tracking[[#This Row],[Date]]), (Tracking[Type]&lt;&gt;"Income")*(-1)+(Tracking[Type]="Income"))</f>
        <v>260</v>
      </c>
      <c r="I32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44589</v>
      </c>
    </row>
    <row r="33" spans="3:9" x14ac:dyDescent="0.25">
      <c r="C33" s="55">
        <v>44592</v>
      </c>
      <c r="D33" s="6" t="s">
        <v>18</v>
      </c>
      <c r="E33" s="6" t="s">
        <v>22</v>
      </c>
      <c r="F33" s="28">
        <v>110</v>
      </c>
      <c r="G33" s="29"/>
      <c r="H33" s="28">
        <f>SUMPRODUCT(Tracking[Amount],--(Tracking[Date]&lt;=Tracking[[#This Row],[Date]]), (Tracking[Type]&lt;&gt;"Income")*(-1)+(Tracking[Type]="Income"))</f>
        <v>-900</v>
      </c>
      <c r="I33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44592</v>
      </c>
    </row>
    <row r="34" spans="3:9" x14ac:dyDescent="0.25">
      <c r="C34" s="55">
        <v>44592</v>
      </c>
      <c r="D34" s="6" t="s">
        <v>18</v>
      </c>
      <c r="E34" s="6" t="s">
        <v>21</v>
      </c>
      <c r="F34" s="28">
        <v>400</v>
      </c>
      <c r="G34" s="29"/>
      <c r="H34" s="28">
        <f>SUMPRODUCT(Tracking[Amount],--(Tracking[Date]&lt;=Tracking[[#This Row],[Date]]), (Tracking[Type]&lt;&gt;"Income")*(-1)+(Tracking[Type]="Income"))</f>
        <v>-900</v>
      </c>
      <c r="I34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44592</v>
      </c>
    </row>
    <row r="35" spans="3:9" x14ac:dyDescent="0.25">
      <c r="C35" s="55">
        <v>44592</v>
      </c>
      <c r="D35" s="6" t="s">
        <v>18</v>
      </c>
      <c r="E35" s="6" t="s">
        <v>20</v>
      </c>
      <c r="F35" s="28">
        <v>250</v>
      </c>
      <c r="G35" s="29"/>
      <c r="H35" s="28">
        <f>SUMPRODUCT(Tracking[Amount],--(Tracking[Date]&lt;=Tracking[[#This Row],[Date]]), (Tracking[Type]&lt;&gt;"Income")*(-1)+(Tracking[Type]="Income"))</f>
        <v>-900</v>
      </c>
      <c r="I35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44592</v>
      </c>
    </row>
    <row r="36" spans="3:9" x14ac:dyDescent="0.25">
      <c r="C36" s="55">
        <v>44592</v>
      </c>
      <c r="D36" s="6" t="s">
        <v>18</v>
      </c>
      <c r="E36" s="6" t="s">
        <v>19</v>
      </c>
      <c r="F36" s="28">
        <v>400</v>
      </c>
      <c r="G36" s="29"/>
      <c r="H36" s="28">
        <f>SUMPRODUCT(Tracking[Amount],--(Tracking[Date]&lt;=Tracking[[#This Row],[Date]]), (Tracking[Type]&lt;&gt;"Income")*(-1)+(Tracking[Type]="Income"))</f>
        <v>-900</v>
      </c>
      <c r="I36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44592</v>
      </c>
    </row>
    <row r="37" spans="3:9" x14ac:dyDescent="0.25">
      <c r="C37" s="55">
        <v>44593</v>
      </c>
      <c r="D37" s="6" t="s">
        <v>13</v>
      </c>
      <c r="E37" s="6" t="s">
        <v>14</v>
      </c>
      <c r="F37" s="28"/>
      <c r="G37" s="29"/>
      <c r="H37" s="28">
        <f>SUMPRODUCT(Tracking[Amount],--(Tracking[Date]&lt;=Tracking[[#This Row],[Date]]), (Tracking[Type]&lt;&gt;"Income")*(-1)+(Tracking[Type]="Income"))</f>
        <v>-900</v>
      </c>
      <c r="I37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44593</v>
      </c>
    </row>
    <row r="38" spans="3:9" x14ac:dyDescent="0.25">
      <c r="C38" s="55">
        <v>44594</v>
      </c>
      <c r="D38" s="6" t="s">
        <v>13</v>
      </c>
      <c r="E38" s="6" t="s">
        <v>15</v>
      </c>
      <c r="F38" s="28"/>
      <c r="G38" s="29"/>
      <c r="H38" s="28">
        <f>SUMPRODUCT(Tracking[Amount],--(Tracking[Date]&lt;=Tracking[[#This Row],[Date]]), (Tracking[Type]&lt;&gt;"Income")*(-1)+(Tracking[Type]="Income"))</f>
        <v>-900</v>
      </c>
      <c r="I38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44594</v>
      </c>
    </row>
    <row r="39" spans="3:9" x14ac:dyDescent="0.25">
      <c r="C39" s="55">
        <v>44597</v>
      </c>
      <c r="D39" s="6" t="s">
        <v>6</v>
      </c>
      <c r="E39" s="6" t="s">
        <v>10</v>
      </c>
      <c r="F39" s="56">
        <v>500</v>
      </c>
      <c r="G39" s="29"/>
      <c r="H39" s="28">
        <f>SUMPRODUCT(Tracking[Amount],--(Tracking[Date]&lt;=Tracking[[#This Row],[Date]]), (Tracking[Type]&lt;&gt;"Income")*(-1)+(Tracking[Type]="Income"))</f>
        <v>-400</v>
      </c>
      <c r="I39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44597</v>
      </c>
    </row>
    <row r="40" spans="3:9" x14ac:dyDescent="0.25">
      <c r="C40" s="55">
        <v>44599</v>
      </c>
      <c r="D40" s="6" t="s">
        <v>13</v>
      </c>
      <c r="E40" s="6" t="s">
        <v>16</v>
      </c>
      <c r="F40" s="28">
        <v>200</v>
      </c>
      <c r="G40" s="29"/>
      <c r="H40" s="28">
        <f>SUMPRODUCT(Tracking[Amount],--(Tracking[Date]&lt;=Tracking[[#This Row],[Date]]), (Tracking[Type]&lt;&gt;"Income")*(-1)+(Tracking[Type]="Income"))</f>
        <v>-600</v>
      </c>
      <c r="I40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44599</v>
      </c>
    </row>
    <row r="41" spans="3:9" x14ac:dyDescent="0.25">
      <c r="C41" s="55">
        <v>44600</v>
      </c>
      <c r="D41" s="6" t="s">
        <v>13</v>
      </c>
      <c r="E41" s="6" t="s">
        <v>25</v>
      </c>
      <c r="F41" s="28">
        <v>300</v>
      </c>
      <c r="G41" s="29"/>
      <c r="H41" s="28">
        <f>SUMPRODUCT(Tracking[Amount],--(Tracking[Date]&lt;=Tracking[[#This Row],[Date]]), (Tracking[Type]&lt;&gt;"Income")*(-1)+(Tracking[Type]="Income"))</f>
        <v>-900</v>
      </c>
      <c r="I41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44600</v>
      </c>
    </row>
    <row r="42" spans="3:9" x14ac:dyDescent="0.25">
      <c r="C42" s="55">
        <v>44601</v>
      </c>
      <c r="D42" s="6" t="s">
        <v>18</v>
      </c>
      <c r="E42" s="6" t="s">
        <v>21</v>
      </c>
      <c r="F42" s="28">
        <v>100</v>
      </c>
      <c r="G42" s="29"/>
      <c r="H42" s="28">
        <f>SUMPRODUCT(Tracking[Amount],--(Tracking[Date]&lt;=Tracking[[#This Row],[Date]]), (Tracking[Type]&lt;&gt;"Income")*(-1)+(Tracking[Type]="Income"))</f>
        <v>-1000</v>
      </c>
      <c r="I42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44601</v>
      </c>
    </row>
    <row r="43" spans="3:9" x14ac:dyDescent="0.25">
      <c r="C43" s="55">
        <v>44602</v>
      </c>
      <c r="D43" s="6" t="s">
        <v>13</v>
      </c>
      <c r="E43" s="6" t="s">
        <v>14</v>
      </c>
      <c r="F43" s="28">
        <v>60</v>
      </c>
      <c r="G43" s="29"/>
      <c r="H43" s="28">
        <f>SUMPRODUCT(Tracking[Amount],--(Tracking[Date]&lt;=Tracking[[#This Row],[Date]]), (Tracking[Type]&lt;&gt;"Income")*(-1)+(Tracking[Type]="Income"))</f>
        <v>-1060</v>
      </c>
      <c r="I43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44602</v>
      </c>
    </row>
    <row r="44" spans="3:9" x14ac:dyDescent="0.25">
      <c r="C44" s="55">
        <v>44603</v>
      </c>
      <c r="D44" s="6" t="s">
        <v>13</v>
      </c>
      <c r="E44" s="6" t="s">
        <v>15</v>
      </c>
      <c r="F44" s="28">
        <v>70</v>
      </c>
      <c r="G44" s="29"/>
      <c r="H44" s="28">
        <f>SUMPRODUCT(Tracking[Amount],--(Tracking[Date]&lt;=Tracking[[#This Row],[Date]]), (Tracking[Type]&lt;&gt;"Income")*(-1)+(Tracking[Type]="Income"))</f>
        <v>-1130</v>
      </c>
      <c r="I44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44603</v>
      </c>
    </row>
    <row r="45" spans="3:9" x14ac:dyDescent="0.25">
      <c r="C45" s="55">
        <v>44604</v>
      </c>
      <c r="D45" s="6" t="s">
        <v>13</v>
      </c>
      <c r="E45" s="6" t="s">
        <v>16</v>
      </c>
      <c r="F45" s="28">
        <v>140</v>
      </c>
      <c r="G45" s="29"/>
      <c r="H45" s="28">
        <f>SUMPRODUCT(Tracking[Amount],--(Tracking[Date]&lt;=Tracking[[#This Row],[Date]]), (Tracking[Type]&lt;&gt;"Income")*(-1)+(Tracking[Type]="Income"))</f>
        <v>-1270</v>
      </c>
      <c r="I45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44604</v>
      </c>
    </row>
    <row r="46" spans="3:9" x14ac:dyDescent="0.25">
      <c r="C46" s="55">
        <v>44605</v>
      </c>
      <c r="D46" s="6" t="s">
        <v>13</v>
      </c>
      <c r="E46" s="6" t="s">
        <v>25</v>
      </c>
      <c r="F46" s="28">
        <v>80</v>
      </c>
      <c r="G46" s="29"/>
      <c r="H46" s="28">
        <f>SUMPRODUCT(Tracking[Amount],--(Tracking[Date]&lt;=Tracking[[#This Row],[Date]]), (Tracking[Type]&lt;&gt;"Income")*(-1)+(Tracking[Type]="Income"))</f>
        <v>-1350</v>
      </c>
      <c r="I46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44605</v>
      </c>
    </row>
    <row r="47" spans="3:9" x14ac:dyDescent="0.25">
      <c r="C47" s="55">
        <v>44606</v>
      </c>
      <c r="D47" s="6" t="s">
        <v>6</v>
      </c>
      <c r="E47" s="6" t="s">
        <v>11</v>
      </c>
      <c r="F47" s="28">
        <v>50</v>
      </c>
      <c r="G47" s="29"/>
      <c r="H47" s="28">
        <f>SUMPRODUCT(Tracking[Amount],--(Tracking[Date]&lt;=Tracking[[#This Row],[Date]]), (Tracking[Type]&lt;&gt;"Income")*(-1)+(Tracking[Type]="Income"))</f>
        <v>-1300</v>
      </c>
      <c r="I47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44606</v>
      </c>
    </row>
    <row r="48" spans="3:9" x14ac:dyDescent="0.25">
      <c r="C48" s="55">
        <v>44607</v>
      </c>
      <c r="D48" s="6" t="s">
        <v>13</v>
      </c>
      <c r="E48" s="6" t="s">
        <v>26</v>
      </c>
      <c r="F48" s="28">
        <v>70</v>
      </c>
      <c r="G48" s="29"/>
      <c r="H48" s="28">
        <f>SUMPRODUCT(Tracking[Amount],--(Tracking[Date]&lt;=Tracking[[#This Row],[Date]]), (Tracking[Type]&lt;&gt;"Income")*(-1)+(Tracking[Type]="Income"))</f>
        <v>-1370</v>
      </c>
      <c r="I48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44607</v>
      </c>
    </row>
    <row r="49" spans="3:9" x14ac:dyDescent="0.25">
      <c r="C49" s="55">
        <v>44608</v>
      </c>
      <c r="D49" s="6" t="s">
        <v>13</v>
      </c>
      <c r="E49" s="6" t="s">
        <v>28</v>
      </c>
      <c r="F49" s="28">
        <v>150</v>
      </c>
      <c r="G49" s="29"/>
      <c r="H49" s="28">
        <f>SUMPRODUCT(Tracking[Amount],--(Tracking[Date]&lt;=Tracking[[#This Row],[Date]]), (Tracking[Type]&lt;&gt;"Income")*(-1)+(Tracking[Type]="Income"))</f>
        <v>-1520</v>
      </c>
      <c r="I49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44608</v>
      </c>
    </row>
    <row r="50" spans="3:9" x14ac:dyDescent="0.25">
      <c r="C50" s="55">
        <v>44609</v>
      </c>
      <c r="D50" s="6" t="s">
        <v>13</v>
      </c>
      <c r="E50" s="6" t="s">
        <v>29</v>
      </c>
      <c r="F50" s="28">
        <v>60</v>
      </c>
      <c r="G50" s="29"/>
      <c r="H50" s="28">
        <f>SUMPRODUCT(Tracking[Amount],--(Tracking[Date]&lt;=Tracking[[#This Row],[Date]]), (Tracking[Type]&lt;&gt;"Income")*(-1)+(Tracking[Type]="Income"))</f>
        <v>-1580</v>
      </c>
      <c r="I50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44609</v>
      </c>
    </row>
    <row r="51" spans="3:9" x14ac:dyDescent="0.25">
      <c r="C51" s="55">
        <v>44610</v>
      </c>
      <c r="D51" s="6" t="s">
        <v>13</v>
      </c>
      <c r="E51" s="6" t="s">
        <v>27</v>
      </c>
      <c r="F51" s="28">
        <v>140</v>
      </c>
      <c r="G51" s="29"/>
      <c r="H51" s="28">
        <f>SUMPRODUCT(Tracking[Amount],--(Tracking[Date]&lt;=Tracking[[#This Row],[Date]]), (Tracking[Type]&lt;&gt;"Income")*(-1)+(Tracking[Type]="Income"))</f>
        <v>-1720</v>
      </c>
      <c r="I51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44610</v>
      </c>
    </row>
    <row r="52" spans="3:9" x14ac:dyDescent="0.25">
      <c r="C52" s="55">
        <v>44611</v>
      </c>
      <c r="D52" s="6" t="s">
        <v>13</v>
      </c>
      <c r="E52" s="6" t="s">
        <v>27</v>
      </c>
      <c r="F52" s="28">
        <v>80</v>
      </c>
      <c r="G52" s="29"/>
      <c r="H52" s="28">
        <f>SUMPRODUCT(Tracking[Amount],--(Tracking[Date]&lt;=Tracking[[#This Row],[Date]]), (Tracking[Type]&lt;&gt;"Income")*(-1)+(Tracking[Type]="Income"))</f>
        <v>-1800</v>
      </c>
      <c r="I52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44611</v>
      </c>
    </row>
    <row r="53" spans="3:9" x14ac:dyDescent="0.25">
      <c r="C53" s="55">
        <v>44612</v>
      </c>
      <c r="D53" s="6" t="s">
        <v>13</v>
      </c>
      <c r="E53" s="6" t="s">
        <v>26</v>
      </c>
      <c r="F53" s="28">
        <v>120</v>
      </c>
      <c r="G53" s="29"/>
      <c r="H53" s="28">
        <f>SUMPRODUCT(Tracking[Amount],--(Tracking[Date]&lt;=Tracking[[#This Row],[Date]]), (Tracking[Type]&lt;&gt;"Income")*(-1)+(Tracking[Type]="Income"))</f>
        <v>-1920</v>
      </c>
      <c r="I53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44612</v>
      </c>
    </row>
    <row r="54" spans="3:9" x14ac:dyDescent="0.25">
      <c r="C54" s="55">
        <v>44613</v>
      </c>
      <c r="D54" s="6" t="s">
        <v>18</v>
      </c>
      <c r="E54" s="6" t="s">
        <v>19</v>
      </c>
      <c r="F54" s="28">
        <v>400</v>
      </c>
      <c r="G54" s="29"/>
      <c r="H54" s="28">
        <f>SUMPRODUCT(Tracking[Amount],--(Tracking[Date]&lt;=Tracking[[#This Row],[Date]]), (Tracking[Type]&lt;&gt;"Income")*(-1)+(Tracking[Type]="Income"))</f>
        <v>-2320</v>
      </c>
      <c r="I54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44613</v>
      </c>
    </row>
    <row r="55" spans="3:9" x14ac:dyDescent="0.25">
      <c r="C55" s="55">
        <v>44614</v>
      </c>
      <c r="D55" s="6" t="s">
        <v>18</v>
      </c>
      <c r="E55" s="6" t="s">
        <v>20</v>
      </c>
      <c r="F55" s="28">
        <v>140</v>
      </c>
      <c r="G55" s="29"/>
      <c r="H55" s="28">
        <f>SUMPRODUCT(Tracking[Amount],--(Tracking[Date]&lt;=Tracking[[#This Row],[Date]]), (Tracking[Type]&lt;&gt;"Income")*(-1)+(Tracking[Type]="Income"))</f>
        <v>-2460</v>
      </c>
      <c r="I55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44614</v>
      </c>
    </row>
    <row r="56" spans="3:9" x14ac:dyDescent="0.25">
      <c r="C56" s="55">
        <v>44618</v>
      </c>
      <c r="D56" s="6" t="s">
        <v>6</v>
      </c>
      <c r="E56" s="6" t="s">
        <v>9</v>
      </c>
      <c r="F56" s="28">
        <v>3500</v>
      </c>
      <c r="G56" s="29"/>
      <c r="H56" s="28">
        <f>SUMPRODUCT(Tracking[Amount],--(Tracking[Date]&lt;=Tracking[[#This Row],[Date]]), (Tracking[Type]&lt;&gt;"Income")*(-1)+(Tracking[Type]="Income"))</f>
        <v>1040</v>
      </c>
      <c r="I56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44621</v>
      </c>
    </row>
    <row r="57" spans="3:9" x14ac:dyDescent="0.25">
      <c r="C57" s="55">
        <v>44621</v>
      </c>
      <c r="D57" s="6" t="s">
        <v>13</v>
      </c>
      <c r="E57" s="6" t="s">
        <v>14</v>
      </c>
      <c r="F57" s="28">
        <v>1200</v>
      </c>
      <c r="G57" s="29"/>
      <c r="H57" s="28">
        <f>SUMPRODUCT(Tracking[Amount],--(Tracking[Date]&lt;=Tracking[[#This Row],[Date]]), (Tracking[Type]&lt;&gt;"Income")*(-1)+(Tracking[Type]="Income"))</f>
        <v>-160</v>
      </c>
      <c r="I57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44621</v>
      </c>
    </row>
    <row r="58" spans="3:9" x14ac:dyDescent="0.25">
      <c r="C58" s="55">
        <v>44622</v>
      </c>
      <c r="D58" s="6" t="s">
        <v>13</v>
      </c>
      <c r="E58" s="6" t="s">
        <v>15</v>
      </c>
      <c r="F58" s="28">
        <v>300</v>
      </c>
      <c r="G58" s="29"/>
      <c r="H58" s="28">
        <f>SUMPRODUCT(Tracking[Amount],--(Tracking[Date]&lt;=Tracking[[#This Row],[Date]]), (Tracking[Type]&lt;&gt;"Income")*(-1)+(Tracking[Type]="Income"))</f>
        <v>-460</v>
      </c>
      <c r="I58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44622</v>
      </c>
    </row>
    <row r="59" spans="3:9" x14ac:dyDescent="0.25">
      <c r="C59" s="55">
        <v>44623</v>
      </c>
      <c r="D59" s="6" t="s">
        <v>13</v>
      </c>
      <c r="E59" s="6" t="s">
        <v>16</v>
      </c>
      <c r="F59" s="28">
        <v>60</v>
      </c>
      <c r="G59" s="29"/>
      <c r="H59" s="28">
        <f>SUMPRODUCT(Tracking[Amount],--(Tracking[Date]&lt;=Tracking[[#This Row],[Date]]), (Tracking[Type]&lt;&gt;"Income")*(-1)+(Tracking[Type]="Income"))</f>
        <v>-520</v>
      </c>
      <c r="I59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44623</v>
      </c>
    </row>
    <row r="60" spans="3:9" x14ac:dyDescent="0.25">
      <c r="C60" s="55">
        <v>44624</v>
      </c>
      <c r="D60" s="6" t="s">
        <v>13</v>
      </c>
      <c r="E60" s="6" t="s">
        <v>26</v>
      </c>
      <c r="F60" s="28">
        <v>30</v>
      </c>
      <c r="G60" s="29"/>
      <c r="H60" s="28">
        <f>SUMPRODUCT(Tracking[Amount],--(Tracking[Date]&lt;=Tracking[[#This Row],[Date]]), (Tracking[Type]&lt;&gt;"Income")*(-1)+(Tracking[Type]="Income"))</f>
        <v>-550</v>
      </c>
      <c r="I60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44624</v>
      </c>
    </row>
    <row r="61" spans="3:9" x14ac:dyDescent="0.25">
      <c r="C61" s="55">
        <v>44625</v>
      </c>
      <c r="D61" s="6" t="s">
        <v>13</v>
      </c>
      <c r="E61" s="6" t="s">
        <v>25</v>
      </c>
      <c r="F61" s="28">
        <v>150</v>
      </c>
      <c r="G61" s="29"/>
      <c r="H61" s="28">
        <f>SUMPRODUCT(Tracking[Amount],--(Tracking[Date]&lt;=Tracking[[#This Row],[Date]]), (Tracking[Type]&lt;&gt;"Income")*(-1)+(Tracking[Type]="Income"))</f>
        <v>-700</v>
      </c>
      <c r="I61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44625</v>
      </c>
    </row>
    <row r="62" spans="3:9" x14ac:dyDescent="0.25">
      <c r="C62" s="55">
        <v>44626</v>
      </c>
      <c r="D62" s="6" t="s">
        <v>13</v>
      </c>
      <c r="E62" s="6" t="s">
        <v>28</v>
      </c>
      <c r="F62" s="28">
        <v>50</v>
      </c>
      <c r="G62" s="29"/>
      <c r="H62" s="28">
        <f>SUMPRODUCT(Tracking[Amount],--(Tracking[Date]&lt;=Tracking[[#This Row],[Date]]), (Tracking[Type]&lt;&gt;"Income")*(-1)+(Tracking[Type]="Income"))</f>
        <v>-750</v>
      </c>
      <c r="I62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44626</v>
      </c>
    </row>
    <row r="63" spans="3:9" x14ac:dyDescent="0.25">
      <c r="C63" s="55">
        <v>44627</v>
      </c>
      <c r="D63" s="6" t="s">
        <v>13</v>
      </c>
      <c r="E63" s="6" t="s">
        <v>29</v>
      </c>
      <c r="F63" s="28">
        <v>120</v>
      </c>
      <c r="G63" s="29"/>
      <c r="H63" s="28">
        <f>SUMPRODUCT(Tracking[Amount],--(Tracking[Date]&lt;=Tracking[[#This Row],[Date]]), (Tracking[Type]&lt;&gt;"Income")*(-1)+(Tracking[Type]="Income"))</f>
        <v>-870</v>
      </c>
      <c r="I63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44627</v>
      </c>
    </row>
    <row r="64" spans="3:9" x14ac:dyDescent="0.25">
      <c r="C64" s="55">
        <v>44628</v>
      </c>
      <c r="D64" s="6" t="s">
        <v>13</v>
      </c>
      <c r="E64" s="6" t="s">
        <v>27</v>
      </c>
      <c r="F64" s="28">
        <v>10</v>
      </c>
      <c r="G64" s="29"/>
      <c r="H64" s="28">
        <f>SUMPRODUCT(Tracking[Amount],--(Tracking[Date]&lt;=Tracking[[#This Row],[Date]]), (Tracking[Type]&lt;&gt;"Income")*(-1)+(Tracking[Type]="Income"))</f>
        <v>-880</v>
      </c>
      <c r="I64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44628</v>
      </c>
    </row>
    <row r="65" spans="3:9" x14ac:dyDescent="0.25">
      <c r="C65" s="55">
        <v>45285</v>
      </c>
      <c r="D65" s="27" t="s">
        <v>6</v>
      </c>
      <c r="E65" s="6" t="s">
        <v>10</v>
      </c>
      <c r="F65" s="28">
        <v>3500</v>
      </c>
      <c r="G65" s="29"/>
      <c r="H65" s="28">
        <f>SUMPRODUCT(Tracking[Amount],--(Tracking[Date]&lt;=Tracking[[#This Row],[Date]]), (Tracking[Type]&lt;&gt;"Income")*(-1)+(Tracking[Type]="Income"))</f>
        <v>2620</v>
      </c>
      <c r="I65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45292</v>
      </c>
    </row>
    <row r="66" spans="3:9" x14ac:dyDescent="0.25">
      <c r="C66" s="55">
        <v>45295</v>
      </c>
      <c r="D66" s="27" t="s">
        <v>18</v>
      </c>
      <c r="E66" s="6" t="s">
        <v>21</v>
      </c>
      <c r="F66" s="28">
        <v>100</v>
      </c>
      <c r="G66" s="29"/>
      <c r="H66" s="28">
        <f>SUMPRODUCT(Tracking[Amount],--(Tracking[Date]&lt;=Tracking[[#This Row],[Date]]), (Tracking[Type]&lt;&gt;"Income")*(-1)+(Tracking[Type]="Income"))</f>
        <v>2520</v>
      </c>
      <c r="I66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45295</v>
      </c>
    </row>
  </sheetData>
  <mergeCells count="1">
    <mergeCell ref="A1:XFD3"/>
  </mergeCells>
  <conditionalFormatting sqref="E12:E66">
    <cfRule type="expression" dxfId="27" priority="8">
      <formula>ISNA(MATCH(E12, INDIRECT(D12), 0))</formula>
    </cfRule>
  </conditionalFormatting>
  <conditionalFormatting sqref="F12:F66">
    <cfRule type="expression" dxfId="26" priority="5">
      <formula>D12="Income"</formula>
    </cfRule>
  </conditionalFormatting>
  <conditionalFormatting sqref="I12:I66">
    <cfRule type="expression" dxfId="25" priority="1">
      <formula>AND(D12="Income", shift_late_income_status="Active", DAY(C12)&gt;=shift_late_income_starting_day)</formula>
    </cfRule>
  </conditionalFormatting>
  <dataValidations count="4">
    <dataValidation type="date" operator="greaterThan" allowBlank="1" showInputMessage="1" showErrorMessage="1" errorTitle="Invalid Date" error="Please put the correct date" sqref="C12:C66">
      <formula1>1</formula1>
    </dataValidation>
    <dataValidation type="list" allowBlank="1" showInputMessage="1" showErrorMessage="1" errorTitle="Invalid Type" error="Please select a valid type from the dropdown" sqref="D12:D66">
      <formula1>"Income, Expenses, Savings"</formula1>
    </dataValidation>
    <dataValidation type="list" allowBlank="1" showInputMessage="1" showErrorMessage="1" promptTitle="Invalid Category" prompt="Please choose a category from the dropdown" sqref="E12:E66">
      <formula1>INDIRECT(D12)</formula1>
    </dataValidation>
    <dataValidation type="custom" allowBlank="1" showInputMessage="1" showErrorMessage="1" errorTitle="Invalid number" error="Please enter a valid number." sqref="F12:F66">
      <formula1>ISNUMBER(F12)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13D184"/>
  </sheetPr>
  <dimension ref="A1:AR54"/>
  <sheetViews>
    <sheetView showGridLines="0" tabSelected="1" workbookViewId="0">
      <selection activeCell="B8" sqref="B8"/>
    </sheetView>
  </sheetViews>
  <sheetFormatPr defaultRowHeight="15" x14ac:dyDescent="0.25"/>
  <cols>
    <col min="3" max="3" width="8.7109375" hidden="1" customWidth="1"/>
    <col min="4" max="4" width="11.140625" hidden="1" customWidth="1"/>
    <col min="5" max="8" width="8.7109375" hidden="1" customWidth="1"/>
    <col min="9" max="9" width="15.140625" hidden="1" customWidth="1"/>
    <col min="10" max="10" width="23.140625" hidden="1" customWidth="1"/>
    <col min="11" max="11" width="10.28515625" hidden="1" customWidth="1"/>
    <col min="12" max="12" width="20.5703125" hidden="1" customWidth="1"/>
    <col min="13" max="13" width="10.28515625" hidden="1" customWidth="1"/>
    <col min="14" max="14" width="10.5703125" hidden="1" customWidth="1"/>
    <col min="15" max="15" width="10.7109375" hidden="1" customWidth="1"/>
    <col min="16" max="16" width="11" hidden="1" customWidth="1"/>
    <col min="17" max="17" width="11.28515625" hidden="1" customWidth="1"/>
    <col min="18" max="18" width="9.7109375" hidden="1" customWidth="1"/>
    <col min="19" max="19" width="9.140625" hidden="1" customWidth="1"/>
    <col min="20" max="20" width="13.140625" hidden="1" customWidth="1"/>
    <col min="21" max="21" width="12.7109375" hidden="1" customWidth="1"/>
    <col min="22" max="22" width="20.5703125" hidden="1" customWidth="1"/>
    <col min="23" max="23" width="14" hidden="1" customWidth="1"/>
    <col min="24" max="24" width="16.85546875" hidden="1" customWidth="1"/>
    <col min="25" max="25" width="21.42578125" bestFit="1" customWidth="1"/>
    <col min="26" max="27" width="9.7109375" customWidth="1"/>
    <col min="28" max="28" width="12.85546875" style="63" bestFit="1" customWidth="1"/>
    <col min="29" max="30" width="9.7109375" customWidth="1"/>
    <col min="31" max="31" width="4.5703125" customWidth="1"/>
    <col min="32" max="33" width="15.28515625" customWidth="1"/>
    <col min="34" max="34" width="2.140625" customWidth="1"/>
    <col min="35" max="35" width="16.140625" customWidth="1"/>
    <col min="36" max="36" width="10.85546875" customWidth="1"/>
    <col min="38" max="38" width="3" customWidth="1"/>
    <col min="39" max="40" width="15.28515625" customWidth="1"/>
    <col min="41" max="41" width="2.140625" customWidth="1"/>
    <col min="42" max="42" width="16.140625" customWidth="1"/>
    <col min="43" max="43" width="10.85546875" customWidth="1"/>
  </cols>
  <sheetData>
    <row r="1" spans="1:44" s="109" customFormat="1" ht="15" customHeight="1" x14ac:dyDescent="0.25">
      <c r="A1" s="109" t="s">
        <v>53</v>
      </c>
    </row>
    <row r="2" spans="1:44" s="109" customFormat="1" ht="15" customHeight="1" x14ac:dyDescent="0.25"/>
    <row r="3" spans="1:44" s="109" customFormat="1" ht="15" customHeight="1" x14ac:dyDescent="0.25"/>
    <row r="5" spans="1:44" x14ac:dyDescent="0.25">
      <c r="AQ5" s="112" t="s">
        <v>54</v>
      </c>
      <c r="AR5" s="113"/>
    </row>
    <row r="6" spans="1:44" x14ac:dyDescent="0.25">
      <c r="AN6" s="114" t="s">
        <v>55</v>
      </c>
      <c r="AO6" s="114"/>
      <c r="AP6" s="114"/>
      <c r="AQ6" s="118">
        <v>2022</v>
      </c>
      <c r="AR6" s="118"/>
    </row>
    <row r="8" spans="1:44" x14ac:dyDescent="0.25">
      <c r="AQ8" s="112" t="s">
        <v>56</v>
      </c>
      <c r="AR8" s="113"/>
    </row>
    <row r="9" spans="1:44" x14ac:dyDescent="0.25">
      <c r="K9" t="e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#VALUE!</v>
      </c>
      <c r="AN9" s="114" t="s">
        <v>57</v>
      </c>
      <c r="AO9" s="114"/>
      <c r="AP9" s="114"/>
      <c r="AQ9" s="115" t="s">
        <v>62</v>
      </c>
      <c r="AR9" s="115"/>
    </row>
    <row r="11" spans="1:44" x14ac:dyDescent="0.25"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116" t="str">
        <f>"Breakdown - " &amp; IF(selected_period="Total Year", selected_year &amp; " (Total Year)", selected_period_display &amp; " " &amp; selected_year)</f>
        <v>Breakdown - 2022 (Total Year)</v>
      </c>
      <c r="Z11" s="117"/>
      <c r="AA11" s="117"/>
      <c r="AB11" s="117"/>
      <c r="AC11" s="117"/>
      <c r="AD11" s="117"/>
      <c r="AF11" s="117" t="str">
        <f>"Summary - " &amp; IF(selected_period="Total Year", selected_year &amp; " (Total Year)", selected_period_display &amp; " " &amp; selected_year)</f>
        <v>Summary - 2022 (Total Year)</v>
      </c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</row>
    <row r="12" spans="1:44" x14ac:dyDescent="0.25">
      <c r="C12" s="52" t="s">
        <v>68</v>
      </c>
      <c r="D12" s="52" t="s">
        <v>69</v>
      </c>
      <c r="E12" s="52" t="s">
        <v>70</v>
      </c>
      <c r="F12" s="52" t="s">
        <v>71</v>
      </c>
      <c r="G12" s="52" t="s">
        <v>77</v>
      </c>
      <c r="H12" s="52" t="s">
        <v>72</v>
      </c>
      <c r="I12" s="52" t="s">
        <v>73</v>
      </c>
      <c r="J12" s="52" t="s">
        <v>74</v>
      </c>
      <c r="K12" s="52" t="s">
        <v>75</v>
      </c>
      <c r="L12" s="52" t="s">
        <v>76</v>
      </c>
      <c r="M12" s="58" t="s">
        <v>78</v>
      </c>
      <c r="N12" s="59" t="s">
        <v>79</v>
      </c>
      <c r="O12" s="58" t="s">
        <v>80</v>
      </c>
      <c r="P12" s="60" t="s">
        <v>83</v>
      </c>
      <c r="Q12" s="60" t="s">
        <v>81</v>
      </c>
      <c r="R12" s="59" t="s">
        <v>82</v>
      </c>
      <c r="S12" s="58" t="s">
        <v>84</v>
      </c>
      <c r="T12" s="60" t="s">
        <v>85</v>
      </c>
      <c r="U12" s="60" t="s">
        <v>88</v>
      </c>
      <c r="V12" s="60" t="s">
        <v>86</v>
      </c>
      <c r="W12" s="59" t="s">
        <v>87</v>
      </c>
      <c r="X12" s="61" t="s">
        <v>89</v>
      </c>
    </row>
    <row r="13" spans="1:44" x14ac:dyDescent="0.25">
      <c r="C13" s="53">
        <f>income_header_row</f>
        <v>9</v>
      </c>
      <c r="D13" s="54">
        <f t="shared" ref="D13:D54" si="0">IF(is_header, row_id,
   IF(NOT(is_empty), D12, -1))</f>
        <v>9</v>
      </c>
      <c r="E13" s="53">
        <f>1*OR(row_id = income_header_row, row_id = expense_header_row, row_id = savings_header_row)</f>
        <v>1</v>
      </c>
      <c r="F13" s="1">
        <f t="shared" ref="F13:F54" si="1">1*NOT(OR(is_header, is_total, is_empty))</f>
        <v>0</v>
      </c>
      <c r="G13" s="1">
        <f>1*OR(row_id=income_total_row,row_id=expenses_total_row,row_id=savings_total_row)</f>
        <v>0</v>
      </c>
      <c r="H13" s="1">
        <f t="shared" ref="H13:H54" si="2">1*OR(row_id = "/1", row_id = "/2", row_id = -1)</f>
        <v>0</v>
      </c>
      <c r="I13" s="53" t="str">
        <f>IFERROR(INDEX('Budget Planning'!C:C, header_row_id), "")</f>
        <v>Income</v>
      </c>
      <c r="J13" s="1" t="str">
        <f>IFERROR(INDEX('Budget Planning'!C:C, row_id), "")</f>
        <v>Income</v>
      </c>
      <c r="K13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13" s="57" t="str">
        <f>IF(OR(is_header,is_empty),"",
INDEX('Budget Planning'!$E:$BU,row_id,
   MATCH(IF(selected_period = "Total Year", selected_year, DATE(selected_year, selected_period, 1)),'Budget Planning'!$E$9:$BU$9, 0)))</f>
        <v/>
      </c>
      <c r="M13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13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13" s="53" t="str">
        <f t="shared" ref="O13:O54" si="3">IF(is_cat, ADDRESS(sort_min_row, COLUMN(tracked)) &amp; ":" &amp; ADDRESS(sort_max_row, COLUMN(tracked)), "")</f>
        <v/>
      </c>
      <c r="P13" s="1" t="str">
        <f t="shared" ref="P13:P54" ca="1" si="4">IF(is_cat, RANK(tracked, INDIRECT(tracked_range),0), "")</f>
        <v/>
      </c>
      <c r="Q13" s="1" t="str">
        <f t="shared" ref="Q13:Q54" si="5">IF(is_cat, ADDRESS(sort_min_row, COLUMN(budget)) &amp; ":" &amp; ADDRESS(sort_max_row, COLUMN(budget)), "")</f>
        <v/>
      </c>
      <c r="R13" s="54" t="str">
        <f t="shared" ref="R13:R54" ca="1" si="6">IF(is_cat, RANK(budget, INDIRECT(budget_range),0), "")</f>
        <v/>
      </c>
      <c r="S13" s="53" t="str">
        <f t="shared" ref="S13:S54" si="7">IF(is_cat, _xlfn.NUMBERVALUE(tracked_rank &amp; budget_rank), "")</f>
        <v/>
      </c>
      <c r="T13" s="1" t="str">
        <f t="shared" ref="T13:T54" si="8">IF(is_cat, ADDRESS(sort_min_row, COLUMN(comb_rank)) &amp; ":" &amp; ADDRESS(sort_max_row, COLUMN(comb_rank)), "")</f>
        <v/>
      </c>
      <c r="U13" s="1" t="str">
        <f t="shared" ref="U13:U54" ca="1" si="9">IF(is_cat, RANK(comb_rank, INDIRECT(comb_rank_range), 1), "")</f>
        <v/>
      </c>
      <c r="V13" s="1" t="str">
        <f t="shared" ref="V13:V54" si="10">IF(is_cat, ADDRESS(sort_min_row, COLUMN(comb_rank_norm)) &amp; ":" &amp; ADDRESS(ROW(), COLUMN(comb_rank_norm)), "")</f>
        <v/>
      </c>
      <c r="W13" s="54" t="str">
        <f t="shared" ref="W13:W54" ca="1" si="11">IF(is_cat,comb_rank_norm+COUNTIF(INDIRECT(comb_rank_norm_run_range),comb_rank_norm)-1, "")</f>
        <v/>
      </c>
      <c r="X13" s="62">
        <f t="shared" ref="X13:X54" si="12">IF(is_cat, header_row_id + comb_rank_unique, row_id)</f>
        <v>9</v>
      </c>
      <c r="Y13" s="64" t="str">
        <f t="shared" ref="Y13:Y54" si="13">IF(is_empty, "", INDEX($J:$J, MATCH(row_id, $X:$X, 0)))</f>
        <v>Income</v>
      </c>
      <c r="Z13" s="66" t="str">
        <f t="shared" ref="Z13:Z54" si="14">IF(is_empty, "", IF(is_header, "Tracked", INDEX($K:$K, MATCH(row_id, $X:$X, 0))))</f>
        <v>Tracked</v>
      </c>
      <c r="AA13" s="66" t="str">
        <f t="shared" ref="AA13:AA54" si="15">IF(is_empty, "", IF(is_header, "Budget", INDEX($L:$L, MATCH(row_id, $X:$X, 0))))</f>
        <v>Budget</v>
      </c>
      <c r="AB13" s="65" t="str">
        <f t="shared" ref="AB13:AB54" si="16">IF(is_empty, "", IF(is_header, "% Completed", IFERROR(out_tracked/out_budget, "-")))</f>
        <v>% Completed</v>
      </c>
      <c r="AC13" s="66" t="str">
        <f t="shared" ref="AC13:AC54" si="17">IF(is_empty, "", IF(is_header, "Remaining", IF(out_budget - out_tracked &gt; 0, out_budget- out_tracked, 0)))</f>
        <v>Remaining</v>
      </c>
      <c r="AD13" s="66" t="str">
        <f t="shared" ref="AD13:AD54" si="18">IF(is_empty, "", IF(is_header, "Excess", IF(out_budget - out_tracked &lt; 0, out_tracked- out_budget, 0)))</f>
        <v>Excess</v>
      </c>
      <c r="AF13" s="70"/>
      <c r="AG13" s="71"/>
      <c r="AH13" s="71"/>
      <c r="AI13" s="71"/>
      <c r="AJ13" s="71"/>
      <c r="AK13" s="72"/>
      <c r="AM13" s="92"/>
      <c r="AN13" s="93"/>
      <c r="AO13" s="93"/>
      <c r="AP13" s="93"/>
      <c r="AQ13" s="93"/>
      <c r="AR13" s="94"/>
    </row>
    <row r="14" spans="1:44" x14ac:dyDescent="0.25">
      <c r="C14" s="53">
        <f>IF(C13=-1,-1,
   IF(C13&lt;income_max_row,C13+1,
      IF(C13=income_max_row, income_total_row,
         IF(C13 = income_total_row, "/1",
            IF(C13 = "/1", expense_header_row,
               IF(C13&lt;expense_max_row,C13+1,
                  IF(C13=expense_max_row, expenses_total_row,
                     IF(C13 = expenses_total_row, "/2",
                         IF(C13 = "/2", savings_header_row,
                             IF(C13&lt;savings_max_row,C13+1,
                                   IF(C13=savings_max_row, savings_total_row, -1
)))))))))))</f>
        <v>10</v>
      </c>
      <c r="D14" s="54">
        <f t="shared" si="0"/>
        <v>9</v>
      </c>
      <c r="E14" s="53">
        <f>1*OR(row_id = income_header_row, row_id = expense_header_row, row_id = savings_header_row)</f>
        <v>0</v>
      </c>
      <c r="F14" s="1">
        <f t="shared" si="1"/>
        <v>1</v>
      </c>
      <c r="G14" s="1">
        <f>1*OR(row_id=income_total_row,row_id=expenses_total_row,row_id=savings_total_row)</f>
        <v>0</v>
      </c>
      <c r="H14" s="1">
        <f t="shared" si="2"/>
        <v>0</v>
      </c>
      <c r="I14" s="53" t="str">
        <f>IFERROR(INDEX('Budget Planning'!C:C, header_row_id), "")</f>
        <v>Income</v>
      </c>
      <c r="J14" s="1" t="str">
        <f>IFERROR(INDEX('Budget Planning'!C:C, row_id), "")</f>
        <v>Employment (Net)</v>
      </c>
      <c r="K14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7000</v>
      </c>
      <c r="L14" s="57">
        <f>IF(OR(is_header,is_empty),"",
INDEX('Budget Planning'!$E:$BU,row_id,
   MATCH(IF(selected_period = "Total Year", selected_year, DATE(selected_year, selected_period, 1)),'Budget Planning'!$E$9:$BU$9, 0)))</f>
        <v>33600</v>
      </c>
      <c r="M14" s="53">
        <f>IF(is_cat,
IF(header_row_id=income_header_row,MATCH(income_min_row,$C:$C,0),
IF(header_row_id=expense_header_row,MATCH(expense_min_row,$C:$C,0),
IF(header_row_id=savings_header_row,MATCH(savings_min_row,$C:$C,0),""))), "")</f>
        <v>14</v>
      </c>
      <c r="N14" s="54">
        <f>IF(is_cat,
IF(header_row_id=income_header_row,MATCH(income_max_row,$C:$C,0),
IF(header_row_id=expense_header_row,MATCH(expense_max_row,$C:$C,0),
IF(header_row_id=savings_header_row,MATCH(savings_max_row,$C:$C,0),""))), "")</f>
        <v>16</v>
      </c>
      <c r="O14" s="53" t="str">
        <f t="shared" si="3"/>
        <v>$K$14:$K$16</v>
      </c>
      <c r="P14" s="1">
        <f t="shared" ca="1" si="4"/>
        <v>1</v>
      </c>
      <c r="Q14" s="1" t="str">
        <f t="shared" si="5"/>
        <v>$L$14:$L$16</v>
      </c>
      <c r="R14" s="54">
        <f t="shared" ca="1" si="6"/>
        <v>1</v>
      </c>
      <c r="S14" s="53">
        <f t="shared" ca="1" si="7"/>
        <v>11</v>
      </c>
      <c r="T14" s="1" t="str">
        <f t="shared" si="8"/>
        <v>$S$14:$S$16</v>
      </c>
      <c r="U14" s="1">
        <f t="shared" ca="1" si="9"/>
        <v>1</v>
      </c>
      <c r="V14" s="1" t="str">
        <f t="shared" si="10"/>
        <v>$U$14:$U$14</v>
      </c>
      <c r="W14" s="54">
        <f t="shared" ca="1" si="11"/>
        <v>1</v>
      </c>
      <c r="X14" s="62">
        <f t="shared" ca="1" si="12"/>
        <v>10</v>
      </c>
      <c r="Y14" s="64" t="str">
        <f t="shared" ca="1" si="13"/>
        <v>Employment (Net)</v>
      </c>
      <c r="Z14" s="66">
        <f t="shared" ca="1" si="14"/>
        <v>7000</v>
      </c>
      <c r="AA14" s="66">
        <f t="shared" ca="1" si="15"/>
        <v>33600</v>
      </c>
      <c r="AB14" s="65">
        <f t="shared" ca="1" si="16"/>
        <v>0.20833333333333334</v>
      </c>
      <c r="AC14" s="66">
        <f t="shared" ca="1" si="17"/>
        <v>26600</v>
      </c>
      <c r="AD14" s="66">
        <f t="shared" ca="1" si="18"/>
        <v>0</v>
      </c>
      <c r="AF14" s="73"/>
      <c r="AG14" s="1"/>
      <c r="AH14" s="1"/>
      <c r="AI14" s="1"/>
      <c r="AJ14" s="1"/>
      <c r="AK14" s="74"/>
      <c r="AM14" s="53"/>
      <c r="AN14" s="1"/>
      <c r="AO14" s="1"/>
      <c r="AP14" s="1"/>
      <c r="AQ14" s="1"/>
      <c r="AR14" s="54"/>
    </row>
    <row r="15" spans="1:44" x14ac:dyDescent="0.25">
      <c r="C15" s="53">
        <f>IF(C14=-1,-1,
   IF(C14&lt;income_max_row,C14+1,
      IF(C14=income_max_row, income_total_row,
         IF(C14 = income_total_row, "/1",
            IF(C14 = "/1", expense_header_row,
               IF(C14&lt;expense_max_row,C14+1,
                  IF(C14=expense_max_row, expenses_total_row,
                     IF(C14 = expenses_total_row, "/2",
                         IF(C14 = "/2", savings_header_row,
                             IF(C14&lt;savings_max_row,C14+1,
                                   IF(C14=savings_max_row, savings_total_row, -1
)))))))))))</f>
        <v>11</v>
      </c>
      <c r="D15" s="54">
        <f t="shared" si="0"/>
        <v>9</v>
      </c>
      <c r="E15" s="53">
        <f>1*OR(row_id = income_header_row, row_id = expense_header_row, row_id = savings_header_row)</f>
        <v>0</v>
      </c>
      <c r="F15" s="1">
        <f t="shared" si="1"/>
        <v>1</v>
      </c>
      <c r="G15" s="1">
        <f>1*OR(row_id=income_total_row,row_id=expenses_total_row,row_id=savings_total_row)</f>
        <v>0</v>
      </c>
      <c r="H15" s="1">
        <f t="shared" si="2"/>
        <v>0</v>
      </c>
      <c r="I15" s="53" t="str">
        <f>IFERROR(INDEX('Budget Planning'!C:C, header_row_id), "")</f>
        <v>Income</v>
      </c>
      <c r="J15" s="1" t="str">
        <f>IFERROR(INDEX('Budget Planning'!C:C, row_id), "")</f>
        <v>Side Hustle (Net)</v>
      </c>
      <c r="K15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1500</v>
      </c>
      <c r="L15" s="57">
        <f>IF(OR(is_header,is_empty),"",
INDEX('Budget Planning'!$E:$BU,row_id,
   MATCH(IF(selected_period = "Total Year", selected_year, DATE(selected_year, selected_period, 1)),'Budget Planning'!$E$9:$BU$9, 0)))</f>
        <v>250</v>
      </c>
      <c r="M15" s="53">
        <f>IF(is_cat,
IF(header_row_id=income_header_row,MATCH(income_min_row,$C:$C,0),
IF(header_row_id=expense_header_row,MATCH(expense_min_row,$C:$C,0),
IF(header_row_id=savings_header_row,MATCH(savings_min_row,$C:$C,0),""))), "")</f>
        <v>14</v>
      </c>
      <c r="N15" s="54">
        <f>IF(is_cat,
IF(header_row_id=income_header_row,MATCH(income_max_row,$C:$C,0),
IF(header_row_id=expense_header_row,MATCH(expense_max_row,$C:$C,0),
IF(header_row_id=savings_header_row,MATCH(savings_max_row,$C:$C,0),""))), "")</f>
        <v>16</v>
      </c>
      <c r="O15" s="53" t="str">
        <f t="shared" si="3"/>
        <v>$K$14:$K$16</v>
      </c>
      <c r="P15" s="1">
        <f t="shared" ca="1" si="4"/>
        <v>2</v>
      </c>
      <c r="Q15" s="1" t="str">
        <f t="shared" si="5"/>
        <v>$L$14:$L$16</v>
      </c>
      <c r="R15" s="54">
        <f t="shared" ca="1" si="6"/>
        <v>3</v>
      </c>
      <c r="S15" s="53">
        <f t="shared" ca="1" si="7"/>
        <v>23</v>
      </c>
      <c r="T15" s="1" t="str">
        <f t="shared" si="8"/>
        <v>$S$14:$S$16</v>
      </c>
      <c r="U15" s="1">
        <f t="shared" ca="1" si="9"/>
        <v>2</v>
      </c>
      <c r="V15" s="1" t="str">
        <f t="shared" si="10"/>
        <v>$U$14:$U$15</v>
      </c>
      <c r="W15" s="54">
        <f t="shared" ca="1" si="11"/>
        <v>2</v>
      </c>
      <c r="X15" s="62">
        <f t="shared" ca="1" si="12"/>
        <v>11</v>
      </c>
      <c r="Y15" s="64" t="str">
        <f t="shared" ca="1" si="13"/>
        <v>Side Hustle (Net)</v>
      </c>
      <c r="Z15" s="66">
        <f t="shared" ca="1" si="14"/>
        <v>1500</v>
      </c>
      <c r="AA15" s="66">
        <f t="shared" ca="1" si="15"/>
        <v>250</v>
      </c>
      <c r="AB15" s="65">
        <f t="shared" ca="1" si="16"/>
        <v>6</v>
      </c>
      <c r="AC15" s="66">
        <f t="shared" ca="1" si="17"/>
        <v>0</v>
      </c>
      <c r="AD15" s="66">
        <f t="shared" ca="1" si="18"/>
        <v>1250</v>
      </c>
      <c r="AF15" s="73"/>
      <c r="AG15" s="1"/>
      <c r="AH15" s="1"/>
      <c r="AI15" s="87" t="str">
        <f ca="1">Calculations!E35</f>
        <v>Employment (Net)</v>
      </c>
      <c r="AJ15" s="88">
        <f ca="1">Calculations!F35</f>
        <v>7000</v>
      </c>
      <c r="AK15" s="74"/>
      <c r="AM15" s="53"/>
      <c r="AN15" s="1"/>
      <c r="AO15" s="1"/>
      <c r="AP15" s="1"/>
      <c r="AQ15" s="1"/>
      <c r="AR15" s="54"/>
    </row>
    <row r="16" spans="1:44" x14ac:dyDescent="0.25">
      <c r="C16" s="53">
        <f>IF(C15=-1,-1,
   IF(C15&lt;income_max_row,C15+1,
      IF(C15=income_max_row, income_total_row,
         IF(C15 = income_total_row, "/1",
            IF(C15 = "/1", expense_header_row,
               IF(C15&lt;expense_max_row,C15+1,
                  IF(C15=expense_max_row, expenses_total_row,
                     IF(C15 = expenses_total_row, "/2",
                         IF(C15 = "/2", savings_header_row,
                             IF(C15&lt;savings_max_row,C15+1,
                                   IF(C15=savings_max_row, savings_total_row, -1
)))))))))))</f>
        <v>12</v>
      </c>
      <c r="D16" s="54">
        <f t="shared" si="0"/>
        <v>9</v>
      </c>
      <c r="E16" s="53">
        <f>1*OR(row_id = income_header_row, row_id = expense_header_row, row_id = savings_header_row)</f>
        <v>0</v>
      </c>
      <c r="F16" s="1">
        <f t="shared" si="1"/>
        <v>1</v>
      </c>
      <c r="G16" s="1">
        <f>1*OR(row_id=income_total_row,row_id=expenses_total_row,row_id=savings_total_row)</f>
        <v>0</v>
      </c>
      <c r="H16" s="1">
        <f t="shared" si="2"/>
        <v>0</v>
      </c>
      <c r="I16" s="53" t="str">
        <f>IFERROR(INDEX('Budget Planning'!C:C, header_row_id), "")</f>
        <v>Income</v>
      </c>
      <c r="J16" s="1" t="str">
        <f>IFERROR(INDEX('Budget Planning'!C:C, row_id), "")</f>
        <v>Dividends</v>
      </c>
      <c r="K16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200</v>
      </c>
      <c r="L16" s="57">
        <f>IF(OR(is_header,is_empty),"",
INDEX('Budget Planning'!$E:$BU,row_id,
   MATCH(IF(selected_period = "Total Year", selected_year, DATE(selected_year, selected_period, 1)),'Budget Planning'!$E$9:$BU$9, 0)))</f>
        <v>360</v>
      </c>
      <c r="M16" s="53">
        <f>IF(is_cat,
IF(header_row_id=income_header_row,MATCH(income_min_row,$C:$C,0),
IF(header_row_id=expense_header_row,MATCH(expense_min_row,$C:$C,0),
IF(header_row_id=savings_header_row,MATCH(savings_min_row,$C:$C,0),""))), "")</f>
        <v>14</v>
      </c>
      <c r="N16" s="54">
        <f>IF(is_cat,
IF(header_row_id=income_header_row,MATCH(income_max_row,$C:$C,0),
IF(header_row_id=expense_header_row,MATCH(expense_max_row,$C:$C,0),
IF(header_row_id=savings_header_row,MATCH(savings_max_row,$C:$C,0),""))), "")</f>
        <v>16</v>
      </c>
      <c r="O16" s="53" t="str">
        <f t="shared" si="3"/>
        <v>$K$14:$K$16</v>
      </c>
      <c r="P16" s="1">
        <f t="shared" ca="1" si="4"/>
        <v>3</v>
      </c>
      <c r="Q16" s="1" t="str">
        <f t="shared" si="5"/>
        <v>$L$14:$L$16</v>
      </c>
      <c r="R16" s="54">
        <f t="shared" ca="1" si="6"/>
        <v>2</v>
      </c>
      <c r="S16" s="53">
        <f t="shared" ca="1" si="7"/>
        <v>32</v>
      </c>
      <c r="T16" s="1" t="str">
        <f t="shared" si="8"/>
        <v>$S$14:$S$16</v>
      </c>
      <c r="U16" s="1">
        <f t="shared" ca="1" si="9"/>
        <v>3</v>
      </c>
      <c r="V16" s="1" t="str">
        <f t="shared" si="10"/>
        <v>$U$14:$U$16</v>
      </c>
      <c r="W16" s="54">
        <f t="shared" ca="1" si="11"/>
        <v>3</v>
      </c>
      <c r="X16" s="62">
        <f t="shared" ca="1" si="12"/>
        <v>12</v>
      </c>
      <c r="Y16" s="64" t="str">
        <f t="shared" ca="1" si="13"/>
        <v>Dividends</v>
      </c>
      <c r="Z16" s="66">
        <f t="shared" ca="1" si="14"/>
        <v>200</v>
      </c>
      <c r="AA16" s="66">
        <f t="shared" ca="1" si="15"/>
        <v>360</v>
      </c>
      <c r="AB16" s="65">
        <f t="shared" ca="1" si="16"/>
        <v>0.55555555555555558</v>
      </c>
      <c r="AC16" s="66">
        <f t="shared" ca="1" si="17"/>
        <v>160</v>
      </c>
      <c r="AD16" s="66">
        <f t="shared" ca="1" si="18"/>
        <v>0</v>
      </c>
      <c r="AF16" s="73"/>
      <c r="AG16" s="1"/>
      <c r="AH16" s="1"/>
      <c r="AI16" s="87" t="str">
        <f ca="1">Calculations!E36</f>
        <v>Side Hustle (Net)</v>
      </c>
      <c r="AJ16" s="88">
        <f ca="1">Calculations!F36</f>
        <v>1500</v>
      </c>
      <c r="AK16" s="74"/>
      <c r="AM16" s="53"/>
      <c r="AN16" s="1"/>
      <c r="AO16" s="1"/>
      <c r="AP16" s="1"/>
      <c r="AQ16" s="1"/>
      <c r="AR16" s="54"/>
    </row>
    <row r="17" spans="3:44" x14ac:dyDescent="0.25">
      <c r="C17" s="53">
        <f>IF(C16=-1,-1,
   IF(C16&lt;income_max_row,C16+1,
      IF(C16=income_max_row, income_total_row,
         IF(C16 = income_total_row, "/1",
            IF(C16 = "/1", expense_header_row,
               IF(C16&lt;expense_max_row,C16+1,
                  IF(C16=expense_max_row, expenses_total_row,
                     IF(C16 = expenses_total_row, "/2",
                         IF(C16 = "/2", savings_header_row,
                             IF(C16&lt;savings_max_row,C16+1,
                                   IF(C16=savings_max_row, savings_total_row, -1
)))))))))))</f>
        <v>20</v>
      </c>
      <c r="D17" s="54">
        <f t="shared" si="0"/>
        <v>9</v>
      </c>
      <c r="E17" s="53">
        <f>1*OR(row_id = income_header_row, row_id = expense_header_row, row_id = savings_header_row)</f>
        <v>0</v>
      </c>
      <c r="F17" s="1">
        <f t="shared" si="1"/>
        <v>0</v>
      </c>
      <c r="G17" s="1">
        <f>1*OR(row_id=income_total_row,row_id=expenses_total_row,row_id=savings_total_row)</f>
        <v>1</v>
      </c>
      <c r="H17" s="1">
        <f t="shared" si="2"/>
        <v>0</v>
      </c>
      <c r="I17" s="53" t="str">
        <f>IFERROR(INDEX('Budget Planning'!C:C, header_row_id), "")</f>
        <v>Income</v>
      </c>
      <c r="J17" s="1" t="str">
        <f>IFERROR(INDEX('Budget Planning'!C:C, row_id), "")</f>
        <v>Total</v>
      </c>
      <c r="K17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8700</v>
      </c>
      <c r="L17" s="57">
        <f ca="1">IF(OR(is_header,is_empty),"",
INDEX('Budget Planning'!$E:$BU,row_id,
   MATCH(IF(selected_period = "Total Year", selected_year, DATE(selected_year, selected_period, 1)),'Budget Planning'!$E$9:$BU$9, 0)))</f>
        <v>34210</v>
      </c>
      <c r="M17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17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17" s="53" t="str">
        <f t="shared" si="3"/>
        <v/>
      </c>
      <c r="P17" s="1" t="str">
        <f t="shared" ca="1" si="4"/>
        <v/>
      </c>
      <c r="Q17" s="1" t="str">
        <f t="shared" si="5"/>
        <v/>
      </c>
      <c r="R17" s="54" t="str">
        <f t="shared" ca="1" si="6"/>
        <v/>
      </c>
      <c r="S17" s="53" t="str">
        <f t="shared" si="7"/>
        <v/>
      </c>
      <c r="T17" s="1" t="str">
        <f t="shared" si="8"/>
        <v/>
      </c>
      <c r="U17" s="1" t="str">
        <f t="shared" ca="1" si="9"/>
        <v/>
      </c>
      <c r="V17" s="1" t="str">
        <f t="shared" si="10"/>
        <v/>
      </c>
      <c r="W17" s="54" t="str">
        <f t="shared" ca="1" si="11"/>
        <v/>
      </c>
      <c r="X17" s="62">
        <f t="shared" si="12"/>
        <v>20</v>
      </c>
      <c r="Y17" s="64" t="str">
        <f t="shared" ca="1" si="13"/>
        <v>Total</v>
      </c>
      <c r="Z17" s="66">
        <f t="shared" ca="1" si="14"/>
        <v>8700</v>
      </c>
      <c r="AA17" s="66">
        <f t="shared" ca="1" si="15"/>
        <v>34210</v>
      </c>
      <c r="AB17" s="65">
        <f t="shared" ca="1" si="16"/>
        <v>0.2543116047939199</v>
      </c>
      <c r="AC17" s="66">
        <f t="shared" ca="1" si="17"/>
        <v>25510</v>
      </c>
      <c r="AD17" s="66">
        <f t="shared" ca="1" si="18"/>
        <v>0</v>
      </c>
      <c r="AF17" s="73"/>
      <c r="AG17" s="1"/>
      <c r="AH17" s="1"/>
      <c r="AI17" s="87" t="str">
        <f ca="1">Calculations!E37</f>
        <v>Dividends</v>
      </c>
      <c r="AJ17" s="88">
        <f ca="1">Calculations!F37</f>
        <v>200</v>
      </c>
      <c r="AK17" s="74"/>
      <c r="AM17" s="53"/>
      <c r="AN17" s="1"/>
      <c r="AO17" s="1"/>
      <c r="AP17" s="1"/>
      <c r="AQ17" s="1"/>
      <c r="AR17" s="54"/>
    </row>
    <row r="18" spans="3:44" x14ac:dyDescent="0.25">
      <c r="C18" s="53" t="str">
        <f>IF(C17=-1,-1,
   IF(C17&lt;income_max_row,C17+1,
      IF(C17=income_max_row, income_total_row,
         IF(C17 = income_total_row, "/1",
            IF(C17 = "/1", expense_header_row,
               IF(C17&lt;expense_max_row,C17+1,
                  IF(C17=expense_max_row, expenses_total_row,
                     IF(C17 = expenses_total_row, "/2",
                         IF(C17 = "/2", savings_header_row,
                             IF(C17&lt;savings_max_row,C17+1,
                                   IF(C17=savings_max_row, savings_total_row, -1
)))))))))))</f>
        <v>/1</v>
      </c>
      <c r="D18" s="54">
        <f t="shared" si="0"/>
        <v>-1</v>
      </c>
      <c r="E18" s="53">
        <f>1*OR(row_id = income_header_row, row_id = expense_header_row, row_id = savings_header_row)</f>
        <v>0</v>
      </c>
      <c r="F18" s="1">
        <f t="shared" si="1"/>
        <v>0</v>
      </c>
      <c r="G18" s="1">
        <f>1*OR(row_id=income_total_row,row_id=expenses_total_row,row_id=savings_total_row)</f>
        <v>0</v>
      </c>
      <c r="H18" s="1">
        <f t="shared" si="2"/>
        <v>1</v>
      </c>
      <c r="I18" s="53" t="str">
        <f>IFERROR(INDEX('Budget Planning'!C:C, header_row_id), "")</f>
        <v/>
      </c>
      <c r="J18" s="1" t="str">
        <f>IFERROR(INDEX('Budget Planning'!C:C, row_id), "")</f>
        <v/>
      </c>
      <c r="K18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18" s="57" t="str">
        <f>IF(OR(is_header,is_empty),"",
INDEX('Budget Planning'!$E:$BU,row_id,
   MATCH(IF(selected_period = "Total Year", selected_year, DATE(selected_year, selected_period, 1)),'Budget Planning'!$E$9:$BU$9, 0)))</f>
        <v/>
      </c>
      <c r="M18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18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18" s="53" t="str">
        <f t="shared" si="3"/>
        <v/>
      </c>
      <c r="P18" s="1" t="str">
        <f t="shared" ca="1" si="4"/>
        <v/>
      </c>
      <c r="Q18" s="1" t="str">
        <f t="shared" si="5"/>
        <v/>
      </c>
      <c r="R18" s="54" t="str">
        <f t="shared" ca="1" si="6"/>
        <v/>
      </c>
      <c r="S18" s="53" t="str">
        <f t="shared" si="7"/>
        <v/>
      </c>
      <c r="T18" s="1" t="str">
        <f t="shared" si="8"/>
        <v/>
      </c>
      <c r="U18" s="1" t="str">
        <f t="shared" ca="1" si="9"/>
        <v/>
      </c>
      <c r="V18" s="1" t="str">
        <f t="shared" si="10"/>
        <v/>
      </c>
      <c r="W18" s="54" t="str">
        <f t="shared" ca="1" si="11"/>
        <v/>
      </c>
      <c r="X18" s="62" t="str">
        <f t="shared" si="12"/>
        <v>/1</v>
      </c>
      <c r="Y18" s="64" t="str">
        <f t="shared" si="13"/>
        <v/>
      </c>
      <c r="Z18" s="66" t="str">
        <f t="shared" si="14"/>
        <v/>
      </c>
      <c r="AA18" s="66" t="str">
        <f t="shared" si="15"/>
        <v/>
      </c>
      <c r="AB18" s="65" t="str">
        <f t="shared" si="16"/>
        <v/>
      </c>
      <c r="AC18" s="66" t="str">
        <f t="shared" si="17"/>
        <v/>
      </c>
      <c r="AD18" s="66" t="str">
        <f t="shared" si="18"/>
        <v/>
      </c>
      <c r="AF18" s="73"/>
      <c r="AG18" s="1"/>
      <c r="AH18" s="1"/>
      <c r="AI18" s="87" t="str">
        <f>Calculations!E38</f>
        <v/>
      </c>
      <c r="AJ18" s="88" t="str">
        <f>Calculations!F38</f>
        <v/>
      </c>
      <c r="AK18" s="74"/>
      <c r="AM18" s="53"/>
      <c r="AN18" s="1"/>
      <c r="AO18" s="1"/>
      <c r="AP18" s="1"/>
      <c r="AQ18" s="1"/>
      <c r="AR18" s="54"/>
    </row>
    <row r="19" spans="3:44" x14ac:dyDescent="0.25">
      <c r="C19" s="53">
        <f>IF(C18=-1,-1,
   IF(C18&lt;income_max_row,C18+1,
      IF(C18=income_max_row, income_total_row,
         IF(C18 = income_total_row, "/1",
            IF(C18 = "/1", expense_header_row,
               IF(C18&lt;expense_max_row,C18+1,
                  IF(C18=expense_max_row, expenses_total_row,
                     IF(C18 = expenses_total_row, "/2",
                         IF(C18 = "/2", savings_header_row,
                             IF(C18&lt;savings_max_row,C18+1,
                                   IF(C18=savings_max_row, savings_total_row, -1
)))))))))))</f>
        <v>22</v>
      </c>
      <c r="D19" s="54">
        <f t="shared" si="0"/>
        <v>22</v>
      </c>
      <c r="E19" s="53">
        <f>1*OR(row_id = income_header_row, row_id = expense_header_row, row_id = savings_header_row)</f>
        <v>1</v>
      </c>
      <c r="F19" s="1">
        <f t="shared" si="1"/>
        <v>0</v>
      </c>
      <c r="G19" s="1">
        <f>1*OR(row_id=income_total_row,row_id=expenses_total_row,row_id=savings_total_row)</f>
        <v>0</v>
      </c>
      <c r="H19" s="1">
        <f t="shared" si="2"/>
        <v>0</v>
      </c>
      <c r="I19" s="53" t="str">
        <f>IFERROR(INDEX('Budget Planning'!C:C, header_row_id), "")</f>
        <v>Expenses</v>
      </c>
      <c r="J19" s="1" t="str">
        <f>IFERROR(INDEX('Budget Planning'!C:C, row_id), "")</f>
        <v>Expenses</v>
      </c>
      <c r="K19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19" s="57" t="str">
        <f>IF(OR(is_header,is_empty),"",
INDEX('Budget Planning'!$E:$BU,row_id,
   MATCH(IF(selected_period = "Total Year", selected_year, DATE(selected_year, selected_period, 1)),'Budget Planning'!$E$9:$BU$9, 0)))</f>
        <v/>
      </c>
      <c r="M19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19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19" s="53" t="str">
        <f t="shared" si="3"/>
        <v/>
      </c>
      <c r="P19" s="1" t="str">
        <f t="shared" ca="1" si="4"/>
        <v/>
      </c>
      <c r="Q19" s="1" t="str">
        <f t="shared" si="5"/>
        <v/>
      </c>
      <c r="R19" s="54" t="str">
        <f t="shared" ca="1" si="6"/>
        <v/>
      </c>
      <c r="S19" s="53" t="str">
        <f t="shared" si="7"/>
        <v/>
      </c>
      <c r="T19" s="1" t="str">
        <f t="shared" si="8"/>
        <v/>
      </c>
      <c r="U19" s="1" t="str">
        <f t="shared" ca="1" si="9"/>
        <v/>
      </c>
      <c r="V19" s="1" t="str">
        <f t="shared" si="10"/>
        <v/>
      </c>
      <c r="W19" s="54" t="str">
        <f t="shared" ca="1" si="11"/>
        <v/>
      </c>
      <c r="X19" s="62">
        <f t="shared" si="12"/>
        <v>22</v>
      </c>
      <c r="Y19" s="64" t="str">
        <f t="shared" ca="1" si="13"/>
        <v>Expenses</v>
      </c>
      <c r="Z19" s="66" t="str">
        <f t="shared" si="14"/>
        <v>Tracked</v>
      </c>
      <c r="AA19" s="66" t="str">
        <f t="shared" si="15"/>
        <v>Budget</v>
      </c>
      <c r="AB19" s="65" t="str">
        <f t="shared" si="16"/>
        <v>% Completed</v>
      </c>
      <c r="AC19" s="66" t="str">
        <f t="shared" si="17"/>
        <v>Remaining</v>
      </c>
      <c r="AD19" s="66" t="str">
        <f t="shared" si="18"/>
        <v>Excess</v>
      </c>
      <c r="AF19" s="73"/>
      <c r="AG19" s="1"/>
      <c r="AH19" s="1"/>
      <c r="AI19" s="87" t="str">
        <f>Calculations!E39</f>
        <v/>
      </c>
      <c r="AJ19" s="88" t="str">
        <f>Calculations!F39</f>
        <v/>
      </c>
      <c r="AK19" s="74"/>
      <c r="AM19" s="53"/>
      <c r="AN19" s="1"/>
      <c r="AO19" s="1"/>
      <c r="AP19" s="1"/>
      <c r="AQ19" s="1"/>
      <c r="AR19" s="54"/>
    </row>
    <row r="20" spans="3:44" ht="15.75" thickBot="1" x14ac:dyDescent="0.3">
      <c r="C20" s="53">
        <f>IF(C19=-1,-1,
   IF(C19&lt;income_max_row,C19+1,
      IF(C19=income_max_row, income_total_row,
         IF(C19 = income_total_row, "/1",
            IF(C19 = "/1", expense_header_row,
               IF(C19&lt;expense_max_row,C19+1,
                  IF(C19=expense_max_row, expenses_total_row,
                     IF(C19 = expenses_total_row, "/2",
                         IF(C19 = "/2", savings_header_row,
                             IF(C19&lt;savings_max_row,C19+1,
                                   IF(C19=savings_max_row, savings_total_row, -1
)))))))))))</f>
        <v>23</v>
      </c>
      <c r="D20" s="54">
        <f t="shared" si="0"/>
        <v>22</v>
      </c>
      <c r="E20" s="53">
        <f>1*OR(row_id = income_header_row, row_id = expense_header_row, row_id = savings_header_row)</f>
        <v>0</v>
      </c>
      <c r="F20" s="1">
        <f t="shared" si="1"/>
        <v>1</v>
      </c>
      <c r="G20" s="1">
        <f>1*OR(row_id=income_total_row,row_id=expenses_total_row,row_id=savings_total_row)</f>
        <v>0</v>
      </c>
      <c r="H20" s="1">
        <f t="shared" si="2"/>
        <v>0</v>
      </c>
      <c r="I20" s="53" t="str">
        <f>IFERROR(INDEX('Budget Planning'!C:C, header_row_id), "")</f>
        <v>Expenses</v>
      </c>
      <c r="J20" s="1" t="str">
        <f>IFERROR(INDEX('Budget Planning'!C:C, row_id), "")</f>
        <v>Housing</v>
      </c>
      <c r="K20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1360</v>
      </c>
      <c r="L20" s="57">
        <f>IF(OR(is_header,is_empty),"",
INDEX('Budget Planning'!$E:$BU,row_id,
   MATCH(IF(selected_period = "Total Year", selected_year, DATE(selected_year, selected_period, 1)),'Budget Planning'!$E$9:$BU$9, 0)))</f>
        <v>1200</v>
      </c>
      <c r="M20" s="53">
        <f>IF(is_cat,
IF(header_row_id=income_header_row,MATCH(income_min_row,$C:$C,0),
IF(header_row_id=expense_header_row,MATCH(expense_min_row,$C:$C,0),
IF(header_row_id=savings_header_row,MATCH(savings_min_row,$C:$C,0),""))), "")</f>
        <v>20</v>
      </c>
      <c r="N20" s="54">
        <f>IF(is_cat,
IF(header_row_id=income_header_row,MATCH(income_max_row,$C:$C,0),
IF(header_row_id=expense_header_row,MATCH(expense_max_row,$C:$C,0),
IF(header_row_id=savings_header_row,MATCH(savings_max_row,$C:$C,0),""))), "")</f>
        <v>27</v>
      </c>
      <c r="O20" s="53" t="str">
        <f t="shared" si="3"/>
        <v>$K$20:$K$27</v>
      </c>
      <c r="P20" s="1">
        <f t="shared" ca="1" si="4"/>
        <v>2</v>
      </c>
      <c r="Q20" s="1" t="str">
        <f t="shared" si="5"/>
        <v>$L$20:$L$27</v>
      </c>
      <c r="R20" s="54">
        <f t="shared" ca="1" si="6"/>
        <v>7</v>
      </c>
      <c r="S20" s="53">
        <f t="shared" ca="1" si="7"/>
        <v>27</v>
      </c>
      <c r="T20" s="1" t="str">
        <f t="shared" si="8"/>
        <v>$S$20:$S$27</v>
      </c>
      <c r="U20" s="1">
        <f t="shared" ca="1" si="9"/>
        <v>2</v>
      </c>
      <c r="V20" s="1" t="str">
        <f t="shared" si="10"/>
        <v>$U$20:$U$20</v>
      </c>
      <c r="W20" s="54">
        <f t="shared" ca="1" si="11"/>
        <v>2</v>
      </c>
      <c r="X20" s="62">
        <f t="shared" ca="1" si="12"/>
        <v>24</v>
      </c>
      <c r="Y20" s="64" t="str">
        <f t="shared" ca="1" si="13"/>
        <v>Insurance</v>
      </c>
      <c r="Z20" s="66">
        <f t="shared" ca="1" si="14"/>
        <v>2390</v>
      </c>
      <c r="AA20" s="66">
        <f t="shared" ca="1" si="15"/>
        <v>3600</v>
      </c>
      <c r="AB20" s="65">
        <f t="shared" ca="1" si="16"/>
        <v>0.66388888888888886</v>
      </c>
      <c r="AC20" s="66">
        <f t="shared" ca="1" si="17"/>
        <v>1210</v>
      </c>
      <c r="AD20" s="66">
        <f t="shared" ca="1" si="18"/>
        <v>0</v>
      </c>
      <c r="AF20" s="73"/>
      <c r="AG20" s="1"/>
      <c r="AH20" s="1"/>
      <c r="AI20" s="87" t="str">
        <f ca="1">Calculations!E40</f>
        <v/>
      </c>
      <c r="AJ20" s="88" t="str">
        <f ca="1">Calculations!F40</f>
        <v/>
      </c>
      <c r="AK20" s="74"/>
      <c r="AM20" s="53"/>
      <c r="AN20" s="1"/>
      <c r="AO20" s="1"/>
      <c r="AP20" s="1"/>
      <c r="AQ20" s="1"/>
      <c r="AR20" s="54"/>
    </row>
    <row r="21" spans="3:44" x14ac:dyDescent="0.25">
      <c r="C21" s="53">
        <f>IF(C20=-1,-1,
   IF(C20&lt;income_max_row,C20+1,
      IF(C20=income_max_row, income_total_row,
         IF(C20 = income_total_row, "/1",
            IF(C20 = "/1", expense_header_row,
               IF(C20&lt;expense_max_row,C20+1,
                  IF(C20=expense_max_row, expenses_total_row,
                     IF(C20 = expenses_total_row, "/2",
                         IF(C20 = "/2", savings_header_row,
                             IF(C20&lt;savings_max_row,C20+1,
                                   IF(C20=savings_max_row, savings_total_row, -1
)))))))))))</f>
        <v>24</v>
      </c>
      <c r="D21" s="54">
        <f t="shared" si="0"/>
        <v>22</v>
      </c>
      <c r="E21" s="53">
        <f>1*OR(row_id = income_header_row, row_id = expense_header_row, row_id = savings_header_row)</f>
        <v>0</v>
      </c>
      <c r="F21" s="1">
        <f t="shared" si="1"/>
        <v>1</v>
      </c>
      <c r="G21" s="1">
        <f>1*OR(row_id=income_total_row,row_id=expenses_total_row,row_id=savings_total_row)</f>
        <v>0</v>
      </c>
      <c r="H21" s="1">
        <f t="shared" si="2"/>
        <v>0</v>
      </c>
      <c r="I21" s="53" t="str">
        <f>IFERROR(INDEX('Budget Planning'!C:C, header_row_id), "")</f>
        <v>Expenses</v>
      </c>
      <c r="J21" s="1" t="str">
        <f>IFERROR(INDEX('Budget Planning'!C:C, row_id), "")</f>
        <v>Utilities</v>
      </c>
      <c r="K21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740</v>
      </c>
      <c r="L21" s="57">
        <f>IF(OR(is_header,is_empty),"",
INDEX('Budget Planning'!$E:$BU,row_id,
   MATCH(IF(selected_period = "Total Year", selected_year, DATE(selected_year, selected_period, 1)),'Budget Planning'!$E$9:$BU$9, 0)))</f>
        <v>1200</v>
      </c>
      <c r="M21" s="53">
        <f>IF(is_cat,
IF(header_row_id=income_header_row,MATCH(income_min_row,$C:$C,0),
IF(header_row_id=expense_header_row,MATCH(expense_min_row,$C:$C,0),
IF(header_row_id=savings_header_row,MATCH(savings_min_row,$C:$C,0),""))), "")</f>
        <v>20</v>
      </c>
      <c r="N21" s="54">
        <f>IF(is_cat,
IF(header_row_id=income_header_row,MATCH(income_max_row,$C:$C,0),
IF(header_row_id=expense_header_row,MATCH(expense_max_row,$C:$C,0),
IF(header_row_id=savings_header_row,MATCH(savings_max_row,$C:$C,0),""))), "")</f>
        <v>27</v>
      </c>
      <c r="O21" s="53" t="str">
        <f t="shared" si="3"/>
        <v>$K$20:$K$27</v>
      </c>
      <c r="P21" s="1">
        <f t="shared" ca="1" si="4"/>
        <v>3</v>
      </c>
      <c r="Q21" s="1" t="str">
        <f t="shared" si="5"/>
        <v>$L$20:$L$27</v>
      </c>
      <c r="R21" s="54">
        <f t="shared" ca="1" si="6"/>
        <v>7</v>
      </c>
      <c r="S21" s="53">
        <f t="shared" ca="1" si="7"/>
        <v>37</v>
      </c>
      <c r="T21" s="1" t="str">
        <f t="shared" si="8"/>
        <v>$S$20:$S$27</v>
      </c>
      <c r="U21" s="1">
        <f t="shared" ca="1" si="9"/>
        <v>3</v>
      </c>
      <c r="V21" s="1" t="str">
        <f t="shared" si="10"/>
        <v>$U$20:$U$21</v>
      </c>
      <c r="W21" s="54">
        <f t="shared" ca="1" si="11"/>
        <v>3</v>
      </c>
      <c r="X21" s="62">
        <f t="shared" ca="1" si="12"/>
        <v>25</v>
      </c>
      <c r="Y21" s="64" t="str">
        <f t="shared" ca="1" si="13"/>
        <v>Housing</v>
      </c>
      <c r="Z21" s="66">
        <f t="shared" ca="1" si="14"/>
        <v>1360</v>
      </c>
      <c r="AA21" s="66">
        <f t="shared" ca="1" si="15"/>
        <v>1200</v>
      </c>
      <c r="AB21" s="65">
        <f ca="1">IF(is_empty, "", IF(is_header, "% Completed", IFERROR(out_tracked/out_budget, "-")))</f>
        <v>1.1333333333333333</v>
      </c>
      <c r="AC21" s="66">
        <f t="shared" ca="1" si="17"/>
        <v>0</v>
      </c>
      <c r="AD21" s="66">
        <f t="shared" ca="1" si="18"/>
        <v>160</v>
      </c>
      <c r="AF21" s="73"/>
      <c r="AG21" s="1"/>
      <c r="AH21" s="1"/>
      <c r="AI21" s="89" t="str">
        <f>Calculations!E41</f>
        <v>Total</v>
      </c>
      <c r="AJ21" s="90">
        <f ca="1">Calculations!F41</f>
        <v>8700</v>
      </c>
      <c r="AK21" s="74"/>
      <c r="AM21" s="53"/>
      <c r="AN21" s="1"/>
      <c r="AO21" s="1"/>
      <c r="AP21" s="1"/>
      <c r="AQ21" s="1"/>
      <c r="AR21" s="54"/>
    </row>
    <row r="22" spans="3:44" x14ac:dyDescent="0.25">
      <c r="C22" s="53">
        <f>IF(C21=-1,-1,
   IF(C21&lt;income_max_row,C21+1,
      IF(C21=income_max_row, income_total_row,
         IF(C21 = income_total_row, "/1",
            IF(C21 = "/1", expense_header_row,
               IF(C21&lt;expense_max_row,C21+1,
                  IF(C21=expense_max_row, expenses_total_row,
                     IF(C21 = expenses_total_row, "/2",
                         IF(C21 = "/2", savings_header_row,
                             IF(C21&lt;savings_max_row,C21+1,
                                   IF(C21=savings_max_row, savings_total_row, -1
)))))))))))</f>
        <v>25</v>
      </c>
      <c r="D22" s="54">
        <f t="shared" si="0"/>
        <v>22</v>
      </c>
      <c r="E22" s="53">
        <f>1*OR(row_id = income_header_row, row_id = expense_header_row, row_id = savings_header_row)</f>
        <v>0</v>
      </c>
      <c r="F22" s="1">
        <f t="shared" si="1"/>
        <v>1</v>
      </c>
      <c r="G22" s="1">
        <f>1*OR(row_id=income_total_row,row_id=expenses_total_row,row_id=savings_total_row)</f>
        <v>0</v>
      </c>
      <c r="H22" s="1">
        <f t="shared" si="2"/>
        <v>0</v>
      </c>
      <c r="I22" s="53" t="str">
        <f>IFERROR(INDEX('Budget Planning'!C:C, header_row_id), "")</f>
        <v>Expenses</v>
      </c>
      <c r="J22" s="1" t="str">
        <f>IFERROR(INDEX('Budget Planning'!C:C, row_id), "")</f>
        <v>Groceries</v>
      </c>
      <c r="K22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580</v>
      </c>
      <c r="L22" s="57">
        <f>IF(OR(is_header,is_empty),"",
INDEX('Budget Planning'!$E:$BU,row_id,
   MATCH(IF(selected_period = "Total Year", selected_year, DATE(selected_year, selected_period, 1)),'Budget Planning'!$E$9:$BU$9, 0)))</f>
        <v>3600</v>
      </c>
      <c r="M22" s="53">
        <f>IF(is_cat,
IF(header_row_id=income_header_row,MATCH(income_min_row,$C:$C,0),
IF(header_row_id=expense_header_row,MATCH(expense_min_row,$C:$C,0),
IF(header_row_id=savings_header_row,MATCH(savings_min_row,$C:$C,0),""))), "")</f>
        <v>20</v>
      </c>
      <c r="N22" s="54">
        <f>IF(is_cat,
IF(header_row_id=income_header_row,MATCH(income_max_row,$C:$C,0),
IF(header_row_id=expense_header_row,MATCH(expense_max_row,$C:$C,0),
IF(header_row_id=savings_header_row,MATCH(savings_max_row,$C:$C,0),""))), "")</f>
        <v>27</v>
      </c>
      <c r="O22" s="53" t="str">
        <f t="shared" si="3"/>
        <v>$K$20:$K$27</v>
      </c>
      <c r="P22" s="1">
        <f t="shared" ca="1" si="4"/>
        <v>5</v>
      </c>
      <c r="Q22" s="1" t="str">
        <f t="shared" si="5"/>
        <v>$L$20:$L$27</v>
      </c>
      <c r="R22" s="54">
        <f t="shared" ca="1" si="6"/>
        <v>1</v>
      </c>
      <c r="S22" s="53">
        <f t="shared" ca="1" si="7"/>
        <v>51</v>
      </c>
      <c r="T22" s="1" t="str">
        <f t="shared" si="8"/>
        <v>$S$20:$S$27</v>
      </c>
      <c r="U22" s="1">
        <f t="shared" ca="1" si="9"/>
        <v>5</v>
      </c>
      <c r="V22" s="1" t="str">
        <f t="shared" si="10"/>
        <v>$U$20:$U$22</v>
      </c>
      <c r="W22" s="54">
        <f t="shared" ca="1" si="11"/>
        <v>5</v>
      </c>
      <c r="X22" s="62">
        <f t="shared" ca="1" si="12"/>
        <v>27</v>
      </c>
      <c r="Y22" s="64" t="str">
        <f t="shared" ca="1" si="13"/>
        <v>Utilities</v>
      </c>
      <c r="Z22" s="66">
        <f t="shared" ca="1" si="14"/>
        <v>740</v>
      </c>
      <c r="AA22" s="66">
        <f t="shared" ca="1" si="15"/>
        <v>1200</v>
      </c>
      <c r="AB22" s="65">
        <f t="shared" ca="1" si="16"/>
        <v>0.6166666666666667</v>
      </c>
      <c r="AC22" s="66">
        <f t="shared" ca="1" si="17"/>
        <v>460</v>
      </c>
      <c r="AD22" s="66">
        <f t="shared" ca="1" si="18"/>
        <v>0</v>
      </c>
      <c r="AF22" s="73"/>
      <c r="AG22" s="1"/>
      <c r="AH22" s="1"/>
      <c r="AI22" s="1"/>
      <c r="AJ22" s="1"/>
      <c r="AK22" s="74"/>
      <c r="AM22" s="53"/>
      <c r="AN22" s="1"/>
      <c r="AO22" s="1"/>
      <c r="AP22" s="1"/>
      <c r="AQ22" s="1"/>
      <c r="AR22" s="54"/>
    </row>
    <row r="23" spans="3:44" x14ac:dyDescent="0.25">
      <c r="C23" s="53">
        <f>IF(C22=-1,-1,
   IF(C22&lt;income_max_row,C22+1,
      IF(C22=income_max_row, income_total_row,
         IF(C22 = income_total_row, "/1",
            IF(C22 = "/1", expense_header_row,
               IF(C22&lt;expense_max_row,C22+1,
                  IF(C22=expense_max_row, expenses_total_row,
                     IF(C22 = expenses_total_row, "/2",
                         IF(C22 = "/2", savings_header_row,
                             IF(C22&lt;savings_max_row,C22+1,
                                   IF(C22=savings_max_row, savings_total_row, -1
)))))))))))</f>
        <v>26</v>
      </c>
      <c r="D23" s="54">
        <f t="shared" si="0"/>
        <v>22</v>
      </c>
      <c r="E23" s="53">
        <f>1*OR(row_id = income_header_row, row_id = expense_header_row, row_id = savings_header_row)</f>
        <v>0</v>
      </c>
      <c r="F23" s="1">
        <f t="shared" si="1"/>
        <v>1</v>
      </c>
      <c r="G23" s="1">
        <f>1*OR(row_id=income_total_row,row_id=expenses_total_row,row_id=savings_total_row)</f>
        <v>0</v>
      </c>
      <c r="H23" s="1">
        <f t="shared" si="2"/>
        <v>0</v>
      </c>
      <c r="I23" s="53" t="str">
        <f>IFERROR(INDEX('Budget Planning'!C:C, header_row_id), "")</f>
        <v>Expenses</v>
      </c>
      <c r="J23" s="1" t="str">
        <f>IFERROR(INDEX('Budget Planning'!C:C, row_id), "")</f>
        <v>Transportation</v>
      </c>
      <c r="K23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640</v>
      </c>
      <c r="L23" s="57">
        <f>IF(OR(is_header,is_empty),"",
INDEX('Budget Planning'!$E:$BU,row_id,
   MATCH(IF(selected_period = "Total Year", selected_year, DATE(selected_year, selected_period, 1)),'Budget Planning'!$E$9:$BU$9, 0)))</f>
        <v>3600</v>
      </c>
      <c r="M23" s="53">
        <f>IF(is_cat,
IF(header_row_id=income_header_row,MATCH(income_min_row,$C:$C,0),
IF(header_row_id=expense_header_row,MATCH(expense_min_row,$C:$C,0),
IF(header_row_id=savings_header_row,MATCH(savings_min_row,$C:$C,0),""))), "")</f>
        <v>20</v>
      </c>
      <c r="N23" s="54">
        <f>IF(is_cat,
IF(header_row_id=income_header_row,MATCH(income_max_row,$C:$C,0),
IF(header_row_id=expense_header_row,MATCH(expense_max_row,$C:$C,0),
IF(header_row_id=savings_header_row,MATCH(savings_max_row,$C:$C,0),""))), "")</f>
        <v>27</v>
      </c>
      <c r="O23" s="53" t="str">
        <f t="shared" si="3"/>
        <v>$K$20:$K$27</v>
      </c>
      <c r="P23" s="1">
        <f t="shared" ca="1" si="4"/>
        <v>4</v>
      </c>
      <c r="Q23" s="1" t="str">
        <f t="shared" si="5"/>
        <v>$L$20:$L$27</v>
      </c>
      <c r="R23" s="54">
        <f t="shared" ca="1" si="6"/>
        <v>1</v>
      </c>
      <c r="S23" s="53">
        <f t="shared" ca="1" si="7"/>
        <v>41</v>
      </c>
      <c r="T23" s="1" t="str">
        <f t="shared" si="8"/>
        <v>$S$20:$S$27</v>
      </c>
      <c r="U23" s="1">
        <f t="shared" ca="1" si="9"/>
        <v>4</v>
      </c>
      <c r="V23" s="1" t="str">
        <f t="shared" si="10"/>
        <v>$U$20:$U$23</v>
      </c>
      <c r="W23" s="54">
        <f t="shared" ca="1" si="11"/>
        <v>4</v>
      </c>
      <c r="X23" s="62">
        <f t="shared" ca="1" si="12"/>
        <v>26</v>
      </c>
      <c r="Y23" s="64" t="str">
        <f t="shared" ca="1" si="13"/>
        <v>Transportation</v>
      </c>
      <c r="Z23" s="66">
        <f t="shared" ca="1" si="14"/>
        <v>640</v>
      </c>
      <c r="AA23" s="66">
        <f t="shared" ca="1" si="15"/>
        <v>3600</v>
      </c>
      <c r="AB23" s="65">
        <f t="shared" ca="1" si="16"/>
        <v>0.17777777777777778</v>
      </c>
      <c r="AC23" s="66">
        <f t="shared" ca="1" si="17"/>
        <v>2960</v>
      </c>
      <c r="AD23" s="66">
        <f t="shared" ca="1" si="18"/>
        <v>0</v>
      </c>
      <c r="AF23" s="73"/>
      <c r="AG23" s="1"/>
      <c r="AH23" s="1"/>
      <c r="AI23" s="1"/>
      <c r="AJ23" s="1"/>
      <c r="AK23" s="74"/>
      <c r="AM23" s="53"/>
      <c r="AN23" s="1"/>
      <c r="AO23" s="1"/>
      <c r="AP23" s="1"/>
      <c r="AQ23" s="1"/>
      <c r="AR23" s="54"/>
    </row>
    <row r="24" spans="3:44" x14ac:dyDescent="0.25">
      <c r="C24" s="53">
        <f>IF(C23=-1,-1,
   IF(C23&lt;income_max_row,C23+1,
      IF(C23=income_max_row, income_total_row,
         IF(C23 = income_total_row, "/1",
            IF(C23 = "/1", expense_header_row,
               IF(C23&lt;expense_max_row,C23+1,
                  IF(C23=expense_max_row, expenses_total_row,
                     IF(C23 = expenses_total_row, "/2",
                         IF(C23 = "/2", savings_header_row,
                             IF(C23&lt;savings_max_row,C23+1,
                                   IF(C23=savings_max_row, savings_total_row, -1
)))))))))))</f>
        <v>27</v>
      </c>
      <c r="D24" s="54">
        <f t="shared" si="0"/>
        <v>22</v>
      </c>
      <c r="E24" s="53">
        <f>1*OR(row_id = income_header_row, row_id = expense_header_row, row_id = savings_header_row)</f>
        <v>0</v>
      </c>
      <c r="F24" s="1">
        <f t="shared" si="1"/>
        <v>1</v>
      </c>
      <c r="G24" s="1">
        <f>1*OR(row_id=income_total_row,row_id=expenses_total_row,row_id=savings_total_row)</f>
        <v>0</v>
      </c>
      <c r="H24" s="1">
        <f t="shared" si="2"/>
        <v>0</v>
      </c>
      <c r="I24" s="53" t="str">
        <f>IFERROR(INDEX('Budget Planning'!C:C, header_row_id), "")</f>
        <v>Expenses</v>
      </c>
      <c r="J24" s="1" t="str">
        <f>IFERROR(INDEX('Budget Planning'!C:C, row_id), "")</f>
        <v>Insurance</v>
      </c>
      <c r="K24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2390</v>
      </c>
      <c r="L24" s="57">
        <f>IF(OR(is_header,is_empty),"",
INDEX('Budget Planning'!$E:$BU,row_id,
   MATCH(IF(selected_period = "Total Year", selected_year, DATE(selected_year, selected_period, 1)),'Budget Planning'!$E$9:$BU$9, 0)))</f>
        <v>3600</v>
      </c>
      <c r="M24" s="53">
        <f>IF(is_cat,
IF(header_row_id=income_header_row,MATCH(income_min_row,$C:$C,0),
IF(header_row_id=expense_header_row,MATCH(expense_min_row,$C:$C,0),
IF(header_row_id=savings_header_row,MATCH(savings_min_row,$C:$C,0),""))), "")</f>
        <v>20</v>
      </c>
      <c r="N24" s="54">
        <f>IF(is_cat,
IF(header_row_id=income_header_row,MATCH(income_max_row,$C:$C,0),
IF(header_row_id=expense_header_row,MATCH(expense_max_row,$C:$C,0),
IF(header_row_id=savings_header_row,MATCH(savings_max_row,$C:$C,0),""))), "")</f>
        <v>27</v>
      </c>
      <c r="O24" s="53" t="str">
        <f t="shared" si="3"/>
        <v>$K$20:$K$27</v>
      </c>
      <c r="P24" s="1">
        <f t="shared" ca="1" si="4"/>
        <v>1</v>
      </c>
      <c r="Q24" s="1" t="str">
        <f t="shared" si="5"/>
        <v>$L$20:$L$27</v>
      </c>
      <c r="R24" s="54">
        <f t="shared" ca="1" si="6"/>
        <v>1</v>
      </c>
      <c r="S24" s="53">
        <f t="shared" ca="1" si="7"/>
        <v>11</v>
      </c>
      <c r="T24" s="1" t="str">
        <f t="shared" si="8"/>
        <v>$S$20:$S$27</v>
      </c>
      <c r="U24" s="1">
        <f t="shared" ca="1" si="9"/>
        <v>1</v>
      </c>
      <c r="V24" s="1" t="str">
        <f t="shared" si="10"/>
        <v>$U$20:$U$24</v>
      </c>
      <c r="W24" s="54">
        <f t="shared" ca="1" si="11"/>
        <v>1</v>
      </c>
      <c r="X24" s="62">
        <f t="shared" ca="1" si="12"/>
        <v>23</v>
      </c>
      <c r="Y24" s="64" t="str">
        <f t="shared" ca="1" si="13"/>
        <v>Groceries</v>
      </c>
      <c r="Z24" s="66">
        <f t="shared" ca="1" si="14"/>
        <v>580</v>
      </c>
      <c r="AA24" s="66">
        <f t="shared" ca="1" si="15"/>
        <v>3600</v>
      </c>
      <c r="AB24" s="65">
        <f t="shared" ca="1" si="16"/>
        <v>0.16111111111111112</v>
      </c>
      <c r="AC24" s="66">
        <f t="shared" ca="1" si="17"/>
        <v>3020</v>
      </c>
      <c r="AD24" s="66">
        <f t="shared" ca="1" si="18"/>
        <v>0</v>
      </c>
      <c r="AF24" s="75"/>
      <c r="AG24" s="76"/>
      <c r="AH24" s="76"/>
      <c r="AI24" s="76"/>
      <c r="AJ24" s="76"/>
      <c r="AK24" s="77"/>
      <c r="AM24" s="95"/>
      <c r="AN24" s="96"/>
      <c r="AO24" s="96"/>
      <c r="AP24" s="96"/>
      <c r="AQ24" s="96"/>
      <c r="AR24" s="97"/>
    </row>
    <row r="25" spans="3:44" x14ac:dyDescent="0.25">
      <c r="C25" s="53">
        <f>IF(C24=-1,-1,
   IF(C24&lt;income_max_row,C24+1,
      IF(C24=income_max_row, income_total_row,
         IF(C24 = income_total_row, "/1",
            IF(C24 = "/1", expense_header_row,
               IF(C24&lt;expense_max_row,C24+1,
                  IF(C24=expense_max_row, expenses_total_row,
                     IF(C24 = expenses_total_row, "/2",
                         IF(C24 = "/2", savings_header_row,
                             IF(C24&lt;savings_max_row,C24+1,
                                   IF(C24=savings_max_row, savings_total_row, -1
)))))))))))</f>
        <v>28</v>
      </c>
      <c r="D25" s="54">
        <f t="shared" si="0"/>
        <v>22</v>
      </c>
      <c r="E25" s="53">
        <f>1*OR(row_id = income_header_row, row_id = expense_header_row, row_id = savings_header_row)</f>
        <v>0</v>
      </c>
      <c r="F25" s="1">
        <f t="shared" si="1"/>
        <v>1</v>
      </c>
      <c r="G25" s="1">
        <f>1*OR(row_id=income_total_row,row_id=expenses_total_row,row_id=savings_total_row)</f>
        <v>0</v>
      </c>
      <c r="H25" s="1">
        <f t="shared" si="2"/>
        <v>0</v>
      </c>
      <c r="I25" s="53" t="str">
        <f>IFERROR(INDEX('Budget Planning'!C:C, header_row_id), "")</f>
        <v>Expenses</v>
      </c>
      <c r="J25" s="1" t="str">
        <f>IFERROR(INDEX('Budget Planning'!C:C, row_id), "")</f>
        <v>Medicine</v>
      </c>
      <c r="K25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290</v>
      </c>
      <c r="L25" s="57">
        <f>IF(OR(is_header,is_empty),"",
INDEX('Budget Planning'!$E:$BU,row_id,
   MATCH(IF(selected_period = "Total Year", selected_year, DATE(selected_year, selected_period, 1)),'Budget Planning'!$E$9:$BU$9, 0)))</f>
        <v>3600</v>
      </c>
      <c r="M25" s="53">
        <f>IF(is_cat,
IF(header_row_id=income_header_row,MATCH(income_min_row,$C:$C,0),
IF(header_row_id=expense_header_row,MATCH(expense_min_row,$C:$C,0),
IF(header_row_id=savings_header_row,MATCH(savings_min_row,$C:$C,0),""))), "")</f>
        <v>20</v>
      </c>
      <c r="N25" s="54">
        <f>IF(is_cat,
IF(header_row_id=income_header_row,MATCH(income_max_row,$C:$C,0),
IF(header_row_id=expense_header_row,MATCH(expense_max_row,$C:$C,0),
IF(header_row_id=savings_header_row,MATCH(savings_max_row,$C:$C,0),""))), "")</f>
        <v>27</v>
      </c>
      <c r="O25" s="53" t="str">
        <f t="shared" si="3"/>
        <v>$K$20:$K$27</v>
      </c>
      <c r="P25" s="1">
        <f t="shared" ca="1" si="4"/>
        <v>8</v>
      </c>
      <c r="Q25" s="1" t="str">
        <f t="shared" si="5"/>
        <v>$L$20:$L$27</v>
      </c>
      <c r="R25" s="54">
        <f t="shared" ca="1" si="6"/>
        <v>1</v>
      </c>
      <c r="S25" s="53">
        <f t="shared" ca="1" si="7"/>
        <v>81</v>
      </c>
      <c r="T25" s="1" t="str">
        <f t="shared" si="8"/>
        <v>$S$20:$S$27</v>
      </c>
      <c r="U25" s="1">
        <f t="shared" ca="1" si="9"/>
        <v>8</v>
      </c>
      <c r="V25" s="1" t="str">
        <f t="shared" si="10"/>
        <v>$U$20:$U$25</v>
      </c>
      <c r="W25" s="54">
        <f t="shared" ca="1" si="11"/>
        <v>8</v>
      </c>
      <c r="X25" s="62">
        <f t="shared" ca="1" si="12"/>
        <v>30</v>
      </c>
      <c r="Y25" s="64" t="str">
        <f t="shared" ca="1" si="13"/>
        <v>Clothes</v>
      </c>
      <c r="Z25" s="66">
        <f t="shared" ca="1" si="14"/>
        <v>430</v>
      </c>
      <c r="AA25" s="66">
        <f t="shared" ca="1" si="15"/>
        <v>3600</v>
      </c>
      <c r="AB25" s="65">
        <f t="shared" ca="1" si="16"/>
        <v>0.11944444444444445</v>
      </c>
      <c r="AC25" s="66">
        <f t="shared" ca="1" si="17"/>
        <v>3170</v>
      </c>
      <c r="AD25" s="66">
        <f t="shared" ca="1" si="18"/>
        <v>0</v>
      </c>
    </row>
    <row r="26" spans="3:44" x14ac:dyDescent="0.25">
      <c r="C26" s="53">
        <f>IF(C25=-1,-1,
   IF(C25&lt;income_max_row,C25+1,
      IF(C25=income_max_row, income_total_row,
         IF(C25 = income_total_row, "/1",
            IF(C25 = "/1", expense_header_row,
               IF(C25&lt;expense_max_row,C25+1,
                  IF(C25=expense_max_row, expenses_total_row,
                     IF(C25 = expenses_total_row, "/2",
                         IF(C25 = "/2", savings_header_row,
                             IF(C25&lt;savings_max_row,C25+1,
                                   IF(C25=savings_max_row, savings_total_row, -1
)))))))))))</f>
        <v>29</v>
      </c>
      <c r="D26" s="54">
        <f t="shared" si="0"/>
        <v>22</v>
      </c>
      <c r="E26" s="53">
        <f>1*OR(row_id = income_header_row, row_id = expense_header_row, row_id = savings_header_row)</f>
        <v>0</v>
      </c>
      <c r="F26" s="1">
        <f t="shared" si="1"/>
        <v>1</v>
      </c>
      <c r="G26" s="1">
        <f>1*OR(row_id=income_total_row,row_id=expenses_total_row,row_id=savings_total_row)</f>
        <v>0</v>
      </c>
      <c r="H26" s="1">
        <f t="shared" si="2"/>
        <v>0</v>
      </c>
      <c r="I26" s="53" t="str">
        <f>IFERROR(INDEX('Budget Planning'!C:C, header_row_id), "")</f>
        <v>Expenses</v>
      </c>
      <c r="J26" s="1" t="str">
        <f>IFERROR(INDEX('Budget Planning'!C:C, row_id), "")</f>
        <v>Media</v>
      </c>
      <c r="K26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350</v>
      </c>
      <c r="L26" s="57">
        <f>IF(OR(is_header,is_empty),"",
INDEX('Budget Planning'!$E:$BU,row_id,
   MATCH(IF(selected_period = "Total Year", selected_year, DATE(selected_year, selected_period, 1)),'Budget Planning'!$E$9:$BU$9, 0)))</f>
        <v>3600</v>
      </c>
      <c r="M26" s="53">
        <f>IF(is_cat,
IF(header_row_id=income_header_row,MATCH(income_min_row,$C:$C,0),
IF(header_row_id=expense_header_row,MATCH(expense_min_row,$C:$C,0),
IF(header_row_id=savings_header_row,MATCH(savings_min_row,$C:$C,0),""))), "")</f>
        <v>20</v>
      </c>
      <c r="N26" s="54">
        <f>IF(is_cat,
IF(header_row_id=income_header_row,MATCH(income_max_row,$C:$C,0),
IF(header_row_id=expense_header_row,MATCH(expense_max_row,$C:$C,0),
IF(header_row_id=savings_header_row,MATCH(savings_max_row,$C:$C,0),""))), "")</f>
        <v>27</v>
      </c>
      <c r="O26" s="53" t="str">
        <f t="shared" si="3"/>
        <v>$K$20:$K$27</v>
      </c>
      <c r="P26" s="1">
        <f t="shared" ca="1" si="4"/>
        <v>7</v>
      </c>
      <c r="Q26" s="1" t="str">
        <f t="shared" si="5"/>
        <v>$L$20:$L$27</v>
      </c>
      <c r="R26" s="54">
        <f t="shared" ca="1" si="6"/>
        <v>1</v>
      </c>
      <c r="S26" s="53">
        <f t="shared" ca="1" si="7"/>
        <v>71</v>
      </c>
      <c r="T26" s="1" t="str">
        <f t="shared" si="8"/>
        <v>$S$20:$S$27</v>
      </c>
      <c r="U26" s="1">
        <f t="shared" ca="1" si="9"/>
        <v>7</v>
      </c>
      <c r="V26" s="1" t="str">
        <f t="shared" si="10"/>
        <v>$U$20:$U$26</v>
      </c>
      <c r="W26" s="54">
        <f t="shared" ca="1" si="11"/>
        <v>7</v>
      </c>
      <c r="X26" s="62">
        <f t="shared" ca="1" si="12"/>
        <v>29</v>
      </c>
      <c r="Y26" s="64" t="str">
        <f t="shared" ca="1" si="13"/>
        <v>Media</v>
      </c>
      <c r="Z26" s="66">
        <f t="shared" ca="1" si="14"/>
        <v>350</v>
      </c>
      <c r="AA26" s="66">
        <f t="shared" ca="1" si="15"/>
        <v>3600</v>
      </c>
      <c r="AB26" s="65">
        <f t="shared" ca="1" si="16"/>
        <v>9.7222222222222224E-2</v>
      </c>
      <c r="AC26" s="66">
        <f t="shared" ca="1" si="17"/>
        <v>3250</v>
      </c>
      <c r="AD26" s="66">
        <f t="shared" ca="1" si="18"/>
        <v>0</v>
      </c>
      <c r="AF26" s="70"/>
      <c r="AG26" s="71"/>
      <c r="AH26" s="71"/>
      <c r="AI26" s="71"/>
      <c r="AJ26" s="71"/>
      <c r="AK26" s="72"/>
      <c r="AM26" s="70"/>
      <c r="AN26" s="71"/>
      <c r="AO26" s="71"/>
      <c r="AP26" s="71"/>
      <c r="AQ26" s="71"/>
      <c r="AR26" s="72"/>
    </row>
    <row r="27" spans="3:44" x14ac:dyDescent="0.25">
      <c r="C27" s="53">
        <f>IF(C26=-1,-1,
   IF(C26&lt;income_max_row,C26+1,
      IF(C26=income_max_row, income_total_row,
         IF(C26 = income_total_row, "/1",
            IF(C26 = "/1", expense_header_row,
               IF(C26&lt;expense_max_row,C26+1,
                  IF(C26=expense_max_row, expenses_total_row,
                     IF(C26 = expenses_total_row, "/2",
                         IF(C26 = "/2", savings_header_row,
                             IF(C26&lt;savings_max_row,C26+1,
                                   IF(C26=savings_max_row, savings_total_row, -1
)))))))))))</f>
        <v>30</v>
      </c>
      <c r="D27" s="54">
        <f t="shared" si="0"/>
        <v>22</v>
      </c>
      <c r="E27" s="53">
        <f>1*OR(row_id = income_header_row, row_id = expense_header_row, row_id = savings_header_row)</f>
        <v>0</v>
      </c>
      <c r="F27" s="1">
        <f t="shared" si="1"/>
        <v>1</v>
      </c>
      <c r="G27" s="1">
        <f>1*OR(row_id=income_total_row,row_id=expenses_total_row,row_id=savings_total_row)</f>
        <v>0</v>
      </c>
      <c r="H27" s="1">
        <f t="shared" si="2"/>
        <v>0</v>
      </c>
      <c r="I27" s="53" t="str">
        <f>IFERROR(INDEX('Budget Planning'!C:C, header_row_id), "")</f>
        <v>Expenses</v>
      </c>
      <c r="J27" s="1" t="str">
        <f>IFERROR(INDEX('Budget Planning'!C:C, row_id), "")</f>
        <v>Clothes</v>
      </c>
      <c r="K27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430</v>
      </c>
      <c r="L27" s="57">
        <f>IF(OR(is_header,is_empty),"",
INDEX('Budget Planning'!$E:$BU,row_id,
   MATCH(IF(selected_period = "Total Year", selected_year, DATE(selected_year, selected_period, 1)),'Budget Planning'!$E$9:$BU$9, 0)))</f>
        <v>3600</v>
      </c>
      <c r="M27" s="53">
        <f>IF(is_cat,
IF(header_row_id=income_header_row,MATCH(income_min_row,$C:$C,0),
IF(header_row_id=expense_header_row,MATCH(expense_min_row,$C:$C,0),
IF(header_row_id=savings_header_row,MATCH(savings_min_row,$C:$C,0),""))), "")</f>
        <v>20</v>
      </c>
      <c r="N27" s="54">
        <f>IF(is_cat,
IF(header_row_id=income_header_row,MATCH(income_max_row,$C:$C,0),
IF(header_row_id=expense_header_row,MATCH(expense_max_row,$C:$C,0),
IF(header_row_id=savings_header_row,MATCH(savings_max_row,$C:$C,0),""))), "")</f>
        <v>27</v>
      </c>
      <c r="O27" s="53" t="str">
        <f t="shared" si="3"/>
        <v>$K$20:$K$27</v>
      </c>
      <c r="P27" s="1">
        <f t="shared" ca="1" si="4"/>
        <v>6</v>
      </c>
      <c r="Q27" s="1" t="str">
        <f t="shared" si="5"/>
        <v>$L$20:$L$27</v>
      </c>
      <c r="R27" s="54">
        <f t="shared" ca="1" si="6"/>
        <v>1</v>
      </c>
      <c r="S27" s="53">
        <f t="shared" ca="1" si="7"/>
        <v>61</v>
      </c>
      <c r="T27" s="1" t="str">
        <f t="shared" si="8"/>
        <v>$S$20:$S$27</v>
      </c>
      <c r="U27" s="1">
        <f t="shared" ca="1" si="9"/>
        <v>6</v>
      </c>
      <c r="V27" s="1" t="str">
        <f t="shared" si="10"/>
        <v>$U$20:$U$27</v>
      </c>
      <c r="W27" s="54">
        <f t="shared" ca="1" si="11"/>
        <v>6</v>
      </c>
      <c r="X27" s="62">
        <f t="shared" ca="1" si="12"/>
        <v>28</v>
      </c>
      <c r="Y27" s="64" t="str">
        <f t="shared" ca="1" si="13"/>
        <v>Medicine</v>
      </c>
      <c r="Z27" s="66">
        <f t="shared" ca="1" si="14"/>
        <v>290</v>
      </c>
      <c r="AA27" s="66">
        <f t="shared" ca="1" si="15"/>
        <v>3600</v>
      </c>
      <c r="AB27" s="65">
        <f t="shared" ca="1" si="16"/>
        <v>8.0555555555555561E-2</v>
      </c>
      <c r="AC27" s="66">
        <f t="shared" ca="1" si="17"/>
        <v>3310</v>
      </c>
      <c r="AD27" s="66">
        <f t="shared" ca="1" si="18"/>
        <v>0</v>
      </c>
      <c r="AF27" s="73"/>
      <c r="AG27" s="1"/>
      <c r="AH27" s="1"/>
      <c r="AI27" s="1"/>
      <c r="AJ27" s="1"/>
      <c r="AK27" s="74"/>
      <c r="AM27" s="73"/>
      <c r="AN27" s="1"/>
      <c r="AO27" s="1"/>
      <c r="AP27" s="1"/>
      <c r="AQ27" s="1"/>
      <c r="AR27" s="74"/>
    </row>
    <row r="28" spans="3:44" x14ac:dyDescent="0.25">
      <c r="C28" s="53">
        <f>IF(C27=-1,-1,
   IF(C27&lt;income_max_row,C27+1,
      IF(C27=income_max_row, income_total_row,
         IF(C27 = income_total_row, "/1",
            IF(C27 = "/1", expense_header_row,
               IF(C27&lt;expense_max_row,C27+1,
                  IF(C27=expense_max_row, expenses_total_row,
                     IF(C27 = expenses_total_row, "/2",
                         IF(C27 = "/2", savings_header_row,
                             IF(C27&lt;savings_max_row,C27+1,
                                   IF(C27=savings_max_row, savings_total_row, -1
)))))))))))</f>
        <v>38</v>
      </c>
      <c r="D28" s="54">
        <f t="shared" si="0"/>
        <v>22</v>
      </c>
      <c r="E28" s="53">
        <f>1*OR(row_id = income_header_row, row_id = expense_header_row, row_id = savings_header_row)</f>
        <v>0</v>
      </c>
      <c r="F28" s="1">
        <f t="shared" si="1"/>
        <v>0</v>
      </c>
      <c r="G28" s="1">
        <f>1*OR(row_id=income_total_row,row_id=expenses_total_row,row_id=savings_total_row)</f>
        <v>1</v>
      </c>
      <c r="H28" s="1">
        <f t="shared" si="2"/>
        <v>0</v>
      </c>
      <c r="I28" s="53" t="str">
        <f>IFERROR(INDEX('Budget Planning'!C:C, header_row_id), "")</f>
        <v>Expenses</v>
      </c>
      <c r="J28" s="1" t="str">
        <f>IFERROR(INDEX('Budget Planning'!C:C, row_id), "")</f>
        <v>Total</v>
      </c>
      <c r="K28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6780</v>
      </c>
      <c r="L28" s="57">
        <f ca="1">IF(OR(is_header,is_empty),"",
INDEX('Budget Planning'!$E:$BU,row_id,
   MATCH(IF(selected_period = "Total Year", selected_year, DATE(selected_year, selected_period, 1)),'Budget Planning'!$E$9:$BU$9, 0)))</f>
        <v>24000</v>
      </c>
      <c r="M28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28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28" s="53" t="str">
        <f t="shared" si="3"/>
        <v/>
      </c>
      <c r="P28" s="1" t="str">
        <f t="shared" ca="1" si="4"/>
        <v/>
      </c>
      <c r="Q28" s="1" t="str">
        <f t="shared" si="5"/>
        <v/>
      </c>
      <c r="R28" s="54" t="str">
        <f t="shared" ca="1" si="6"/>
        <v/>
      </c>
      <c r="S28" s="53" t="str">
        <f t="shared" si="7"/>
        <v/>
      </c>
      <c r="T28" s="1" t="str">
        <f t="shared" si="8"/>
        <v/>
      </c>
      <c r="U28" s="1" t="str">
        <f t="shared" ca="1" si="9"/>
        <v/>
      </c>
      <c r="V28" s="1" t="str">
        <f t="shared" si="10"/>
        <v/>
      </c>
      <c r="W28" s="54" t="str">
        <f t="shared" ca="1" si="11"/>
        <v/>
      </c>
      <c r="X28" s="62">
        <f t="shared" si="12"/>
        <v>38</v>
      </c>
      <c r="Y28" s="64" t="str">
        <f t="shared" ca="1" si="13"/>
        <v>Total</v>
      </c>
      <c r="Z28" s="66">
        <f t="shared" ca="1" si="14"/>
        <v>6780</v>
      </c>
      <c r="AA28" s="66">
        <f t="shared" ca="1" si="15"/>
        <v>24000</v>
      </c>
      <c r="AB28" s="65">
        <f t="shared" ca="1" si="16"/>
        <v>0.28249999999999997</v>
      </c>
      <c r="AC28" s="66">
        <f t="shared" ca="1" si="17"/>
        <v>17220</v>
      </c>
      <c r="AD28" s="66">
        <f t="shared" ca="1" si="18"/>
        <v>0</v>
      </c>
      <c r="AF28" s="73"/>
      <c r="AG28" s="1"/>
      <c r="AH28" s="1"/>
      <c r="AI28" s="87" t="str">
        <f ca="1">Calculations!I35</f>
        <v>Insurance</v>
      </c>
      <c r="AJ28" s="88">
        <f ca="1">Calculations!J35</f>
        <v>2390</v>
      </c>
      <c r="AK28" s="74"/>
      <c r="AM28" s="73"/>
      <c r="AN28" s="1"/>
      <c r="AO28" s="1"/>
      <c r="AP28" s="87" t="str">
        <f ca="1">Calculations!M35</f>
        <v>Emergency Fund</v>
      </c>
      <c r="AQ28" s="88">
        <f ca="1">Calculations!N35</f>
        <v>1800</v>
      </c>
      <c r="AR28" s="74"/>
    </row>
    <row r="29" spans="3:44" x14ac:dyDescent="0.25">
      <c r="C29" s="53" t="str">
        <f>IF(C28=-1,-1,
   IF(C28&lt;income_max_row,C28+1,
      IF(C28=income_max_row, income_total_row,
         IF(C28 = income_total_row, "/1",
            IF(C28 = "/1", expense_header_row,
               IF(C28&lt;expense_max_row,C28+1,
                  IF(C28=expense_max_row, expenses_total_row,
                     IF(C28 = expenses_total_row, "/2",
                         IF(C28 = "/2", savings_header_row,
                             IF(C28&lt;savings_max_row,C28+1,
                                   IF(C28=savings_max_row, savings_total_row, -1
)))))))))))</f>
        <v>/2</v>
      </c>
      <c r="D29" s="54">
        <f t="shared" si="0"/>
        <v>-1</v>
      </c>
      <c r="E29" s="53">
        <f>1*OR(row_id = income_header_row, row_id = expense_header_row, row_id = savings_header_row)</f>
        <v>0</v>
      </c>
      <c r="F29" s="1">
        <f t="shared" si="1"/>
        <v>0</v>
      </c>
      <c r="G29" s="1">
        <f>1*OR(row_id=income_total_row,row_id=expenses_total_row,row_id=savings_total_row)</f>
        <v>0</v>
      </c>
      <c r="H29" s="1">
        <f t="shared" si="2"/>
        <v>1</v>
      </c>
      <c r="I29" s="53" t="str">
        <f>IFERROR(INDEX('Budget Planning'!C:C, header_row_id), "")</f>
        <v/>
      </c>
      <c r="J29" s="1" t="str">
        <f>IFERROR(INDEX('Budget Planning'!C:C, row_id), "")</f>
        <v/>
      </c>
      <c r="K29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29" s="57" t="str">
        <f>IF(OR(is_header,is_empty),"",
INDEX('Budget Planning'!$E:$BU,row_id,
   MATCH(IF(selected_period = "Total Year", selected_year, DATE(selected_year, selected_period, 1)),'Budget Planning'!$E$9:$BU$9, 0)))</f>
        <v/>
      </c>
      <c r="M29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29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29" s="53" t="str">
        <f t="shared" si="3"/>
        <v/>
      </c>
      <c r="P29" s="1" t="str">
        <f t="shared" ca="1" si="4"/>
        <v/>
      </c>
      <c r="Q29" s="1" t="str">
        <f t="shared" si="5"/>
        <v/>
      </c>
      <c r="R29" s="54" t="str">
        <f t="shared" ca="1" si="6"/>
        <v/>
      </c>
      <c r="S29" s="53" t="str">
        <f t="shared" si="7"/>
        <v/>
      </c>
      <c r="T29" s="1" t="str">
        <f t="shared" si="8"/>
        <v/>
      </c>
      <c r="U29" s="1" t="str">
        <f t="shared" ca="1" si="9"/>
        <v/>
      </c>
      <c r="V29" s="1" t="str">
        <f t="shared" si="10"/>
        <v/>
      </c>
      <c r="W29" s="54" t="str">
        <f t="shared" ca="1" si="11"/>
        <v/>
      </c>
      <c r="X29" s="62" t="str">
        <f t="shared" si="12"/>
        <v>/2</v>
      </c>
      <c r="Y29" s="64" t="str">
        <f t="shared" si="13"/>
        <v/>
      </c>
      <c r="Z29" s="66" t="str">
        <f t="shared" si="14"/>
        <v/>
      </c>
      <c r="AA29" s="66" t="str">
        <f t="shared" si="15"/>
        <v/>
      </c>
      <c r="AB29" s="65" t="str">
        <f t="shared" si="16"/>
        <v/>
      </c>
      <c r="AC29" s="66" t="str">
        <f t="shared" si="17"/>
        <v/>
      </c>
      <c r="AD29" s="66" t="str">
        <f t="shared" si="18"/>
        <v/>
      </c>
      <c r="AF29" s="73"/>
      <c r="AG29" s="1"/>
      <c r="AH29" s="1"/>
      <c r="AI29" s="87" t="str">
        <f ca="1">Calculations!I36</f>
        <v>Housing</v>
      </c>
      <c r="AJ29" s="88">
        <f ca="1">Calculations!J36</f>
        <v>1360</v>
      </c>
      <c r="AK29" s="74"/>
      <c r="AM29" s="73"/>
      <c r="AN29" s="1"/>
      <c r="AO29" s="1"/>
      <c r="AP29" s="87" t="str">
        <f ca="1">Calculations!M36</f>
        <v>Stock Portfolio</v>
      </c>
      <c r="AQ29" s="88">
        <f ca="1">Calculations!N36</f>
        <v>500</v>
      </c>
      <c r="AR29" s="74"/>
    </row>
    <row r="30" spans="3:44" x14ac:dyDescent="0.25">
      <c r="C30" s="53">
        <f>IF(C29=-1,-1,
   IF(C29&lt;income_max_row,C29+1,
      IF(C29=income_max_row, income_total_row,
         IF(C29 = income_total_row, "/1",
            IF(C29 = "/1", expense_header_row,
               IF(C29&lt;expense_max_row,C29+1,
                  IF(C29=expense_max_row, expenses_total_row,
                     IF(C29 = expenses_total_row, "/2",
                         IF(C29 = "/2", savings_header_row,
                             IF(C29&lt;savings_max_row,C29+1,
                                   IF(C29=savings_max_row, savings_total_row, -1
)))))))))))</f>
        <v>40</v>
      </c>
      <c r="D30" s="54">
        <f t="shared" si="0"/>
        <v>40</v>
      </c>
      <c r="E30" s="53">
        <f>1*OR(row_id = income_header_row, row_id = expense_header_row, row_id = savings_header_row)</f>
        <v>1</v>
      </c>
      <c r="F30" s="1">
        <f t="shared" si="1"/>
        <v>0</v>
      </c>
      <c r="G30" s="1">
        <f>1*OR(row_id=income_total_row,row_id=expenses_total_row,row_id=savings_total_row)</f>
        <v>0</v>
      </c>
      <c r="H30" s="1">
        <f t="shared" si="2"/>
        <v>0</v>
      </c>
      <c r="I30" s="53" t="str">
        <f>IFERROR(INDEX('Budget Planning'!C:C, header_row_id), "")</f>
        <v>Savings</v>
      </c>
      <c r="J30" s="1" t="str">
        <f>IFERROR(INDEX('Budget Planning'!C:C, row_id), "")</f>
        <v>Savings</v>
      </c>
      <c r="K30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30" s="57" t="str">
        <f>IF(OR(is_header,is_empty),"",
INDEX('Budget Planning'!$E:$BU,row_id,
   MATCH(IF(selected_period = "Total Year", selected_year, DATE(selected_year, selected_period, 1)),'Budget Planning'!$E$9:$BU$9, 0)))</f>
        <v/>
      </c>
      <c r="M30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30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30" s="53" t="str">
        <f t="shared" si="3"/>
        <v/>
      </c>
      <c r="P30" s="1" t="str">
        <f t="shared" ca="1" si="4"/>
        <v/>
      </c>
      <c r="Q30" s="1" t="str">
        <f t="shared" si="5"/>
        <v/>
      </c>
      <c r="R30" s="54" t="str">
        <f t="shared" ca="1" si="6"/>
        <v/>
      </c>
      <c r="S30" s="53" t="str">
        <f t="shared" si="7"/>
        <v/>
      </c>
      <c r="T30" s="1" t="str">
        <f t="shared" si="8"/>
        <v/>
      </c>
      <c r="U30" s="1" t="str">
        <f t="shared" ca="1" si="9"/>
        <v/>
      </c>
      <c r="V30" s="1" t="str">
        <f t="shared" si="10"/>
        <v/>
      </c>
      <c r="W30" s="54" t="str">
        <f t="shared" ca="1" si="11"/>
        <v/>
      </c>
      <c r="X30" s="62">
        <f t="shared" si="12"/>
        <v>40</v>
      </c>
      <c r="Y30" s="64" t="str">
        <f t="shared" ca="1" si="13"/>
        <v>Savings</v>
      </c>
      <c r="Z30" s="66" t="str">
        <f t="shared" si="14"/>
        <v>Tracked</v>
      </c>
      <c r="AA30" s="66" t="str">
        <f t="shared" si="15"/>
        <v>Budget</v>
      </c>
      <c r="AB30" s="65" t="str">
        <f t="shared" si="16"/>
        <v>% Completed</v>
      </c>
      <c r="AC30" s="66" t="str">
        <f t="shared" si="17"/>
        <v>Remaining</v>
      </c>
      <c r="AD30" s="66" t="str">
        <f t="shared" si="18"/>
        <v>Excess</v>
      </c>
      <c r="AF30" s="73"/>
      <c r="AG30" s="1"/>
      <c r="AH30" s="1"/>
      <c r="AI30" s="87" t="str">
        <f ca="1">Calculations!I37</f>
        <v>Utilities</v>
      </c>
      <c r="AJ30" s="88">
        <f ca="1">Calculations!J37</f>
        <v>740</v>
      </c>
      <c r="AK30" s="74"/>
      <c r="AM30" s="73"/>
      <c r="AN30" s="1"/>
      <c r="AO30" s="1"/>
      <c r="AP30" s="87" t="str">
        <f ca="1">Calculations!M37</f>
        <v>Retirement Account</v>
      </c>
      <c r="AQ30" s="88">
        <f ca="1">Calculations!N37</f>
        <v>390</v>
      </c>
      <c r="AR30" s="74"/>
    </row>
    <row r="31" spans="3:44" x14ac:dyDescent="0.25">
      <c r="C31" s="53">
        <f>IF(C30=-1,-1,
   IF(C30&lt;income_max_row,C30+1,
      IF(C30=income_max_row, income_total_row,
         IF(C30 = income_total_row, "/1",
            IF(C30 = "/1", expense_header_row,
               IF(C30&lt;expense_max_row,C30+1,
                  IF(C30=expense_max_row, expenses_total_row,
                     IF(C30 = expenses_total_row, "/2",
                         IF(C30 = "/2", savings_header_row,
                             IF(C30&lt;savings_max_row,C30+1,
                                   IF(C30=savings_max_row, savings_total_row, -1
)))))))))))</f>
        <v>41</v>
      </c>
      <c r="D31" s="54">
        <f t="shared" si="0"/>
        <v>40</v>
      </c>
      <c r="E31" s="53">
        <f>1*OR(row_id = income_header_row, row_id = expense_header_row, row_id = savings_header_row)</f>
        <v>0</v>
      </c>
      <c r="F31" s="1">
        <f t="shared" si="1"/>
        <v>1</v>
      </c>
      <c r="G31" s="1">
        <f>1*OR(row_id=income_total_row,row_id=expenses_total_row,row_id=savings_total_row)</f>
        <v>0</v>
      </c>
      <c r="H31" s="1">
        <f t="shared" si="2"/>
        <v>0</v>
      </c>
      <c r="I31" s="53" t="str">
        <f>IFERROR(INDEX('Budget Planning'!C:C, header_row_id), "")</f>
        <v>Savings</v>
      </c>
      <c r="J31" s="1" t="str">
        <f>IFERROR(INDEX('Budget Planning'!C:C, row_id), "")</f>
        <v>Emergency Fund</v>
      </c>
      <c r="K31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1800</v>
      </c>
      <c r="L31" s="57">
        <f>IF(OR(is_header,is_empty),"",
INDEX('Budget Planning'!$E:$BU,row_id,
   MATCH(IF(selected_period = "Total Year", selected_year, DATE(selected_year, selected_period, 1)),'Budget Planning'!$E$9:$BU$9, 0)))</f>
        <v>1200</v>
      </c>
      <c r="M31" s="53">
        <f>IF(is_cat,
IF(header_row_id=income_header_row,MATCH(income_min_row,$C:$C,0),
IF(header_row_id=expense_header_row,MATCH(expense_min_row,$C:$C,0),
IF(header_row_id=savings_header_row,MATCH(savings_min_row,$C:$C,0),""))), "")</f>
        <v>31</v>
      </c>
      <c r="N31" s="54">
        <f>IF(is_cat,
IF(header_row_id=income_header_row,MATCH(income_max_row,$C:$C,0),
IF(header_row_id=expense_header_row,MATCH(expense_max_row,$C:$C,0),
IF(header_row_id=savings_header_row,MATCH(savings_max_row,$C:$C,0),""))), "")</f>
        <v>35</v>
      </c>
      <c r="O31" s="53" t="str">
        <f t="shared" si="3"/>
        <v>$K$31:$K$35</v>
      </c>
      <c r="P31" s="1">
        <f t="shared" ca="1" si="4"/>
        <v>1</v>
      </c>
      <c r="Q31" s="1" t="str">
        <f t="shared" si="5"/>
        <v>$L$31:$L$35</v>
      </c>
      <c r="R31" s="54">
        <f t="shared" ca="1" si="6"/>
        <v>2</v>
      </c>
      <c r="S31" s="53">
        <f t="shared" ca="1" si="7"/>
        <v>12</v>
      </c>
      <c r="T31" s="1" t="str">
        <f t="shared" si="8"/>
        <v>$S$31:$S$35</v>
      </c>
      <c r="U31" s="1">
        <f t="shared" ca="1" si="9"/>
        <v>1</v>
      </c>
      <c r="V31" s="1" t="str">
        <f t="shared" si="10"/>
        <v>$U$31:$U$31</v>
      </c>
      <c r="W31" s="54">
        <f t="shared" ca="1" si="11"/>
        <v>1</v>
      </c>
      <c r="X31" s="62">
        <f t="shared" ca="1" si="12"/>
        <v>41</v>
      </c>
      <c r="Y31" s="64" t="str">
        <f t="shared" ca="1" si="13"/>
        <v>Emergency Fund</v>
      </c>
      <c r="Z31" s="66">
        <f t="shared" ca="1" si="14"/>
        <v>1800</v>
      </c>
      <c r="AA31" s="66">
        <f t="shared" ca="1" si="15"/>
        <v>1200</v>
      </c>
      <c r="AB31" s="65">
        <f t="shared" ca="1" si="16"/>
        <v>1.5</v>
      </c>
      <c r="AC31" s="66">
        <f t="shared" ca="1" si="17"/>
        <v>0</v>
      </c>
      <c r="AD31" s="66">
        <f t="shared" ca="1" si="18"/>
        <v>600</v>
      </c>
      <c r="AF31" s="73"/>
      <c r="AG31" s="1"/>
      <c r="AH31" s="1"/>
      <c r="AI31" s="87" t="str">
        <f ca="1">Calculations!I38</f>
        <v>Transportation</v>
      </c>
      <c r="AJ31" s="88">
        <f ca="1">Calculations!J38</f>
        <v>640</v>
      </c>
      <c r="AK31" s="74"/>
      <c r="AM31" s="73"/>
      <c r="AN31" s="1"/>
      <c r="AO31" s="1"/>
      <c r="AP31" s="87" t="str">
        <f ca="1">Calculations!M38</f>
        <v>Other Savings</v>
      </c>
      <c r="AQ31" s="88">
        <f ca="1">Calculations!N38</f>
        <v>110</v>
      </c>
      <c r="AR31" s="74"/>
    </row>
    <row r="32" spans="3:44" x14ac:dyDescent="0.25">
      <c r="C32" s="53">
        <f>IF(C31=-1,-1,
   IF(C31&lt;income_max_row,C31+1,
      IF(C31=income_max_row, income_total_row,
         IF(C31 = income_total_row, "/1",
            IF(C31 = "/1", expense_header_row,
               IF(C31&lt;expense_max_row,C31+1,
                  IF(C31=expense_max_row, expenses_total_row,
                     IF(C31 = expenses_total_row, "/2",
                         IF(C31 = "/2", savings_header_row,
                             IF(C31&lt;savings_max_row,C31+1,
                                   IF(C31=savings_max_row, savings_total_row, -1
)))))))))))</f>
        <v>42</v>
      </c>
      <c r="D32" s="54">
        <f t="shared" si="0"/>
        <v>40</v>
      </c>
      <c r="E32" s="53">
        <f>1*OR(row_id = income_header_row, row_id = expense_header_row, row_id = savings_header_row)</f>
        <v>0</v>
      </c>
      <c r="F32" s="1">
        <f t="shared" si="1"/>
        <v>1</v>
      </c>
      <c r="G32" s="1">
        <f>1*OR(row_id=income_total_row,row_id=expenses_total_row,row_id=savings_total_row)</f>
        <v>0</v>
      </c>
      <c r="H32" s="1">
        <f t="shared" si="2"/>
        <v>0</v>
      </c>
      <c r="I32" s="53" t="str">
        <f>IFERROR(INDEX('Budget Planning'!C:C, header_row_id), "")</f>
        <v>Savings</v>
      </c>
      <c r="J32" s="1" t="str">
        <f>IFERROR(INDEX('Budget Planning'!C:C, row_id), "")</f>
        <v>Retirement Account</v>
      </c>
      <c r="K32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390</v>
      </c>
      <c r="L32" s="57">
        <f>IF(OR(is_header,is_empty),"",
INDEX('Budget Planning'!$E:$BU,row_id,
   MATCH(IF(selected_period = "Total Year", selected_year, DATE(selected_year, selected_period, 1)),'Budget Planning'!$E$9:$BU$9, 0)))</f>
        <v>1200</v>
      </c>
      <c r="M32" s="53">
        <f>IF(is_cat,
IF(header_row_id=income_header_row,MATCH(income_min_row,$C:$C,0),
IF(header_row_id=expense_header_row,MATCH(expense_min_row,$C:$C,0),
IF(header_row_id=savings_header_row,MATCH(savings_min_row,$C:$C,0),""))), "")</f>
        <v>31</v>
      </c>
      <c r="N32" s="54">
        <f>IF(is_cat,
IF(header_row_id=income_header_row,MATCH(income_max_row,$C:$C,0),
IF(header_row_id=expense_header_row,MATCH(expense_max_row,$C:$C,0),
IF(header_row_id=savings_header_row,MATCH(savings_max_row,$C:$C,0),""))), "")</f>
        <v>35</v>
      </c>
      <c r="O32" s="53" t="str">
        <f t="shared" si="3"/>
        <v>$K$31:$K$35</v>
      </c>
      <c r="P32" s="1">
        <f t="shared" ca="1" si="4"/>
        <v>3</v>
      </c>
      <c r="Q32" s="1" t="str">
        <f t="shared" si="5"/>
        <v>$L$31:$L$35</v>
      </c>
      <c r="R32" s="54">
        <f t="shared" ca="1" si="6"/>
        <v>2</v>
      </c>
      <c r="S32" s="53">
        <f t="shared" ca="1" si="7"/>
        <v>32</v>
      </c>
      <c r="T32" s="1" t="str">
        <f t="shared" si="8"/>
        <v>$S$31:$S$35</v>
      </c>
      <c r="U32" s="1">
        <f t="shared" ca="1" si="9"/>
        <v>3</v>
      </c>
      <c r="V32" s="1" t="str">
        <f t="shared" si="10"/>
        <v>$U$31:$U$32</v>
      </c>
      <c r="W32" s="54">
        <f t="shared" ca="1" si="11"/>
        <v>3</v>
      </c>
      <c r="X32" s="62">
        <f t="shared" ca="1" si="12"/>
        <v>43</v>
      </c>
      <c r="Y32" s="64" t="str">
        <f t="shared" ca="1" si="13"/>
        <v>Stock Portfolio</v>
      </c>
      <c r="Z32" s="66">
        <f t="shared" ca="1" si="14"/>
        <v>500</v>
      </c>
      <c r="AA32" s="66">
        <f t="shared" ca="1" si="15"/>
        <v>19500</v>
      </c>
      <c r="AB32" s="65">
        <f t="shared" ca="1" si="16"/>
        <v>2.564102564102564E-2</v>
      </c>
      <c r="AC32" s="66">
        <f t="shared" ca="1" si="17"/>
        <v>19000</v>
      </c>
      <c r="AD32" s="66">
        <f t="shared" ca="1" si="18"/>
        <v>0</v>
      </c>
      <c r="AF32" s="73"/>
      <c r="AG32" s="1"/>
      <c r="AH32" s="1"/>
      <c r="AI32" s="87" t="str">
        <f ca="1">Calculations!I39</f>
        <v>Groceries</v>
      </c>
      <c r="AJ32" s="88">
        <f ca="1">Calculations!J39</f>
        <v>580</v>
      </c>
      <c r="AK32" s="74"/>
      <c r="AM32" s="73"/>
      <c r="AN32" s="1"/>
      <c r="AO32" s="1"/>
      <c r="AP32" s="87" t="str">
        <f ca="1">Calculations!M39</f>
        <v/>
      </c>
      <c r="AQ32" s="88" t="str">
        <f ca="1">Calculations!N39</f>
        <v/>
      </c>
      <c r="AR32" s="74"/>
    </row>
    <row r="33" spans="3:44" ht="15.75" thickBot="1" x14ac:dyDescent="0.3">
      <c r="C33" s="53">
        <f>IF(C32=-1,-1,
   IF(C32&lt;income_max_row,C32+1,
      IF(C32=income_max_row, income_total_row,
         IF(C32 = income_total_row, "/1",
            IF(C32 = "/1", expense_header_row,
               IF(C32&lt;expense_max_row,C32+1,
                  IF(C32=expense_max_row, expenses_total_row,
                     IF(C32 = expenses_total_row, "/2",
                         IF(C32 = "/2", savings_header_row,
                             IF(C32&lt;savings_max_row,C32+1,
                                   IF(C32=savings_max_row, savings_total_row, -1
)))))))))))</f>
        <v>43</v>
      </c>
      <c r="D33" s="54">
        <f t="shared" si="0"/>
        <v>40</v>
      </c>
      <c r="E33" s="53">
        <f>1*OR(row_id = income_header_row, row_id = expense_header_row, row_id = savings_header_row)</f>
        <v>0</v>
      </c>
      <c r="F33" s="1">
        <f t="shared" si="1"/>
        <v>1</v>
      </c>
      <c r="G33" s="1">
        <f>1*OR(row_id=income_total_row,row_id=expenses_total_row,row_id=savings_total_row)</f>
        <v>0</v>
      </c>
      <c r="H33" s="1">
        <f t="shared" si="2"/>
        <v>0</v>
      </c>
      <c r="I33" s="53" t="str">
        <f>IFERROR(INDEX('Budget Planning'!C:C, header_row_id), "")</f>
        <v>Savings</v>
      </c>
      <c r="J33" s="1" t="str">
        <f>IFERROR(INDEX('Budget Planning'!C:C, row_id), "")</f>
        <v>Stock Portfolio</v>
      </c>
      <c r="K33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500</v>
      </c>
      <c r="L33" s="57">
        <f>IF(OR(is_header,is_empty),"",
INDEX('Budget Planning'!$E:$BU,row_id,
   MATCH(IF(selected_period = "Total Year", selected_year, DATE(selected_year, selected_period, 1)),'Budget Planning'!$E$9:$BU$9, 0)))</f>
        <v>19500</v>
      </c>
      <c r="M33" s="53">
        <f>IF(is_cat,
IF(header_row_id=income_header_row,MATCH(income_min_row,$C:$C,0),
IF(header_row_id=expense_header_row,MATCH(expense_min_row,$C:$C,0),
IF(header_row_id=savings_header_row,MATCH(savings_min_row,$C:$C,0),""))), "")</f>
        <v>31</v>
      </c>
      <c r="N33" s="54">
        <f>IF(is_cat,
IF(header_row_id=income_header_row,MATCH(income_max_row,$C:$C,0),
IF(header_row_id=expense_header_row,MATCH(expense_max_row,$C:$C,0),
IF(header_row_id=savings_header_row,MATCH(savings_max_row,$C:$C,0),""))), "")</f>
        <v>35</v>
      </c>
      <c r="O33" s="53" t="str">
        <f t="shared" si="3"/>
        <v>$K$31:$K$35</v>
      </c>
      <c r="P33" s="1">
        <f t="shared" ca="1" si="4"/>
        <v>2</v>
      </c>
      <c r="Q33" s="1" t="str">
        <f t="shared" si="5"/>
        <v>$L$31:$L$35</v>
      </c>
      <c r="R33" s="54">
        <f t="shared" ca="1" si="6"/>
        <v>1</v>
      </c>
      <c r="S33" s="53">
        <f t="shared" ca="1" si="7"/>
        <v>21</v>
      </c>
      <c r="T33" s="1" t="str">
        <f t="shared" si="8"/>
        <v>$S$31:$S$35</v>
      </c>
      <c r="U33" s="1">
        <f t="shared" ca="1" si="9"/>
        <v>2</v>
      </c>
      <c r="V33" s="1" t="str">
        <f t="shared" si="10"/>
        <v>$U$31:$U$33</v>
      </c>
      <c r="W33" s="54">
        <f t="shared" ca="1" si="11"/>
        <v>2</v>
      </c>
      <c r="X33" s="62">
        <f t="shared" ca="1" si="12"/>
        <v>42</v>
      </c>
      <c r="Y33" s="64" t="str">
        <f t="shared" ca="1" si="13"/>
        <v>Retirement Account</v>
      </c>
      <c r="Z33" s="66">
        <f t="shared" ca="1" si="14"/>
        <v>390</v>
      </c>
      <c r="AA33" s="66">
        <f t="shared" ca="1" si="15"/>
        <v>1200</v>
      </c>
      <c r="AB33" s="65">
        <f t="shared" ca="1" si="16"/>
        <v>0.32500000000000001</v>
      </c>
      <c r="AC33" s="66">
        <f t="shared" ca="1" si="17"/>
        <v>810</v>
      </c>
      <c r="AD33" s="66">
        <f t="shared" ca="1" si="18"/>
        <v>0</v>
      </c>
      <c r="AF33" s="73"/>
      <c r="AG33" s="1"/>
      <c r="AH33" s="1"/>
      <c r="AI33" s="87" t="str">
        <f ca="1">Calculations!I40</f>
        <v>Others</v>
      </c>
      <c r="AJ33" s="88">
        <f ca="1">Calculations!J40</f>
        <v>1070</v>
      </c>
      <c r="AK33" s="74"/>
      <c r="AM33" s="73"/>
      <c r="AN33" s="1"/>
      <c r="AO33" s="1"/>
      <c r="AP33" s="87" t="str">
        <f ca="1">Calculations!M40</f>
        <v/>
      </c>
      <c r="AQ33" s="88" t="str">
        <f ca="1">Calculations!N40</f>
        <v/>
      </c>
      <c r="AR33" s="74"/>
    </row>
    <row r="34" spans="3:44" x14ac:dyDescent="0.25">
      <c r="C34" s="53">
        <f>IF(C33=-1,-1,
   IF(C33&lt;income_max_row,C33+1,
      IF(C33=income_max_row, income_total_row,
         IF(C33 = income_total_row, "/1",
            IF(C33 = "/1", expense_header_row,
               IF(C33&lt;expense_max_row,C33+1,
                  IF(C33=expense_max_row, expenses_total_row,
                     IF(C33 = expenses_total_row, "/2",
                         IF(C33 = "/2", savings_header_row,
                             IF(C33&lt;savings_max_row,C33+1,
                                   IF(C33=savings_max_row, savings_total_row, -1
)))))))))))</f>
        <v>44</v>
      </c>
      <c r="D34" s="54">
        <f t="shared" si="0"/>
        <v>40</v>
      </c>
      <c r="E34" s="53">
        <f>1*OR(row_id = income_header_row, row_id = expense_header_row, row_id = savings_header_row)</f>
        <v>0</v>
      </c>
      <c r="F34" s="1">
        <f t="shared" si="1"/>
        <v>1</v>
      </c>
      <c r="G34" s="1">
        <f>1*OR(row_id=income_total_row,row_id=expenses_total_row,row_id=savings_total_row)</f>
        <v>0</v>
      </c>
      <c r="H34" s="1">
        <f t="shared" si="2"/>
        <v>0</v>
      </c>
      <c r="I34" s="53" t="str">
        <f>IFERROR(INDEX('Budget Planning'!C:C, header_row_id), "")</f>
        <v>Savings</v>
      </c>
      <c r="J34" s="1" t="str">
        <f>IFERROR(INDEX('Budget Planning'!C:C, row_id), "")</f>
        <v>Other Savings</v>
      </c>
      <c r="K34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110</v>
      </c>
      <c r="L34" s="57">
        <f>IF(OR(is_header,is_empty),"",
INDEX('Budget Planning'!$E:$BU,row_id,
   MATCH(IF(selected_period = "Total Year", selected_year, DATE(selected_year, selected_period, 1)),'Budget Planning'!$E$9:$BU$9, 0)))</f>
        <v>0</v>
      </c>
      <c r="M34" s="53">
        <f>IF(is_cat,
IF(header_row_id=income_header_row,MATCH(income_min_row,$C:$C,0),
IF(header_row_id=expense_header_row,MATCH(expense_min_row,$C:$C,0),
IF(header_row_id=savings_header_row,MATCH(savings_min_row,$C:$C,0),""))), "")</f>
        <v>31</v>
      </c>
      <c r="N34" s="54">
        <f>IF(is_cat,
IF(header_row_id=income_header_row,MATCH(income_max_row,$C:$C,0),
IF(header_row_id=expense_header_row,MATCH(expense_max_row,$C:$C,0),
IF(header_row_id=savings_header_row,MATCH(savings_max_row,$C:$C,0),""))), "")</f>
        <v>35</v>
      </c>
      <c r="O34" s="53" t="str">
        <f t="shared" si="3"/>
        <v>$K$31:$K$35</v>
      </c>
      <c r="P34" s="1">
        <f t="shared" ca="1" si="4"/>
        <v>4</v>
      </c>
      <c r="Q34" s="1" t="str">
        <f t="shared" si="5"/>
        <v>$L$31:$L$35</v>
      </c>
      <c r="R34" s="54">
        <f t="shared" ca="1" si="6"/>
        <v>4</v>
      </c>
      <c r="S34" s="53">
        <f t="shared" ca="1" si="7"/>
        <v>44</v>
      </c>
      <c r="T34" s="1" t="str">
        <f t="shared" si="8"/>
        <v>$S$31:$S$35</v>
      </c>
      <c r="U34" s="1">
        <f t="shared" ca="1" si="9"/>
        <v>4</v>
      </c>
      <c r="V34" s="1" t="str">
        <f t="shared" si="10"/>
        <v>$U$31:$U$34</v>
      </c>
      <c r="W34" s="54">
        <f t="shared" ca="1" si="11"/>
        <v>4</v>
      </c>
      <c r="X34" s="62">
        <f t="shared" ca="1" si="12"/>
        <v>44</v>
      </c>
      <c r="Y34" s="64" t="str">
        <f t="shared" ca="1" si="13"/>
        <v>Other Savings</v>
      </c>
      <c r="Z34" s="66">
        <f t="shared" ca="1" si="14"/>
        <v>110</v>
      </c>
      <c r="AA34" s="66">
        <f t="shared" ca="1" si="15"/>
        <v>0</v>
      </c>
      <c r="AB34" s="65" t="str">
        <f t="shared" ca="1" si="16"/>
        <v>-</v>
      </c>
      <c r="AC34" s="66">
        <f t="shared" ca="1" si="17"/>
        <v>0</v>
      </c>
      <c r="AD34" s="66">
        <f t="shared" ca="1" si="18"/>
        <v>110</v>
      </c>
      <c r="AF34" s="73"/>
      <c r="AG34" s="1"/>
      <c r="AH34" s="1"/>
      <c r="AI34" s="89" t="str">
        <f>Calculations!I41</f>
        <v>Total</v>
      </c>
      <c r="AJ34" s="90">
        <f ca="1">Calculations!J41</f>
        <v>6780</v>
      </c>
      <c r="AK34" s="74"/>
      <c r="AM34" s="73"/>
      <c r="AN34" s="1"/>
      <c r="AO34" s="1"/>
      <c r="AP34" s="89" t="str">
        <f>Calculations!M41</f>
        <v>Total</v>
      </c>
      <c r="AQ34" s="90">
        <f ca="1">Calculations!N41</f>
        <v>2800</v>
      </c>
      <c r="AR34" s="74"/>
    </row>
    <row r="35" spans="3:44" x14ac:dyDescent="0.25">
      <c r="C35" s="53">
        <f>IF(C34=-1,-1,
   IF(C34&lt;income_max_row,C34+1,
      IF(C34=income_max_row, income_total_row,
         IF(C34 = income_total_row, "/1",
            IF(C34 = "/1", expense_header_row,
               IF(C34&lt;expense_max_row,C34+1,
                  IF(C34=expense_max_row, expenses_total_row,
                     IF(C34 = expenses_total_row, "/2",
                         IF(C34 = "/2", savings_header_row,
                             IF(C34&lt;savings_max_row,C34+1,
                                   IF(C34=savings_max_row, savings_total_row, -1
)))))))))))</f>
        <v>45</v>
      </c>
      <c r="D35" s="54">
        <f t="shared" si="0"/>
        <v>40</v>
      </c>
      <c r="E35" s="53">
        <f>1*OR(row_id = income_header_row, row_id = expense_header_row, row_id = savings_header_row)</f>
        <v>0</v>
      </c>
      <c r="F35" s="1">
        <f t="shared" si="1"/>
        <v>1</v>
      </c>
      <c r="G35" s="1">
        <f>1*OR(row_id=income_total_row,row_id=expenses_total_row,row_id=savings_total_row)</f>
        <v>0</v>
      </c>
      <c r="H35" s="1">
        <f t="shared" si="2"/>
        <v>0</v>
      </c>
      <c r="I35" s="53" t="str">
        <f>IFERROR(INDEX('Budget Planning'!C:C, header_row_id), "")</f>
        <v>Savings</v>
      </c>
      <c r="J35" s="1" t="str">
        <f>IFERROR(INDEX('Budget Planning'!C:C, row_id), "")</f>
        <v>Enter Savings Category</v>
      </c>
      <c r="K35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0</v>
      </c>
      <c r="L35" s="57">
        <f>IF(OR(is_header,is_empty),"",
INDEX('Budget Planning'!$E:$BU,row_id,
   MATCH(IF(selected_period = "Total Year", selected_year, DATE(selected_year, selected_period, 1)),'Budget Planning'!$E$9:$BU$9, 0)))</f>
        <v>0</v>
      </c>
      <c r="M35" s="53">
        <f>IF(is_cat,
IF(header_row_id=income_header_row,MATCH(income_min_row,$C:$C,0),
IF(header_row_id=expense_header_row,MATCH(expense_min_row,$C:$C,0),
IF(header_row_id=savings_header_row,MATCH(savings_min_row,$C:$C,0),""))), "")</f>
        <v>31</v>
      </c>
      <c r="N35" s="54">
        <f>IF(is_cat,
IF(header_row_id=income_header_row,MATCH(income_max_row,$C:$C,0),
IF(header_row_id=expense_header_row,MATCH(expense_max_row,$C:$C,0),
IF(header_row_id=savings_header_row,MATCH(savings_max_row,$C:$C,0),""))), "")</f>
        <v>35</v>
      </c>
      <c r="O35" s="53" t="str">
        <f t="shared" si="3"/>
        <v>$K$31:$K$35</v>
      </c>
      <c r="P35" s="1">
        <f t="shared" ca="1" si="4"/>
        <v>5</v>
      </c>
      <c r="Q35" s="1" t="str">
        <f t="shared" si="5"/>
        <v>$L$31:$L$35</v>
      </c>
      <c r="R35" s="54">
        <f t="shared" ca="1" si="6"/>
        <v>4</v>
      </c>
      <c r="S35" s="53">
        <f t="shared" ca="1" si="7"/>
        <v>54</v>
      </c>
      <c r="T35" s="1" t="str">
        <f t="shared" si="8"/>
        <v>$S$31:$S$35</v>
      </c>
      <c r="U35" s="1">
        <f t="shared" ca="1" si="9"/>
        <v>5</v>
      </c>
      <c r="V35" s="1" t="str">
        <f t="shared" si="10"/>
        <v>$U$31:$U$35</v>
      </c>
      <c r="W35" s="54">
        <f t="shared" ca="1" si="11"/>
        <v>5</v>
      </c>
      <c r="X35" s="62">
        <f t="shared" ca="1" si="12"/>
        <v>45</v>
      </c>
      <c r="Y35" s="64" t="str">
        <f t="shared" ca="1" si="13"/>
        <v>Enter Savings Category</v>
      </c>
      <c r="Z35" s="66">
        <f t="shared" ca="1" si="14"/>
        <v>0</v>
      </c>
      <c r="AA35" s="66">
        <f t="shared" ca="1" si="15"/>
        <v>0</v>
      </c>
      <c r="AB35" s="65" t="str">
        <f t="shared" ca="1" si="16"/>
        <v>-</v>
      </c>
      <c r="AC35" s="66">
        <f t="shared" ca="1" si="17"/>
        <v>0</v>
      </c>
      <c r="AD35" s="66">
        <f t="shared" ca="1" si="18"/>
        <v>0</v>
      </c>
      <c r="AF35" s="73"/>
      <c r="AG35" s="1"/>
      <c r="AH35" s="1"/>
      <c r="AI35" s="1"/>
      <c r="AJ35" s="1"/>
      <c r="AK35" s="74"/>
      <c r="AM35" s="73"/>
      <c r="AN35" s="1"/>
      <c r="AO35" s="1"/>
      <c r="AP35" s="1"/>
      <c r="AQ35" s="1"/>
      <c r="AR35" s="74"/>
    </row>
    <row r="36" spans="3:44" s="137" customFormat="1" x14ac:dyDescent="0.25">
      <c r="C36" s="129">
        <f>IF(C35=-1,-1,
   IF(C35&lt;income_max_row,C35+1,
      IF(C35=income_max_row, income_total_row,
         IF(C35 = income_total_row, "/1",
            IF(C35 = "/1", expense_header_row,
               IF(C35&lt;expense_max_row,C35+1,
                  IF(C35=expense_max_row, expenses_total_row,
                     IF(C35 = expenses_total_row, "/2",
                         IF(C35 = "/2", savings_header_row,
                             IF(C35&lt;savings_max_row,C35+1,
                                   IF(C35=savings_max_row, savings_total_row, -1
)))))))))))</f>
        <v>51</v>
      </c>
      <c r="D36" s="130">
        <f t="shared" si="0"/>
        <v>40</v>
      </c>
      <c r="E36" s="129">
        <f>1*OR(row_id = income_header_row, row_id = expense_header_row, row_id = savings_header_row)</f>
        <v>0</v>
      </c>
      <c r="F36" s="131">
        <f t="shared" si="1"/>
        <v>0</v>
      </c>
      <c r="G36" s="140">
        <f>1*OR(row_id=income_total_row,row_id=expenses_total_row,row_id=savings_total_row)</f>
        <v>1</v>
      </c>
      <c r="H36" s="131">
        <f t="shared" si="2"/>
        <v>0</v>
      </c>
      <c r="I36" s="129" t="str">
        <f>IFERROR(INDEX('Budget Planning'!C:C, header_row_id), "")</f>
        <v>Savings</v>
      </c>
      <c r="J36" s="131" t="str">
        <f>IFERROR(INDEX('Budget Planning'!C:C, row_id), "")</f>
        <v>Total</v>
      </c>
      <c r="K36" s="132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2800</v>
      </c>
      <c r="L36" s="132">
        <f ca="1">IF(OR(is_header,is_empty),"",
INDEX('Budget Planning'!$E:$BU,row_id,
   MATCH(IF(selected_period = "Total Year", selected_year, DATE(selected_year, selected_period, 1)),'Budget Planning'!$E$9:$BU$9, 0)))</f>
        <v>21900</v>
      </c>
      <c r="M36" s="129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36" s="130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36" s="129" t="str">
        <f t="shared" si="3"/>
        <v/>
      </c>
      <c r="P36" s="131" t="str">
        <f t="shared" ca="1" si="4"/>
        <v/>
      </c>
      <c r="Q36" s="131" t="str">
        <f t="shared" si="5"/>
        <v/>
      </c>
      <c r="R36" s="130" t="str">
        <f t="shared" ca="1" si="6"/>
        <v/>
      </c>
      <c r="S36" s="129" t="str">
        <f t="shared" si="7"/>
        <v/>
      </c>
      <c r="T36" s="131" t="str">
        <f t="shared" si="8"/>
        <v/>
      </c>
      <c r="U36" s="131" t="str">
        <f t="shared" ca="1" si="9"/>
        <v/>
      </c>
      <c r="V36" s="131" t="str">
        <f t="shared" si="10"/>
        <v/>
      </c>
      <c r="W36" s="130" t="str">
        <f t="shared" ca="1" si="11"/>
        <v/>
      </c>
      <c r="X36" s="133">
        <f t="shared" si="12"/>
        <v>51</v>
      </c>
      <c r="Y36" s="134" t="str">
        <f ca="1">IF(is_empty, "", INDEX($J:$J, MATCH(row_id, $X:$X, 0)))</f>
        <v>Total</v>
      </c>
      <c r="Z36" s="135">
        <f t="shared" ca="1" si="14"/>
        <v>2800</v>
      </c>
      <c r="AA36" s="135">
        <f t="shared" ca="1" si="15"/>
        <v>21900</v>
      </c>
      <c r="AB36" s="136">
        <f t="shared" ca="1" si="16"/>
        <v>0.12785388127853881</v>
      </c>
      <c r="AC36" s="135">
        <f t="shared" ca="1" si="17"/>
        <v>19100</v>
      </c>
      <c r="AD36" s="135">
        <f t="shared" ca="1" si="18"/>
        <v>0</v>
      </c>
      <c r="AF36" s="138"/>
      <c r="AG36" s="131"/>
      <c r="AH36" s="131"/>
      <c r="AI36" s="131"/>
      <c r="AJ36" s="131"/>
      <c r="AK36" s="139"/>
      <c r="AM36" s="138"/>
      <c r="AN36" s="131"/>
      <c r="AO36" s="131"/>
      <c r="AP36" s="131"/>
      <c r="AQ36" s="131"/>
      <c r="AR36" s="139"/>
    </row>
    <row r="37" spans="3:44" x14ac:dyDescent="0.25">
      <c r="C37" s="53">
        <f>IF(C36=-1,-1,
   IF(C36&lt;income_max_row,C36+1,
      IF(C36=income_max_row, income_total_row,
         IF(C36 = income_total_row, "/1",
            IF(C36 = "/1", expense_header_row,
               IF(C36&lt;expense_max_row,C36+1,
                  IF(C36=expense_max_row, expenses_total_row,
                     IF(C36 = expenses_total_row, "/2",
                         IF(C36 = "/2", savings_header_row,
                             IF(C36&lt;savings_max_row,C36+1,
                                   IF(C36=savings_max_row, savings_total_row, -1
)))))))))))</f>
        <v>-1</v>
      </c>
      <c r="D37" s="54">
        <f t="shared" si="0"/>
        <v>-1</v>
      </c>
      <c r="E37" s="53">
        <f>1*OR(row_id = income_header_row, row_id = expense_header_row, row_id = savings_header_row)</f>
        <v>0</v>
      </c>
      <c r="F37" s="1">
        <f t="shared" si="1"/>
        <v>0</v>
      </c>
      <c r="G37" s="1">
        <f>1*OR(row_id=income_total_row,row_id=expenses_total_row,row_id=savings_total_row)</f>
        <v>0</v>
      </c>
      <c r="H37" s="1">
        <f t="shared" si="2"/>
        <v>1</v>
      </c>
      <c r="I37" s="53" t="str">
        <f>IFERROR(INDEX('Budget Planning'!C:C, header_row_id), "")</f>
        <v/>
      </c>
      <c r="J37" s="1" t="str">
        <f>IFERROR(INDEX('Budget Planning'!C:C, row_id), "")</f>
        <v/>
      </c>
      <c r="K37" s="128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37" s="57" t="str">
        <f>IF(OR(is_header,is_empty),"",
INDEX('Budget Planning'!$E:$BU,row_id,
   MATCH(IF(selected_period = "Total Year", selected_year, DATE(selected_year, selected_period, 1)),'Budget Planning'!$E$9:$BU$9, 0)))</f>
        <v/>
      </c>
      <c r="M37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37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37" s="53" t="str">
        <f t="shared" si="3"/>
        <v/>
      </c>
      <c r="P37" s="1" t="str">
        <f t="shared" ca="1" si="4"/>
        <v/>
      </c>
      <c r="Q37" s="1" t="str">
        <f t="shared" si="5"/>
        <v/>
      </c>
      <c r="R37" s="54" t="str">
        <f t="shared" ca="1" si="6"/>
        <v/>
      </c>
      <c r="S37" s="53" t="str">
        <f t="shared" si="7"/>
        <v/>
      </c>
      <c r="T37" s="1" t="str">
        <f t="shared" si="8"/>
        <v/>
      </c>
      <c r="U37" s="1" t="str">
        <f t="shared" ca="1" si="9"/>
        <v/>
      </c>
      <c r="V37" s="1" t="str">
        <f t="shared" si="10"/>
        <v/>
      </c>
      <c r="W37" s="54" t="str">
        <f t="shared" ca="1" si="11"/>
        <v/>
      </c>
      <c r="X37" s="62">
        <f t="shared" si="12"/>
        <v>-1</v>
      </c>
      <c r="Y37" s="64" t="str">
        <f t="shared" si="13"/>
        <v/>
      </c>
      <c r="Z37" s="66" t="str">
        <f t="shared" si="14"/>
        <v/>
      </c>
      <c r="AA37" s="66" t="str">
        <f t="shared" si="15"/>
        <v/>
      </c>
      <c r="AB37" s="65" t="str">
        <f t="shared" si="16"/>
        <v/>
      </c>
      <c r="AC37" s="66" t="str">
        <f t="shared" si="17"/>
        <v/>
      </c>
      <c r="AD37" s="66" t="str">
        <f t="shared" si="18"/>
        <v/>
      </c>
      <c r="AF37" s="75"/>
      <c r="AG37" s="76"/>
      <c r="AH37" s="76"/>
      <c r="AI37" s="76"/>
      <c r="AJ37" s="76"/>
      <c r="AK37" s="77"/>
      <c r="AM37" s="75"/>
      <c r="AN37" s="76"/>
      <c r="AO37" s="76"/>
      <c r="AP37" s="76"/>
      <c r="AQ37" s="76"/>
      <c r="AR37" s="77"/>
    </row>
    <row r="38" spans="3:44" x14ac:dyDescent="0.25">
      <c r="C38" s="53">
        <f>IF(C37=-1,-1,
   IF(C37&lt;income_max_row,C37+1,
      IF(C37=income_max_row, income_total_row,
         IF(C37 = income_total_row, "/1",
            IF(C37 = "/1", expense_header_row,
               IF(C37&lt;expense_max_row,C37+1,
                  IF(C37=expense_max_row, expenses_total_row,
                     IF(C37 = expenses_total_row, "/2",
                         IF(C37 = "/2", savings_header_row,
                             IF(C37&lt;savings_max_row,C37+1,
                                   IF(C37=savings_max_row, savings_total_row, -1
)))))))))))</f>
        <v>-1</v>
      </c>
      <c r="D38" s="54">
        <f t="shared" si="0"/>
        <v>-1</v>
      </c>
      <c r="E38" s="53">
        <f>1*OR(row_id = income_header_row, row_id = expense_header_row, row_id = savings_header_row)</f>
        <v>0</v>
      </c>
      <c r="F38" s="1">
        <f t="shared" si="1"/>
        <v>0</v>
      </c>
      <c r="G38" s="1">
        <f>1*OR(row_id=income_total_row,row_id=expenses_total_row,row_id=savings_total_row)</f>
        <v>0</v>
      </c>
      <c r="H38" s="1">
        <f t="shared" si="2"/>
        <v>1</v>
      </c>
      <c r="I38" s="53" t="str">
        <f>IFERROR(INDEX('Budget Planning'!C:C, header_row_id), "")</f>
        <v/>
      </c>
      <c r="J38" s="1" t="str">
        <f>IFERROR(INDEX('Budget Planning'!C:C, row_id), "")</f>
        <v/>
      </c>
      <c r="K38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38" s="57" t="str">
        <f>IF(OR(is_header,is_empty),"",
INDEX('Budget Planning'!$E:$BU,row_id,
   MATCH(IF(selected_period = "Total Year", selected_year, DATE(selected_year, selected_period, 1)),'Budget Planning'!$E$9:$BU$9, 0)))</f>
        <v/>
      </c>
      <c r="M38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38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38" s="53" t="str">
        <f t="shared" si="3"/>
        <v/>
      </c>
      <c r="P38" s="1" t="str">
        <f t="shared" ca="1" si="4"/>
        <v/>
      </c>
      <c r="Q38" s="1" t="str">
        <f t="shared" si="5"/>
        <v/>
      </c>
      <c r="R38" s="54" t="str">
        <f t="shared" ca="1" si="6"/>
        <v/>
      </c>
      <c r="S38" s="53" t="str">
        <f t="shared" si="7"/>
        <v/>
      </c>
      <c r="T38" s="1" t="str">
        <f t="shared" si="8"/>
        <v/>
      </c>
      <c r="U38" s="1" t="str">
        <f t="shared" ca="1" si="9"/>
        <v/>
      </c>
      <c r="V38" s="1" t="str">
        <f t="shared" si="10"/>
        <v/>
      </c>
      <c r="W38" s="54" t="str">
        <f t="shared" ca="1" si="11"/>
        <v/>
      </c>
      <c r="X38" s="62">
        <f t="shared" si="12"/>
        <v>-1</v>
      </c>
      <c r="Y38" s="64" t="str">
        <f t="shared" si="13"/>
        <v/>
      </c>
      <c r="Z38" s="66" t="str">
        <f t="shared" si="14"/>
        <v/>
      </c>
      <c r="AA38" s="66" t="str">
        <f t="shared" si="15"/>
        <v/>
      </c>
      <c r="AB38" s="65" t="str">
        <f t="shared" si="16"/>
        <v/>
      </c>
      <c r="AC38" s="66" t="str">
        <f t="shared" si="17"/>
        <v/>
      </c>
      <c r="AD38" s="66" t="str">
        <f t="shared" si="18"/>
        <v/>
      </c>
    </row>
    <row r="39" spans="3:44" x14ac:dyDescent="0.25">
      <c r="C39" s="53">
        <f>IF(C38=-1,-1,
   IF(C38&lt;income_max_row,C38+1,
      IF(C38=income_max_row, income_total_row,
         IF(C38 = income_total_row, "/1",
            IF(C38 = "/1", expense_header_row,
               IF(C38&lt;expense_max_row,C38+1,
                  IF(C38=expense_max_row, expenses_total_row,
                     IF(C38 = expenses_total_row, "/2",
                         IF(C38 = "/2", savings_header_row,
                             IF(C38&lt;savings_max_row,C38+1,
                                   IF(C38=savings_max_row, savings_total_row, -1
)))))))))))</f>
        <v>-1</v>
      </c>
      <c r="D39" s="54">
        <f t="shared" si="0"/>
        <v>-1</v>
      </c>
      <c r="E39" s="53">
        <f>1*OR(row_id = income_header_row, row_id = expense_header_row, row_id = savings_header_row)</f>
        <v>0</v>
      </c>
      <c r="F39" s="1">
        <f t="shared" si="1"/>
        <v>0</v>
      </c>
      <c r="G39" s="1">
        <f>1*OR(row_id=income_total_row,row_id=expenses_total_row,row_id=savings_total_row)</f>
        <v>0</v>
      </c>
      <c r="H39" s="1">
        <f t="shared" si="2"/>
        <v>1</v>
      </c>
      <c r="I39" s="53" t="str">
        <f>IFERROR(INDEX('Budget Planning'!C:C, header_row_id), "")</f>
        <v/>
      </c>
      <c r="J39" s="1" t="str">
        <f>IFERROR(INDEX('Budget Planning'!C:C, row_id), "")</f>
        <v/>
      </c>
      <c r="K39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39" s="57" t="str">
        <f>IF(OR(is_header,is_empty),"",
INDEX('Budget Planning'!$E:$BU,row_id,
   MATCH(IF(selected_period = "Total Year", selected_year, DATE(selected_year, selected_period, 1)),'Budget Planning'!$E$9:$BU$9, 0)))</f>
        <v/>
      </c>
      <c r="M39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39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39" s="53" t="str">
        <f t="shared" si="3"/>
        <v/>
      </c>
      <c r="P39" s="1" t="str">
        <f t="shared" ca="1" si="4"/>
        <v/>
      </c>
      <c r="Q39" s="1" t="str">
        <f t="shared" si="5"/>
        <v/>
      </c>
      <c r="R39" s="54" t="str">
        <f t="shared" ca="1" si="6"/>
        <v/>
      </c>
      <c r="S39" s="53" t="str">
        <f t="shared" si="7"/>
        <v/>
      </c>
      <c r="T39" s="1" t="str">
        <f t="shared" si="8"/>
        <v/>
      </c>
      <c r="U39" s="1" t="str">
        <f t="shared" ca="1" si="9"/>
        <v/>
      </c>
      <c r="V39" s="1" t="str">
        <f t="shared" si="10"/>
        <v/>
      </c>
      <c r="W39" s="54" t="str">
        <f t="shared" ca="1" si="11"/>
        <v/>
      </c>
      <c r="X39" s="62">
        <f t="shared" si="12"/>
        <v>-1</v>
      </c>
      <c r="Y39" s="64" t="str">
        <f t="shared" si="13"/>
        <v/>
      </c>
      <c r="Z39" s="66" t="str">
        <f t="shared" si="14"/>
        <v/>
      </c>
      <c r="AA39" s="66" t="str">
        <f t="shared" si="15"/>
        <v/>
      </c>
      <c r="AB39" s="65" t="str">
        <f t="shared" si="16"/>
        <v/>
      </c>
      <c r="AC39" s="66" t="str">
        <f t="shared" si="17"/>
        <v/>
      </c>
      <c r="AD39" s="66" t="str">
        <f t="shared" si="18"/>
        <v/>
      </c>
    </row>
    <row r="40" spans="3:44" x14ac:dyDescent="0.25">
      <c r="C40" s="53">
        <f>IF(C39=-1,-1,
   IF(C39&lt;income_max_row,C39+1,
      IF(C39=income_max_row, income_total_row,
         IF(C39 = income_total_row, "/1",
            IF(C39 = "/1", expense_header_row,
               IF(C39&lt;expense_max_row,C39+1,
                  IF(C39=expense_max_row, expenses_total_row,
                     IF(C39 = expenses_total_row, "/2",
                         IF(C39 = "/2", savings_header_row,
                             IF(C39&lt;savings_max_row,C39+1,
                                   IF(C39=savings_max_row, savings_total_row, -1
)))))))))))</f>
        <v>-1</v>
      </c>
      <c r="D40" s="54">
        <f t="shared" si="0"/>
        <v>-1</v>
      </c>
      <c r="E40" s="53">
        <f>1*OR(row_id = income_header_row, row_id = expense_header_row, row_id = savings_header_row)</f>
        <v>0</v>
      </c>
      <c r="F40" s="1">
        <f t="shared" si="1"/>
        <v>0</v>
      </c>
      <c r="G40" s="1">
        <f>1*OR(row_id=income_total_row,row_id=expenses_total_row,row_id=savings_total_row)</f>
        <v>0</v>
      </c>
      <c r="H40" s="1">
        <f t="shared" si="2"/>
        <v>1</v>
      </c>
      <c r="I40" s="53" t="str">
        <f>IFERROR(INDEX('Budget Planning'!C:C, header_row_id), "")</f>
        <v/>
      </c>
      <c r="J40" s="1" t="str">
        <f>IFERROR(INDEX('Budget Planning'!C:C, row_id), "")</f>
        <v/>
      </c>
      <c r="K40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0" s="57" t="str">
        <f>IF(OR(is_header,is_empty),"",
INDEX('Budget Planning'!$E:$BU,row_id,
   MATCH(IF(selected_period = "Total Year", selected_year, DATE(selected_year, selected_period, 1)),'Budget Planning'!$E$9:$BU$9, 0)))</f>
        <v/>
      </c>
      <c r="M40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0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0" s="53" t="str">
        <f t="shared" si="3"/>
        <v/>
      </c>
      <c r="P40" s="1" t="str">
        <f t="shared" ca="1" si="4"/>
        <v/>
      </c>
      <c r="Q40" s="1" t="str">
        <f t="shared" si="5"/>
        <v/>
      </c>
      <c r="R40" s="54" t="str">
        <f t="shared" ca="1" si="6"/>
        <v/>
      </c>
      <c r="S40" s="53" t="str">
        <f t="shared" si="7"/>
        <v/>
      </c>
      <c r="T40" s="1" t="str">
        <f t="shared" si="8"/>
        <v/>
      </c>
      <c r="U40" s="1" t="str">
        <f t="shared" ca="1" si="9"/>
        <v/>
      </c>
      <c r="V40" s="1" t="str">
        <f t="shared" si="10"/>
        <v/>
      </c>
      <c r="W40" s="54" t="str">
        <f t="shared" ca="1" si="11"/>
        <v/>
      </c>
      <c r="X40" s="62">
        <f t="shared" si="12"/>
        <v>-1</v>
      </c>
      <c r="Y40" s="64" t="str">
        <f t="shared" si="13"/>
        <v/>
      </c>
      <c r="Z40" s="66" t="str">
        <f t="shared" si="14"/>
        <v/>
      </c>
      <c r="AA40" s="66" t="str">
        <f t="shared" si="15"/>
        <v/>
      </c>
      <c r="AB40" s="65" t="str">
        <f t="shared" si="16"/>
        <v/>
      </c>
      <c r="AC40" s="66" t="str">
        <f t="shared" si="17"/>
        <v/>
      </c>
      <c r="AD40" s="66" t="str">
        <f t="shared" si="18"/>
        <v/>
      </c>
    </row>
    <row r="41" spans="3:44" x14ac:dyDescent="0.25">
      <c r="C41" s="53">
        <f>IF(C40=-1,-1,
   IF(C40&lt;income_max_row,C40+1,
      IF(C40=income_max_row, income_total_row,
         IF(C40 = income_total_row, "/1",
            IF(C40 = "/1", expense_header_row,
               IF(C40&lt;expense_max_row,C40+1,
                  IF(C40=expense_max_row, expenses_total_row,
                     IF(C40 = expenses_total_row, "/2",
                         IF(C40 = "/2", savings_header_row,
                             IF(C40&lt;savings_max_row,C40+1,
                                   IF(C40=savings_max_row, savings_total_row, -1
)))))))))))</f>
        <v>-1</v>
      </c>
      <c r="D41" s="54">
        <f t="shared" si="0"/>
        <v>-1</v>
      </c>
      <c r="E41" s="53">
        <f>1*OR(row_id = income_header_row, row_id = expense_header_row, row_id = savings_header_row)</f>
        <v>0</v>
      </c>
      <c r="F41" s="1">
        <f t="shared" si="1"/>
        <v>0</v>
      </c>
      <c r="G41" s="1">
        <f>1*OR(row_id=income_total_row,row_id=expenses_total_row,row_id=savings_total_row)</f>
        <v>0</v>
      </c>
      <c r="H41" s="1">
        <f t="shared" si="2"/>
        <v>1</v>
      </c>
      <c r="I41" s="53" t="str">
        <f>IFERROR(INDEX('Budget Planning'!C:C, header_row_id), "")</f>
        <v/>
      </c>
      <c r="J41" s="1" t="str">
        <f>IFERROR(INDEX('Budget Planning'!C:C, row_id), "")</f>
        <v/>
      </c>
      <c r="K41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1" s="57" t="str">
        <f>IF(OR(is_header,is_empty),"",
INDEX('Budget Planning'!$E:$BU,row_id,
   MATCH(IF(selected_period = "Total Year", selected_year, DATE(selected_year, selected_period, 1)),'Budget Planning'!$E$9:$BU$9, 0)))</f>
        <v/>
      </c>
      <c r="M41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1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1" s="53" t="str">
        <f t="shared" si="3"/>
        <v/>
      </c>
      <c r="P41" s="1" t="str">
        <f t="shared" ca="1" si="4"/>
        <v/>
      </c>
      <c r="Q41" s="1" t="str">
        <f t="shared" si="5"/>
        <v/>
      </c>
      <c r="R41" s="54" t="str">
        <f t="shared" ca="1" si="6"/>
        <v/>
      </c>
      <c r="S41" s="53" t="str">
        <f t="shared" si="7"/>
        <v/>
      </c>
      <c r="T41" s="1" t="str">
        <f t="shared" si="8"/>
        <v/>
      </c>
      <c r="U41" s="1" t="str">
        <f t="shared" ca="1" si="9"/>
        <v/>
      </c>
      <c r="V41" s="1" t="str">
        <f t="shared" si="10"/>
        <v/>
      </c>
      <c r="W41" s="54" t="str">
        <f t="shared" ca="1" si="11"/>
        <v/>
      </c>
      <c r="X41" s="62">
        <f t="shared" si="12"/>
        <v>-1</v>
      </c>
      <c r="Y41" s="64" t="str">
        <f t="shared" si="13"/>
        <v/>
      </c>
      <c r="Z41" s="66" t="str">
        <f t="shared" si="14"/>
        <v/>
      </c>
      <c r="AA41" s="66" t="str">
        <f t="shared" si="15"/>
        <v/>
      </c>
      <c r="AB41" s="65" t="str">
        <f t="shared" si="16"/>
        <v/>
      </c>
      <c r="AC41" s="66" t="str">
        <f t="shared" si="17"/>
        <v/>
      </c>
      <c r="AD41" s="66" t="str">
        <f t="shared" si="18"/>
        <v/>
      </c>
    </row>
    <row r="42" spans="3:44" x14ac:dyDescent="0.25">
      <c r="C42" s="53">
        <f>IF(C41=-1,-1,
   IF(C41&lt;income_max_row,C41+1,
      IF(C41=income_max_row, income_total_row,
         IF(C41 = income_total_row, "/1",
            IF(C41 = "/1", expense_header_row,
               IF(C41&lt;expense_max_row,C41+1,
                  IF(C41=expense_max_row, expenses_total_row,
                     IF(C41 = expenses_total_row, "/2",
                         IF(C41 = "/2", savings_header_row,
                             IF(C41&lt;savings_max_row,C41+1,
                                   IF(C41=savings_max_row, savings_total_row, -1
)))))))))))</f>
        <v>-1</v>
      </c>
      <c r="D42" s="54">
        <f t="shared" si="0"/>
        <v>-1</v>
      </c>
      <c r="E42" s="53">
        <f>1*OR(row_id = income_header_row, row_id = expense_header_row, row_id = savings_header_row)</f>
        <v>0</v>
      </c>
      <c r="F42" s="1">
        <f t="shared" si="1"/>
        <v>0</v>
      </c>
      <c r="G42" s="1">
        <f>1*OR(row_id=income_total_row,row_id=expenses_total_row,row_id=savings_total_row)</f>
        <v>0</v>
      </c>
      <c r="H42" s="1">
        <f t="shared" si="2"/>
        <v>1</v>
      </c>
      <c r="I42" s="53" t="str">
        <f>IFERROR(INDEX('Budget Planning'!C:C, header_row_id), "")</f>
        <v/>
      </c>
      <c r="J42" s="1" t="str">
        <f>IFERROR(INDEX('Budget Planning'!C:C, row_id), "")</f>
        <v/>
      </c>
      <c r="K42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2" s="57" t="str">
        <f>IF(OR(is_header,is_empty),"",
INDEX('Budget Planning'!$E:$BU,row_id,
   MATCH(IF(selected_period = "Total Year", selected_year, DATE(selected_year, selected_period, 1)),'Budget Planning'!$E$9:$BU$9, 0)))</f>
        <v/>
      </c>
      <c r="M42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2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2" s="53" t="str">
        <f t="shared" si="3"/>
        <v/>
      </c>
      <c r="P42" s="1" t="str">
        <f t="shared" ca="1" si="4"/>
        <v/>
      </c>
      <c r="Q42" s="1" t="str">
        <f t="shared" si="5"/>
        <v/>
      </c>
      <c r="R42" s="54" t="str">
        <f t="shared" ca="1" si="6"/>
        <v/>
      </c>
      <c r="S42" s="53" t="str">
        <f t="shared" si="7"/>
        <v/>
      </c>
      <c r="T42" s="1" t="str">
        <f t="shared" si="8"/>
        <v/>
      </c>
      <c r="U42" s="1" t="str">
        <f t="shared" ca="1" si="9"/>
        <v/>
      </c>
      <c r="V42" s="1" t="str">
        <f t="shared" si="10"/>
        <v/>
      </c>
      <c r="W42" s="54" t="str">
        <f t="shared" ca="1" si="11"/>
        <v/>
      </c>
      <c r="X42" s="62">
        <f t="shared" si="12"/>
        <v>-1</v>
      </c>
      <c r="Y42" s="64" t="str">
        <f t="shared" si="13"/>
        <v/>
      </c>
      <c r="Z42" s="66" t="str">
        <f t="shared" si="14"/>
        <v/>
      </c>
      <c r="AA42" s="66" t="str">
        <f t="shared" si="15"/>
        <v/>
      </c>
      <c r="AB42" s="65" t="str">
        <f t="shared" si="16"/>
        <v/>
      </c>
      <c r="AC42" s="66" t="str">
        <f t="shared" si="17"/>
        <v/>
      </c>
      <c r="AD42" s="66" t="str">
        <f t="shared" si="18"/>
        <v/>
      </c>
    </row>
    <row r="43" spans="3:44" x14ac:dyDescent="0.25">
      <c r="C43" s="53">
        <f>IF(C42=-1,-1,
   IF(C42&lt;income_max_row,C42+1,
      IF(C42=income_max_row, income_total_row,
         IF(C42 = income_total_row, "/1",
            IF(C42 = "/1", expense_header_row,
               IF(C42&lt;expense_max_row,C42+1,
                  IF(C42=expense_max_row, expenses_total_row,
                     IF(C42 = expenses_total_row, "/2",
                         IF(C42 = "/2", savings_header_row,
                             IF(C42&lt;savings_max_row,C42+1,
                                   IF(C42=savings_max_row, savings_total_row, -1
)))))))))))</f>
        <v>-1</v>
      </c>
      <c r="D43" s="54">
        <f t="shared" si="0"/>
        <v>-1</v>
      </c>
      <c r="E43" s="53">
        <f>1*OR(row_id = income_header_row, row_id = expense_header_row, row_id = savings_header_row)</f>
        <v>0</v>
      </c>
      <c r="F43" s="1">
        <f t="shared" si="1"/>
        <v>0</v>
      </c>
      <c r="G43" s="1">
        <f>1*OR(row_id=income_total_row,row_id=expenses_total_row,row_id=savings_total_row)</f>
        <v>0</v>
      </c>
      <c r="H43" s="1">
        <f t="shared" si="2"/>
        <v>1</v>
      </c>
      <c r="I43" s="53" t="str">
        <f>IFERROR(INDEX('Budget Planning'!C:C, header_row_id), "")</f>
        <v/>
      </c>
      <c r="J43" s="1" t="str">
        <f>IFERROR(INDEX('Budget Planning'!C:C, row_id), "")</f>
        <v/>
      </c>
      <c r="K43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3" s="57" t="str">
        <f>IF(OR(is_header,is_empty),"",
INDEX('Budget Planning'!$E:$BU,row_id,
   MATCH(IF(selected_period = "Total Year", selected_year, DATE(selected_year, selected_period, 1)),'Budget Planning'!$E$9:$BU$9, 0)))</f>
        <v/>
      </c>
      <c r="M43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3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3" s="53" t="str">
        <f t="shared" si="3"/>
        <v/>
      </c>
      <c r="P43" s="1" t="str">
        <f t="shared" ca="1" si="4"/>
        <v/>
      </c>
      <c r="Q43" s="1" t="str">
        <f t="shared" si="5"/>
        <v/>
      </c>
      <c r="R43" s="54" t="str">
        <f t="shared" ca="1" si="6"/>
        <v/>
      </c>
      <c r="S43" s="53" t="str">
        <f t="shared" si="7"/>
        <v/>
      </c>
      <c r="T43" s="1" t="str">
        <f t="shared" si="8"/>
        <v/>
      </c>
      <c r="U43" s="1" t="str">
        <f t="shared" ca="1" si="9"/>
        <v/>
      </c>
      <c r="V43" s="1" t="str">
        <f t="shared" si="10"/>
        <v/>
      </c>
      <c r="W43" s="54" t="str">
        <f t="shared" ca="1" si="11"/>
        <v/>
      </c>
      <c r="X43" s="62">
        <f t="shared" si="12"/>
        <v>-1</v>
      </c>
      <c r="Y43" s="64" t="str">
        <f t="shared" si="13"/>
        <v/>
      </c>
      <c r="Z43" s="66" t="str">
        <f t="shared" si="14"/>
        <v/>
      </c>
      <c r="AA43" s="66" t="str">
        <f t="shared" si="15"/>
        <v/>
      </c>
      <c r="AB43" s="65" t="str">
        <f t="shared" si="16"/>
        <v/>
      </c>
      <c r="AC43" s="66" t="str">
        <f t="shared" si="17"/>
        <v/>
      </c>
      <c r="AD43" s="66" t="str">
        <f t="shared" si="18"/>
        <v/>
      </c>
    </row>
    <row r="44" spans="3:44" x14ac:dyDescent="0.25">
      <c r="C44" s="53">
        <f>IF(C43=-1,-1,
   IF(C43&lt;income_max_row,C43+1,
      IF(C43=income_max_row, income_total_row,
         IF(C43 = income_total_row, "/1",
            IF(C43 = "/1", expense_header_row,
               IF(C43&lt;expense_max_row,C43+1,
                  IF(C43=expense_max_row, expenses_total_row,
                     IF(C43 = expenses_total_row, "/2",
                         IF(C43 = "/2", savings_header_row,
                             IF(C43&lt;savings_max_row,C43+1,
                                   IF(C43=savings_max_row, savings_total_row, -1
)))))))))))</f>
        <v>-1</v>
      </c>
      <c r="D44" s="54">
        <f t="shared" si="0"/>
        <v>-1</v>
      </c>
      <c r="E44" s="53">
        <f>1*OR(row_id = income_header_row, row_id = expense_header_row, row_id = savings_header_row)</f>
        <v>0</v>
      </c>
      <c r="F44" s="1">
        <f t="shared" si="1"/>
        <v>0</v>
      </c>
      <c r="G44" s="1">
        <f>1*OR(row_id=income_total_row,row_id=expenses_total_row,row_id=savings_total_row)</f>
        <v>0</v>
      </c>
      <c r="H44" s="1">
        <f t="shared" si="2"/>
        <v>1</v>
      </c>
      <c r="I44" s="53" t="str">
        <f>IFERROR(INDEX('Budget Planning'!C:C, header_row_id), "")</f>
        <v/>
      </c>
      <c r="J44" s="1" t="str">
        <f>IFERROR(INDEX('Budget Planning'!C:C, row_id), "")</f>
        <v/>
      </c>
      <c r="K44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4" s="57" t="str">
        <f>IF(OR(is_header,is_empty),"",
INDEX('Budget Planning'!$E:$BU,row_id,
   MATCH(IF(selected_period = "Total Year", selected_year, DATE(selected_year, selected_period, 1)),'Budget Planning'!$E$9:$BU$9, 0)))</f>
        <v/>
      </c>
      <c r="M44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4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4" s="53" t="str">
        <f t="shared" si="3"/>
        <v/>
      </c>
      <c r="P44" s="1" t="str">
        <f t="shared" ca="1" si="4"/>
        <v/>
      </c>
      <c r="Q44" s="1" t="str">
        <f t="shared" si="5"/>
        <v/>
      </c>
      <c r="R44" s="54" t="str">
        <f t="shared" ca="1" si="6"/>
        <v/>
      </c>
      <c r="S44" s="53" t="str">
        <f t="shared" si="7"/>
        <v/>
      </c>
      <c r="T44" s="1" t="str">
        <f t="shared" si="8"/>
        <v/>
      </c>
      <c r="U44" s="1" t="str">
        <f t="shared" ca="1" si="9"/>
        <v/>
      </c>
      <c r="V44" s="1" t="str">
        <f t="shared" si="10"/>
        <v/>
      </c>
      <c r="W44" s="54" t="str">
        <f t="shared" ca="1" si="11"/>
        <v/>
      </c>
      <c r="X44" s="62">
        <f t="shared" si="12"/>
        <v>-1</v>
      </c>
      <c r="Y44" s="64" t="str">
        <f t="shared" si="13"/>
        <v/>
      </c>
      <c r="Z44" s="66" t="str">
        <f t="shared" si="14"/>
        <v/>
      </c>
      <c r="AA44" s="66" t="str">
        <f t="shared" si="15"/>
        <v/>
      </c>
      <c r="AB44" s="65" t="str">
        <f t="shared" si="16"/>
        <v/>
      </c>
      <c r="AC44" s="66" t="str">
        <f t="shared" si="17"/>
        <v/>
      </c>
      <c r="AD44" s="66" t="str">
        <f t="shared" si="18"/>
        <v/>
      </c>
    </row>
    <row r="45" spans="3:44" x14ac:dyDescent="0.25">
      <c r="C45" s="53">
        <f>IF(C44=-1,-1,
   IF(C44&lt;income_max_row,C44+1,
      IF(C44=income_max_row, income_total_row,
         IF(C44 = income_total_row, "/1",
            IF(C44 = "/1", expense_header_row,
               IF(C44&lt;expense_max_row,C44+1,
                  IF(C44=expense_max_row, expenses_total_row,
                     IF(C44 = expenses_total_row, "/2",
                         IF(C44 = "/2", savings_header_row,
                             IF(C44&lt;savings_max_row,C44+1,
                                   IF(C44=savings_max_row, savings_total_row, -1
)))))))))))</f>
        <v>-1</v>
      </c>
      <c r="D45" s="54">
        <f t="shared" si="0"/>
        <v>-1</v>
      </c>
      <c r="E45" s="53">
        <f>1*OR(row_id = income_header_row, row_id = expense_header_row, row_id = savings_header_row)</f>
        <v>0</v>
      </c>
      <c r="F45" s="1">
        <f t="shared" si="1"/>
        <v>0</v>
      </c>
      <c r="G45" s="1">
        <f>1*OR(row_id=income_total_row,row_id=expenses_total_row,row_id=savings_total_row)</f>
        <v>0</v>
      </c>
      <c r="H45" s="1">
        <f t="shared" si="2"/>
        <v>1</v>
      </c>
      <c r="I45" s="53" t="str">
        <f>IFERROR(INDEX('Budget Planning'!C:C, header_row_id), "")</f>
        <v/>
      </c>
      <c r="J45" s="1" t="str">
        <f>IFERROR(INDEX('Budget Planning'!C:C, row_id), "")</f>
        <v/>
      </c>
      <c r="K45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5" s="57" t="str">
        <f>IF(OR(is_header,is_empty),"",
INDEX('Budget Planning'!$E:$BU,row_id,
   MATCH(IF(selected_period = "Total Year", selected_year, DATE(selected_year, selected_period, 1)),'Budget Planning'!$E$9:$BU$9, 0)))</f>
        <v/>
      </c>
      <c r="M45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5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5" s="53" t="str">
        <f t="shared" si="3"/>
        <v/>
      </c>
      <c r="P45" s="1" t="str">
        <f t="shared" ca="1" si="4"/>
        <v/>
      </c>
      <c r="Q45" s="1" t="str">
        <f t="shared" si="5"/>
        <v/>
      </c>
      <c r="R45" s="54" t="str">
        <f t="shared" ca="1" si="6"/>
        <v/>
      </c>
      <c r="S45" s="53" t="str">
        <f t="shared" si="7"/>
        <v/>
      </c>
      <c r="T45" s="1" t="str">
        <f t="shared" si="8"/>
        <v/>
      </c>
      <c r="U45" s="1" t="str">
        <f t="shared" ca="1" si="9"/>
        <v/>
      </c>
      <c r="V45" s="1" t="str">
        <f t="shared" si="10"/>
        <v/>
      </c>
      <c r="W45" s="54" t="str">
        <f t="shared" ca="1" si="11"/>
        <v/>
      </c>
      <c r="X45" s="62">
        <f t="shared" si="12"/>
        <v>-1</v>
      </c>
      <c r="Y45" s="64" t="str">
        <f t="shared" si="13"/>
        <v/>
      </c>
      <c r="Z45" s="66" t="str">
        <f t="shared" si="14"/>
        <v/>
      </c>
      <c r="AA45" s="66" t="str">
        <f t="shared" si="15"/>
        <v/>
      </c>
      <c r="AB45" s="65" t="str">
        <f t="shared" si="16"/>
        <v/>
      </c>
      <c r="AC45" s="66" t="str">
        <f t="shared" si="17"/>
        <v/>
      </c>
      <c r="AD45" s="66" t="str">
        <f t="shared" si="18"/>
        <v/>
      </c>
    </row>
    <row r="46" spans="3:44" x14ac:dyDescent="0.25">
      <c r="C46" s="53">
        <f>IF(C45=-1,-1,
   IF(C45&lt;income_max_row,C45+1,
      IF(C45=income_max_row, income_total_row,
         IF(C45 = income_total_row, "/1",
            IF(C45 = "/1", expense_header_row,
               IF(C45&lt;expense_max_row,C45+1,
                  IF(C45=expense_max_row, expenses_total_row,
                     IF(C45 = expenses_total_row, "/2",
                         IF(C45 = "/2", savings_header_row,
                             IF(C45&lt;savings_max_row,C45+1,
                                   IF(C45=savings_max_row, savings_total_row, -1
)))))))))))</f>
        <v>-1</v>
      </c>
      <c r="D46" s="54">
        <f t="shared" si="0"/>
        <v>-1</v>
      </c>
      <c r="E46" s="53">
        <f>1*OR(row_id = income_header_row, row_id = expense_header_row, row_id = savings_header_row)</f>
        <v>0</v>
      </c>
      <c r="F46" s="1">
        <f t="shared" si="1"/>
        <v>0</v>
      </c>
      <c r="G46" s="1">
        <f>1*OR(row_id=income_total_row,row_id=expenses_total_row,row_id=savings_total_row)</f>
        <v>0</v>
      </c>
      <c r="H46" s="1">
        <f t="shared" si="2"/>
        <v>1</v>
      </c>
      <c r="I46" s="53" t="str">
        <f>IFERROR(INDEX('Budget Planning'!C:C, header_row_id), "")</f>
        <v/>
      </c>
      <c r="J46" s="1" t="str">
        <f>IFERROR(INDEX('Budget Planning'!C:C, row_id), "")</f>
        <v/>
      </c>
      <c r="K46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6" s="57" t="str">
        <f>IF(OR(is_header,is_empty),"",
INDEX('Budget Planning'!$E:$BU,row_id,
   MATCH(IF(selected_period = "Total Year", selected_year, DATE(selected_year, selected_period, 1)),'Budget Planning'!$E$9:$BU$9, 0)))</f>
        <v/>
      </c>
      <c r="M46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6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6" s="53" t="str">
        <f t="shared" si="3"/>
        <v/>
      </c>
      <c r="P46" s="1" t="str">
        <f t="shared" ca="1" si="4"/>
        <v/>
      </c>
      <c r="Q46" s="1" t="str">
        <f t="shared" si="5"/>
        <v/>
      </c>
      <c r="R46" s="54" t="str">
        <f t="shared" ca="1" si="6"/>
        <v/>
      </c>
      <c r="S46" s="53" t="str">
        <f t="shared" si="7"/>
        <v/>
      </c>
      <c r="T46" s="1" t="str">
        <f t="shared" si="8"/>
        <v/>
      </c>
      <c r="U46" s="1" t="str">
        <f t="shared" ca="1" si="9"/>
        <v/>
      </c>
      <c r="V46" s="1" t="str">
        <f t="shared" si="10"/>
        <v/>
      </c>
      <c r="W46" s="54" t="str">
        <f t="shared" ca="1" si="11"/>
        <v/>
      </c>
      <c r="X46" s="62">
        <f t="shared" si="12"/>
        <v>-1</v>
      </c>
      <c r="Y46" s="64" t="str">
        <f t="shared" si="13"/>
        <v/>
      </c>
      <c r="Z46" s="66" t="str">
        <f t="shared" si="14"/>
        <v/>
      </c>
      <c r="AA46" s="66" t="str">
        <f t="shared" si="15"/>
        <v/>
      </c>
      <c r="AB46" s="65" t="str">
        <f t="shared" si="16"/>
        <v/>
      </c>
      <c r="AC46" s="66" t="str">
        <f t="shared" si="17"/>
        <v/>
      </c>
      <c r="AD46" s="66" t="str">
        <f t="shared" si="18"/>
        <v/>
      </c>
    </row>
    <row r="47" spans="3:44" x14ac:dyDescent="0.25">
      <c r="C47" s="53">
        <f>IF(C46=-1,-1,
   IF(C46&lt;income_max_row,C46+1,
      IF(C46=income_max_row, income_total_row,
         IF(C46 = income_total_row, "/1",
            IF(C46 = "/1", expense_header_row,
               IF(C46&lt;expense_max_row,C46+1,
                  IF(C46=expense_max_row, expenses_total_row,
                     IF(C46 = expenses_total_row, "/2",
                         IF(C46 = "/2", savings_header_row,
                             IF(C46&lt;savings_max_row,C46+1,
                                   IF(C46=savings_max_row, savings_total_row, -1
)))))))))))</f>
        <v>-1</v>
      </c>
      <c r="D47" s="54">
        <f t="shared" si="0"/>
        <v>-1</v>
      </c>
      <c r="E47" s="53">
        <f>1*OR(row_id = income_header_row, row_id = expense_header_row, row_id = savings_header_row)</f>
        <v>0</v>
      </c>
      <c r="F47" s="1">
        <f t="shared" si="1"/>
        <v>0</v>
      </c>
      <c r="G47" s="1">
        <f>1*OR(row_id=income_total_row,row_id=expenses_total_row,row_id=savings_total_row)</f>
        <v>0</v>
      </c>
      <c r="H47" s="1">
        <f t="shared" si="2"/>
        <v>1</v>
      </c>
      <c r="I47" s="53" t="str">
        <f>IFERROR(INDEX('Budget Planning'!C:C, header_row_id), "")</f>
        <v/>
      </c>
      <c r="J47" s="1" t="str">
        <f>IFERROR(INDEX('Budget Planning'!C:C, row_id), "")</f>
        <v/>
      </c>
      <c r="K47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7" s="57" t="str">
        <f>IF(OR(is_header,is_empty),"",
INDEX('Budget Planning'!$E:$BU,row_id,
   MATCH(IF(selected_period = "Total Year", selected_year, DATE(selected_year, selected_period, 1)),'Budget Planning'!$E$9:$BU$9, 0)))</f>
        <v/>
      </c>
      <c r="M47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7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7" s="53" t="str">
        <f t="shared" si="3"/>
        <v/>
      </c>
      <c r="P47" s="1" t="str">
        <f t="shared" ca="1" si="4"/>
        <v/>
      </c>
      <c r="Q47" s="1" t="str">
        <f t="shared" si="5"/>
        <v/>
      </c>
      <c r="R47" s="54" t="str">
        <f t="shared" ca="1" si="6"/>
        <v/>
      </c>
      <c r="S47" s="53" t="str">
        <f t="shared" si="7"/>
        <v/>
      </c>
      <c r="T47" s="1" t="str">
        <f t="shared" si="8"/>
        <v/>
      </c>
      <c r="U47" s="1" t="str">
        <f t="shared" ca="1" si="9"/>
        <v/>
      </c>
      <c r="V47" s="1" t="str">
        <f t="shared" si="10"/>
        <v/>
      </c>
      <c r="W47" s="54" t="str">
        <f t="shared" ca="1" si="11"/>
        <v/>
      </c>
      <c r="X47" s="62">
        <f t="shared" si="12"/>
        <v>-1</v>
      </c>
      <c r="Y47" s="64" t="str">
        <f t="shared" si="13"/>
        <v/>
      </c>
      <c r="Z47" s="66" t="str">
        <f t="shared" si="14"/>
        <v/>
      </c>
      <c r="AA47" s="66" t="str">
        <f t="shared" si="15"/>
        <v/>
      </c>
      <c r="AB47" s="65" t="str">
        <f t="shared" si="16"/>
        <v/>
      </c>
      <c r="AC47" s="66" t="str">
        <f t="shared" si="17"/>
        <v/>
      </c>
      <c r="AD47" s="66" t="str">
        <f t="shared" si="18"/>
        <v/>
      </c>
    </row>
    <row r="48" spans="3:44" x14ac:dyDescent="0.25">
      <c r="C48" s="53">
        <f>IF(C47=-1,-1,
   IF(C47&lt;income_max_row,C47+1,
      IF(C47=income_max_row, income_total_row,
         IF(C47 = income_total_row, "/1",
            IF(C47 = "/1", expense_header_row,
               IF(C47&lt;expense_max_row,C47+1,
                  IF(C47=expense_max_row, expenses_total_row,
                     IF(C47 = expenses_total_row, "/2",
                         IF(C47 = "/2", savings_header_row,
                             IF(C47&lt;savings_max_row,C47+1,
                                   IF(C47=savings_max_row, savings_total_row, -1
)))))))))))</f>
        <v>-1</v>
      </c>
      <c r="D48" s="54">
        <f t="shared" si="0"/>
        <v>-1</v>
      </c>
      <c r="E48" s="53">
        <f>1*OR(row_id = income_header_row, row_id = expense_header_row, row_id = savings_header_row)</f>
        <v>0</v>
      </c>
      <c r="F48" s="1">
        <f t="shared" si="1"/>
        <v>0</v>
      </c>
      <c r="G48" s="1">
        <f>1*OR(row_id=income_total_row,row_id=expenses_total_row,row_id=savings_total_row)</f>
        <v>0</v>
      </c>
      <c r="H48" s="1">
        <f t="shared" si="2"/>
        <v>1</v>
      </c>
      <c r="I48" s="53" t="str">
        <f>IFERROR(INDEX('Budget Planning'!C:C, header_row_id), "")</f>
        <v/>
      </c>
      <c r="J48" s="1" t="str">
        <f>IFERROR(INDEX('Budget Planning'!C:C, row_id), "")</f>
        <v/>
      </c>
      <c r="K48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8" s="57" t="str">
        <f>IF(OR(is_header,is_empty),"",
INDEX('Budget Planning'!$E:$BU,row_id,
   MATCH(IF(selected_period = "Total Year", selected_year, DATE(selected_year, selected_period, 1)),'Budget Planning'!$E$9:$BU$9, 0)))</f>
        <v/>
      </c>
      <c r="M48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8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8" s="53" t="str">
        <f t="shared" si="3"/>
        <v/>
      </c>
      <c r="P48" s="1" t="str">
        <f t="shared" ca="1" si="4"/>
        <v/>
      </c>
      <c r="Q48" s="1" t="str">
        <f t="shared" si="5"/>
        <v/>
      </c>
      <c r="R48" s="54" t="str">
        <f t="shared" ca="1" si="6"/>
        <v/>
      </c>
      <c r="S48" s="53" t="str">
        <f t="shared" si="7"/>
        <v/>
      </c>
      <c r="T48" s="1" t="str">
        <f t="shared" si="8"/>
        <v/>
      </c>
      <c r="U48" s="1" t="str">
        <f t="shared" ca="1" si="9"/>
        <v/>
      </c>
      <c r="V48" s="1" t="str">
        <f t="shared" si="10"/>
        <v/>
      </c>
      <c r="W48" s="54" t="str">
        <f t="shared" ca="1" si="11"/>
        <v/>
      </c>
      <c r="X48" s="62">
        <f t="shared" si="12"/>
        <v>-1</v>
      </c>
      <c r="Y48" s="64" t="str">
        <f t="shared" si="13"/>
        <v/>
      </c>
      <c r="Z48" s="66" t="str">
        <f t="shared" si="14"/>
        <v/>
      </c>
      <c r="AA48" s="66" t="str">
        <f t="shared" si="15"/>
        <v/>
      </c>
      <c r="AB48" s="65" t="str">
        <f t="shared" si="16"/>
        <v/>
      </c>
      <c r="AC48" s="66" t="str">
        <f t="shared" si="17"/>
        <v/>
      </c>
      <c r="AD48" s="66" t="str">
        <f t="shared" si="18"/>
        <v/>
      </c>
    </row>
    <row r="49" spans="3:30" x14ac:dyDescent="0.25">
      <c r="C49" s="53">
        <f>IF(C48=-1,-1,
   IF(C48&lt;income_max_row,C48+1,
      IF(C48=income_max_row, income_total_row,
         IF(C48 = income_total_row, "/1",
            IF(C48 = "/1", expense_header_row,
               IF(C48&lt;expense_max_row,C48+1,
                  IF(C48=expense_max_row, expenses_total_row,
                     IF(C48 = expenses_total_row, "/2",
                         IF(C48 = "/2", savings_header_row,
                             IF(C48&lt;savings_max_row,C48+1,
                                   IF(C48=savings_max_row, savings_total_row, -1
)))))))))))</f>
        <v>-1</v>
      </c>
      <c r="D49" s="54">
        <f t="shared" si="0"/>
        <v>-1</v>
      </c>
      <c r="E49" s="53" t="b">
        <v>0</v>
      </c>
      <c r="F49" s="1">
        <f t="shared" si="1"/>
        <v>0</v>
      </c>
      <c r="G49" s="1">
        <f>1*OR(row_id=income_total_row,row_id=expenses_total_row,row_id=savings_total_row)</f>
        <v>0</v>
      </c>
      <c r="H49" s="1">
        <f t="shared" si="2"/>
        <v>1</v>
      </c>
      <c r="I49" s="53" t="str">
        <f>IFERROR(INDEX('Budget Planning'!C:C, header_row_id), "")</f>
        <v/>
      </c>
      <c r="J49" s="1" t="str">
        <f>IFERROR(INDEX('Budget Planning'!C:C, row_id), "")</f>
        <v/>
      </c>
      <c r="K49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9" s="57" t="str">
        <f>IF(OR(is_header,is_empty),"",
INDEX('Budget Planning'!$E:$BU,row_id,
   MATCH(IF(selected_period = "Total Year", selected_year, DATE(selected_year, selected_period, 1)),'Budget Planning'!$E$9:$BU$9, 0)))</f>
        <v/>
      </c>
      <c r="M49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9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9" s="53" t="str">
        <f t="shared" si="3"/>
        <v/>
      </c>
      <c r="P49" s="1" t="str">
        <f t="shared" ca="1" si="4"/>
        <v/>
      </c>
      <c r="Q49" s="1" t="str">
        <f t="shared" si="5"/>
        <v/>
      </c>
      <c r="R49" s="54" t="str">
        <f t="shared" ca="1" si="6"/>
        <v/>
      </c>
      <c r="S49" s="53" t="str">
        <f t="shared" si="7"/>
        <v/>
      </c>
      <c r="T49" s="1" t="str">
        <f t="shared" si="8"/>
        <v/>
      </c>
      <c r="U49" s="1" t="str">
        <f t="shared" ca="1" si="9"/>
        <v/>
      </c>
      <c r="V49" s="1" t="str">
        <f t="shared" si="10"/>
        <v/>
      </c>
      <c r="W49" s="54" t="str">
        <f t="shared" ca="1" si="11"/>
        <v/>
      </c>
      <c r="X49" s="62">
        <f t="shared" si="12"/>
        <v>-1</v>
      </c>
      <c r="Y49" s="64" t="str">
        <f t="shared" si="13"/>
        <v/>
      </c>
      <c r="Z49" s="66" t="str">
        <f t="shared" si="14"/>
        <v/>
      </c>
      <c r="AA49" s="66" t="str">
        <f t="shared" si="15"/>
        <v/>
      </c>
      <c r="AB49" s="65" t="str">
        <f t="shared" si="16"/>
        <v/>
      </c>
      <c r="AC49" s="66" t="str">
        <f t="shared" si="17"/>
        <v/>
      </c>
      <c r="AD49" s="66" t="str">
        <f t="shared" si="18"/>
        <v/>
      </c>
    </row>
    <row r="50" spans="3:30" x14ac:dyDescent="0.25">
      <c r="C50" s="53">
        <f>IF(C49=-1,-1,
   IF(C49&lt;income_max_row,C49+1,
      IF(C49=income_max_row, income_total_row,
         IF(C49 = income_total_row, "/1",
            IF(C49 = "/1", expense_header_row,
               IF(C49&lt;expense_max_row,C49+1,
                  IF(C49=expense_max_row, expenses_total_row,
                     IF(C49 = expenses_total_row, "/2",
                         IF(C49 = "/2", savings_header_row,
                             IF(C49&lt;savings_max_row,C49+1,
                                   IF(C49=savings_max_row, savings_total_row, -1
)))))))))))</f>
        <v>-1</v>
      </c>
      <c r="D50" s="54">
        <f t="shared" si="0"/>
        <v>-1</v>
      </c>
      <c r="E50" s="53">
        <f>1*OR(row_id = income_header_row, row_id = expense_header_row, row_id = savings_header_row)</f>
        <v>0</v>
      </c>
      <c r="F50" s="1">
        <f t="shared" si="1"/>
        <v>0</v>
      </c>
      <c r="G50" s="1">
        <f>1*OR(row_id=income_total_row,row_id=expenses_total_row,row_id=savings_total_row)</f>
        <v>0</v>
      </c>
      <c r="H50" s="1">
        <f t="shared" si="2"/>
        <v>1</v>
      </c>
      <c r="I50" s="53" t="str">
        <f>IFERROR(INDEX('Budget Planning'!C:C, header_row_id), "")</f>
        <v/>
      </c>
      <c r="J50" s="1" t="str">
        <f>IFERROR(INDEX('Budget Planning'!C:C, row_id), "")</f>
        <v/>
      </c>
      <c r="K50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50" s="57" t="str">
        <f>IF(OR(is_header,is_empty),"",
INDEX('Budget Planning'!$E:$BU,row_id,
   MATCH(IF(selected_period = "Total Year", selected_year, DATE(selected_year, selected_period, 1)),'Budget Planning'!$E$9:$BU$9, 0)))</f>
        <v/>
      </c>
      <c r="M50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50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50" s="53" t="str">
        <f t="shared" si="3"/>
        <v/>
      </c>
      <c r="P50" s="1" t="str">
        <f t="shared" ca="1" si="4"/>
        <v/>
      </c>
      <c r="Q50" s="1" t="str">
        <f t="shared" si="5"/>
        <v/>
      </c>
      <c r="R50" s="54" t="str">
        <f t="shared" ca="1" si="6"/>
        <v/>
      </c>
      <c r="S50" s="53" t="str">
        <f t="shared" si="7"/>
        <v/>
      </c>
      <c r="T50" s="1" t="str">
        <f t="shared" si="8"/>
        <v/>
      </c>
      <c r="U50" s="1" t="str">
        <f t="shared" ca="1" si="9"/>
        <v/>
      </c>
      <c r="V50" s="1" t="str">
        <f t="shared" si="10"/>
        <v/>
      </c>
      <c r="W50" s="54" t="str">
        <f t="shared" ca="1" si="11"/>
        <v/>
      </c>
      <c r="X50" s="62">
        <f t="shared" si="12"/>
        <v>-1</v>
      </c>
      <c r="Y50" s="64" t="str">
        <f t="shared" si="13"/>
        <v/>
      </c>
      <c r="Z50" s="66" t="str">
        <f t="shared" si="14"/>
        <v/>
      </c>
      <c r="AA50" s="66" t="str">
        <f t="shared" si="15"/>
        <v/>
      </c>
      <c r="AB50" s="65" t="str">
        <f t="shared" si="16"/>
        <v/>
      </c>
      <c r="AC50" s="66" t="str">
        <f t="shared" si="17"/>
        <v/>
      </c>
      <c r="AD50" s="66" t="str">
        <f t="shared" si="18"/>
        <v/>
      </c>
    </row>
    <row r="51" spans="3:30" x14ac:dyDescent="0.25">
      <c r="C51" s="53">
        <f>IF(C50=-1,-1,
   IF(C50&lt;income_max_row,C50+1,
      IF(C50=income_max_row, income_total_row,
         IF(C50 = income_total_row, "/1",
            IF(C50 = "/1", expense_header_row,
               IF(C50&lt;expense_max_row,C50+1,
                  IF(C50=expense_max_row, expenses_total_row,
                     IF(C50 = expenses_total_row, "/2",
                         IF(C50 = "/2", savings_header_row,
                             IF(C50&lt;savings_max_row,C50+1,
                                   IF(C50=savings_max_row, savings_total_row, -1
)))))))))))</f>
        <v>-1</v>
      </c>
      <c r="D51" s="54">
        <f t="shared" si="0"/>
        <v>-1</v>
      </c>
      <c r="E51" s="53">
        <f>1*OR(row_id = income_header_row, row_id = expense_header_row, row_id = savings_header_row)</f>
        <v>0</v>
      </c>
      <c r="F51" s="1">
        <f t="shared" si="1"/>
        <v>0</v>
      </c>
      <c r="G51" s="1">
        <f>1*OR(row_id=income_total_row,row_id=expenses_total_row,row_id=savings_total_row)</f>
        <v>0</v>
      </c>
      <c r="H51" s="1">
        <f t="shared" si="2"/>
        <v>1</v>
      </c>
      <c r="I51" s="53" t="str">
        <f>IFERROR(INDEX('Budget Planning'!C:C, header_row_id), "")</f>
        <v/>
      </c>
      <c r="J51" s="1" t="str">
        <f>IFERROR(INDEX('Budget Planning'!C:C, row_id), "")</f>
        <v/>
      </c>
      <c r="K51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51" s="57" t="str">
        <f>IF(OR(is_header,is_empty),"",
INDEX('Budget Planning'!$E:$BU,row_id,
   MATCH(IF(selected_period = "Total Year", selected_year, DATE(selected_year, selected_period, 1)),'Budget Planning'!$E$9:$BU$9, 0)))</f>
        <v/>
      </c>
      <c r="M51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51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51" s="53" t="str">
        <f t="shared" si="3"/>
        <v/>
      </c>
      <c r="P51" s="1" t="str">
        <f t="shared" ca="1" si="4"/>
        <v/>
      </c>
      <c r="Q51" s="1" t="str">
        <f t="shared" si="5"/>
        <v/>
      </c>
      <c r="R51" s="54" t="str">
        <f t="shared" ca="1" si="6"/>
        <v/>
      </c>
      <c r="S51" s="53" t="str">
        <f t="shared" si="7"/>
        <v/>
      </c>
      <c r="T51" s="1" t="str">
        <f t="shared" si="8"/>
        <v/>
      </c>
      <c r="U51" s="1" t="str">
        <f t="shared" ca="1" si="9"/>
        <v/>
      </c>
      <c r="V51" s="1" t="str">
        <f t="shared" si="10"/>
        <v/>
      </c>
      <c r="W51" s="54" t="str">
        <f t="shared" ca="1" si="11"/>
        <v/>
      </c>
      <c r="X51" s="62">
        <f t="shared" si="12"/>
        <v>-1</v>
      </c>
      <c r="Y51" s="64" t="str">
        <f t="shared" si="13"/>
        <v/>
      </c>
      <c r="Z51" s="66" t="str">
        <f t="shared" si="14"/>
        <v/>
      </c>
      <c r="AA51" s="66" t="str">
        <f t="shared" si="15"/>
        <v/>
      </c>
      <c r="AB51" s="65" t="str">
        <f t="shared" si="16"/>
        <v/>
      </c>
      <c r="AC51" s="66" t="str">
        <f t="shared" si="17"/>
        <v/>
      </c>
      <c r="AD51" s="66" t="str">
        <f t="shared" si="18"/>
        <v/>
      </c>
    </row>
    <row r="52" spans="3:30" x14ac:dyDescent="0.25">
      <c r="C52" s="53">
        <f>IF(C51=-1,-1,
   IF(C51&lt;income_max_row,C51+1,
      IF(C51=income_max_row, income_total_row,
         IF(C51 = income_total_row, "/1",
            IF(C51 = "/1", expense_header_row,
               IF(C51&lt;expense_max_row,C51+1,
                  IF(C51=expense_max_row, expenses_total_row,
                     IF(C51 = expenses_total_row, "/2",
                         IF(C51 = "/2", savings_header_row,
                             IF(C51&lt;savings_max_row,C51+1,
                                   IF(C51=savings_max_row, savings_total_row, -1
)))))))))))</f>
        <v>-1</v>
      </c>
      <c r="D52" s="54">
        <f t="shared" si="0"/>
        <v>-1</v>
      </c>
      <c r="E52" s="53">
        <f>1*OR(row_id = income_header_row, row_id = expense_header_row, row_id = savings_header_row)</f>
        <v>0</v>
      </c>
      <c r="F52" s="1">
        <f t="shared" si="1"/>
        <v>0</v>
      </c>
      <c r="G52" s="1">
        <f>1*OR(row_id=income_total_row,row_id=expenses_total_row,row_id=savings_total_row)</f>
        <v>0</v>
      </c>
      <c r="H52" s="1">
        <f t="shared" si="2"/>
        <v>1</v>
      </c>
      <c r="I52" s="53" t="str">
        <f>IFERROR(INDEX('Budget Planning'!C:C, header_row_id), "")</f>
        <v/>
      </c>
      <c r="J52" s="1" t="str">
        <f>IFERROR(INDEX('Budget Planning'!C:C, row_id), "")</f>
        <v/>
      </c>
      <c r="K52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52" s="57" t="str">
        <f>IF(OR(is_header,is_empty),"",
INDEX('Budget Planning'!$E:$BU,row_id,
   MATCH(IF(selected_period = "Total Year", selected_year, DATE(selected_year, selected_period, 1)),'Budget Planning'!$E$9:$BU$9, 0)))</f>
        <v/>
      </c>
      <c r="M52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52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52" s="53" t="str">
        <f t="shared" si="3"/>
        <v/>
      </c>
      <c r="P52" s="1" t="str">
        <f t="shared" ca="1" si="4"/>
        <v/>
      </c>
      <c r="Q52" s="1" t="str">
        <f t="shared" si="5"/>
        <v/>
      </c>
      <c r="R52" s="54" t="str">
        <f t="shared" ca="1" si="6"/>
        <v/>
      </c>
      <c r="S52" s="53" t="str">
        <f t="shared" si="7"/>
        <v/>
      </c>
      <c r="T52" s="1" t="str">
        <f t="shared" si="8"/>
        <v/>
      </c>
      <c r="U52" s="1" t="str">
        <f t="shared" ca="1" si="9"/>
        <v/>
      </c>
      <c r="V52" s="1" t="str">
        <f t="shared" si="10"/>
        <v/>
      </c>
      <c r="W52" s="54" t="str">
        <f t="shared" ca="1" si="11"/>
        <v/>
      </c>
      <c r="X52" s="62">
        <f t="shared" si="12"/>
        <v>-1</v>
      </c>
      <c r="Y52" s="64" t="str">
        <f t="shared" si="13"/>
        <v/>
      </c>
      <c r="Z52" s="66" t="str">
        <f t="shared" si="14"/>
        <v/>
      </c>
      <c r="AA52" s="66" t="str">
        <f t="shared" si="15"/>
        <v/>
      </c>
      <c r="AB52" s="65" t="str">
        <f t="shared" si="16"/>
        <v/>
      </c>
      <c r="AC52" s="66" t="str">
        <f t="shared" si="17"/>
        <v/>
      </c>
      <c r="AD52" s="66" t="str">
        <f t="shared" si="18"/>
        <v/>
      </c>
    </row>
    <row r="53" spans="3:30" x14ac:dyDescent="0.25">
      <c r="C53" s="53">
        <f>IF(C52=-1,-1,
   IF(C52&lt;income_max_row,C52+1,
      IF(C52=income_max_row, income_total_row,
         IF(C52 = income_total_row, "/1",
            IF(C52 = "/1", expense_header_row,
               IF(C52&lt;expense_max_row,C52+1,
                  IF(C52=expense_max_row, expenses_total_row,
                     IF(C52 = expenses_total_row, "/2",
                         IF(C52 = "/2", savings_header_row,
                             IF(C52&lt;savings_max_row,C52+1,
                                   IF(C52=savings_max_row, savings_total_row, -1
)))))))))))</f>
        <v>-1</v>
      </c>
      <c r="D53" s="54">
        <f t="shared" si="0"/>
        <v>-1</v>
      </c>
      <c r="E53" s="53">
        <f>1*OR(row_id = income_header_row, row_id = expense_header_row, row_id = savings_header_row)</f>
        <v>0</v>
      </c>
      <c r="F53" s="1">
        <f t="shared" si="1"/>
        <v>0</v>
      </c>
      <c r="G53" s="1">
        <f>1*OR(row_id=income_total_row,row_id=expenses_total_row,row_id=savings_total_row)</f>
        <v>0</v>
      </c>
      <c r="H53" s="1">
        <f t="shared" si="2"/>
        <v>1</v>
      </c>
      <c r="I53" s="53" t="str">
        <f>IFERROR(INDEX('Budget Planning'!C:C, header_row_id), "")</f>
        <v/>
      </c>
      <c r="J53" s="1" t="str">
        <f>IFERROR(INDEX('Budget Planning'!C:C, row_id), "")</f>
        <v/>
      </c>
      <c r="K53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53" s="57" t="str">
        <f>IF(OR(is_header,is_empty),"",
INDEX('Budget Planning'!$E:$BU,row_id,
   MATCH(IF(selected_period = "Total Year", selected_year, DATE(selected_year, selected_period, 1)),'Budget Planning'!$E$9:$BU$9, 0)))</f>
        <v/>
      </c>
      <c r="M53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53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53" s="53" t="str">
        <f t="shared" si="3"/>
        <v/>
      </c>
      <c r="P53" s="1" t="str">
        <f t="shared" ca="1" si="4"/>
        <v/>
      </c>
      <c r="Q53" s="1" t="str">
        <f t="shared" si="5"/>
        <v/>
      </c>
      <c r="R53" s="54" t="str">
        <f t="shared" ca="1" si="6"/>
        <v/>
      </c>
      <c r="S53" s="53" t="str">
        <f t="shared" si="7"/>
        <v/>
      </c>
      <c r="T53" s="1" t="str">
        <f t="shared" si="8"/>
        <v/>
      </c>
      <c r="U53" s="1" t="str">
        <f t="shared" ca="1" si="9"/>
        <v/>
      </c>
      <c r="V53" s="1" t="str">
        <f t="shared" si="10"/>
        <v/>
      </c>
      <c r="W53" s="54" t="str">
        <f t="shared" ca="1" si="11"/>
        <v/>
      </c>
      <c r="X53" s="62">
        <f t="shared" si="12"/>
        <v>-1</v>
      </c>
      <c r="Y53" s="64" t="str">
        <f t="shared" si="13"/>
        <v/>
      </c>
      <c r="Z53" s="66" t="str">
        <f t="shared" si="14"/>
        <v/>
      </c>
      <c r="AA53" s="66" t="str">
        <f t="shared" si="15"/>
        <v/>
      </c>
      <c r="AB53" s="65" t="str">
        <f t="shared" si="16"/>
        <v/>
      </c>
      <c r="AC53" s="66" t="str">
        <f t="shared" si="17"/>
        <v/>
      </c>
      <c r="AD53" s="66" t="str">
        <f t="shared" si="18"/>
        <v/>
      </c>
    </row>
    <row r="54" spans="3:30" x14ac:dyDescent="0.25">
      <c r="C54" s="53">
        <f>IF(C53=-1,-1,
   IF(C53&lt;income_max_row,C53+1,
      IF(C53=income_max_row, income_total_row,
         IF(C53 = income_total_row, "/1",
            IF(C53 = "/1", expense_header_row,
               IF(C53&lt;expense_max_row,C53+1,
                  IF(C53=expense_max_row, expenses_total_row,
                     IF(C53 = expenses_total_row, "/2",
                         IF(C53 = "/2", savings_header_row,
                             IF(C53&lt;savings_max_row,C53+1,
                                   IF(C53=savings_max_row, savings_total_row, -1
)))))))))))</f>
        <v>-1</v>
      </c>
      <c r="D54" s="54">
        <f t="shared" si="0"/>
        <v>-1</v>
      </c>
      <c r="E54" s="53">
        <f>1*OR(row_id = income_header_row, row_id = expense_header_row, row_id = savings_header_row)</f>
        <v>0</v>
      </c>
      <c r="F54" s="1">
        <f t="shared" si="1"/>
        <v>0</v>
      </c>
      <c r="G54" s="1">
        <f>1*OR(row_id=income_total_row,row_id=expenses_total_row,row_id=savings_total_row)</f>
        <v>0</v>
      </c>
      <c r="H54" s="1">
        <f t="shared" si="2"/>
        <v>1</v>
      </c>
      <c r="I54" s="53" t="str">
        <f>IFERROR(INDEX('Budget Planning'!C:C, header_row_id), "")</f>
        <v/>
      </c>
      <c r="J54" s="1" t="str">
        <f>IFERROR(INDEX('Budget Planning'!C:C, row_id), "")</f>
        <v/>
      </c>
      <c r="K54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54" s="57" t="str">
        <f>IF(OR(is_header,is_empty),"",
INDEX('Budget Planning'!$E:$BU,row_id,
   MATCH(IF(selected_period = "Total Year", selected_year, DATE(selected_year, selected_period, 1)),'Budget Planning'!$E$9:$BU$9, 0)))</f>
        <v/>
      </c>
      <c r="M54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54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54" s="53" t="str">
        <f t="shared" si="3"/>
        <v/>
      </c>
      <c r="P54" s="1" t="str">
        <f t="shared" ca="1" si="4"/>
        <v/>
      </c>
      <c r="Q54" s="1" t="str">
        <f t="shared" si="5"/>
        <v/>
      </c>
      <c r="R54" s="54" t="str">
        <f t="shared" ca="1" si="6"/>
        <v/>
      </c>
      <c r="S54" s="53" t="str">
        <f t="shared" si="7"/>
        <v/>
      </c>
      <c r="T54" s="1" t="str">
        <f t="shared" si="8"/>
        <v/>
      </c>
      <c r="U54" s="1" t="str">
        <f t="shared" ca="1" si="9"/>
        <v/>
      </c>
      <c r="V54" s="1" t="str">
        <f t="shared" si="10"/>
        <v/>
      </c>
      <c r="W54" s="54" t="str">
        <f t="shared" ca="1" si="11"/>
        <v/>
      </c>
      <c r="X54" s="62">
        <f t="shared" si="12"/>
        <v>-1</v>
      </c>
      <c r="Y54" s="64" t="str">
        <f t="shared" si="13"/>
        <v/>
      </c>
      <c r="Z54" s="66" t="str">
        <f t="shared" si="14"/>
        <v/>
      </c>
      <c r="AA54" s="66" t="str">
        <f t="shared" si="15"/>
        <v/>
      </c>
      <c r="AB54" s="65" t="str">
        <f t="shared" si="16"/>
        <v/>
      </c>
      <c r="AC54" s="66" t="str">
        <f t="shared" si="17"/>
        <v/>
      </c>
      <c r="AD54" s="66" t="str">
        <f t="shared" si="18"/>
        <v/>
      </c>
    </row>
  </sheetData>
  <mergeCells count="9">
    <mergeCell ref="AQ5:AR5"/>
    <mergeCell ref="AQ6:AR6"/>
    <mergeCell ref="AN6:AP6"/>
    <mergeCell ref="A1:XFD3"/>
    <mergeCell ref="AQ8:AR8"/>
    <mergeCell ref="AN9:AP9"/>
    <mergeCell ref="AQ9:AR9"/>
    <mergeCell ref="Y11:AD11"/>
    <mergeCell ref="AF11:AR11"/>
  </mergeCells>
  <conditionalFormatting sqref="Y13:AD54">
    <cfRule type="expression" dxfId="24" priority="19" stopIfTrue="1">
      <formula>row_id = savings_header_row</formula>
    </cfRule>
    <cfRule type="expression" dxfId="23" priority="20" stopIfTrue="1">
      <formula>row_id = expense_header_row</formula>
    </cfRule>
    <cfRule type="expression" dxfId="22" priority="21" stopIfTrue="1">
      <formula>row_id = income_header_row</formula>
    </cfRule>
    <cfRule type="expression" dxfId="21" priority="22" stopIfTrue="1">
      <formula>is_total</formula>
    </cfRule>
  </conditionalFormatting>
  <conditionalFormatting sqref="AB13:AB54">
    <cfRule type="expression" dxfId="20" priority="23" stopIfTrue="1">
      <formula>AND(OR(is_cat, is_total), out_budget&gt;0, out_percentage_completed &gt;=1, header_row_id = income_header_row)</formula>
    </cfRule>
    <cfRule type="dataBar" priority="28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{6DC164E4-8539-47F4-8CB9-B9899D015661}</x14:id>
        </ext>
      </extLst>
    </cfRule>
  </conditionalFormatting>
  <conditionalFormatting sqref="AB13:AB37">
    <cfRule type="expression" dxfId="19" priority="24" stopIfTrue="1">
      <formula>AND(OR(is_cat, is_total), out_budget&gt;0, out_percentage_completed &gt;=1, header_row_id = expense_header_row)</formula>
    </cfRule>
    <cfRule type="expression" dxfId="18" priority="25" stopIfTrue="1">
      <formula>AND(OR(is_cat, is_total), out_budget&gt;0, out_percentage_completed &gt;=1, header_row_id = savings_header_row)</formula>
    </cfRule>
  </conditionalFormatting>
  <conditionalFormatting sqref="AH15">
    <cfRule type="expression" dxfId="17" priority="18">
      <formula>AI15 &lt;&gt; ""</formula>
    </cfRule>
  </conditionalFormatting>
  <conditionalFormatting sqref="AH16">
    <cfRule type="expression" dxfId="16" priority="17">
      <formula>AI16 &lt;&gt; ""</formula>
    </cfRule>
  </conditionalFormatting>
  <conditionalFormatting sqref="AH17">
    <cfRule type="expression" dxfId="15" priority="16">
      <formula>AI17 &lt;&gt; ""</formula>
    </cfRule>
  </conditionalFormatting>
  <conditionalFormatting sqref="AH18">
    <cfRule type="expression" dxfId="14" priority="15">
      <formula>AI18 &lt;&gt; ""</formula>
    </cfRule>
  </conditionalFormatting>
  <conditionalFormatting sqref="AH19">
    <cfRule type="expression" dxfId="13" priority="14">
      <formula>AI19 &lt;&gt; ""</formula>
    </cfRule>
  </conditionalFormatting>
  <conditionalFormatting sqref="AH20">
    <cfRule type="expression" dxfId="12" priority="13">
      <formula>AI20 &lt;&gt; ""</formula>
    </cfRule>
  </conditionalFormatting>
  <conditionalFormatting sqref="AH28">
    <cfRule type="expression" dxfId="11" priority="12">
      <formula>AI28 &lt;&gt; ""</formula>
    </cfRule>
  </conditionalFormatting>
  <conditionalFormatting sqref="AH29">
    <cfRule type="expression" dxfId="10" priority="11">
      <formula>AI29 &lt;&gt; ""</formula>
    </cfRule>
  </conditionalFormatting>
  <conditionalFormatting sqref="AH30">
    <cfRule type="expression" dxfId="9" priority="10">
      <formula>AI30 &lt;&gt; ""</formula>
    </cfRule>
  </conditionalFormatting>
  <conditionalFormatting sqref="AH31">
    <cfRule type="expression" dxfId="8" priority="9">
      <formula>AI31 &lt;&gt; ""</formula>
    </cfRule>
  </conditionalFormatting>
  <conditionalFormatting sqref="AH32">
    <cfRule type="expression" dxfId="7" priority="8">
      <formula>AI32 &lt;&gt; ""</formula>
    </cfRule>
  </conditionalFormatting>
  <conditionalFormatting sqref="AH33">
    <cfRule type="expression" dxfId="6" priority="7">
      <formula>AI33 &lt;&gt; ""</formula>
    </cfRule>
  </conditionalFormatting>
  <conditionalFormatting sqref="AO28">
    <cfRule type="expression" dxfId="5" priority="6">
      <formula>AP28 &lt;&gt; ""</formula>
    </cfRule>
  </conditionalFormatting>
  <conditionalFormatting sqref="AO29">
    <cfRule type="expression" dxfId="4" priority="5">
      <formula>AP29 &lt;&gt; ""</formula>
    </cfRule>
  </conditionalFormatting>
  <conditionalFormatting sqref="AO30">
    <cfRule type="expression" dxfId="3" priority="4">
      <formula>AP30 &lt;&gt; ""</formula>
    </cfRule>
  </conditionalFormatting>
  <conditionalFormatting sqref="AO31">
    <cfRule type="expression" dxfId="2" priority="3">
      <formula>AP31 &lt;&gt; ""</formula>
    </cfRule>
  </conditionalFormatting>
  <conditionalFormatting sqref="AO32">
    <cfRule type="expression" dxfId="1" priority="2">
      <formula>AP32 &lt;&gt; ""</formula>
    </cfRule>
  </conditionalFormatting>
  <conditionalFormatting sqref="AO33">
    <cfRule type="expression" dxfId="0" priority="1">
      <formula>AP33 &lt;&gt; ""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9" r:id="rId4" name="Check Box 11">
              <controlPr defaultSize="0" autoFill="0" autoLine="0" autoPict="0">
                <anchor moveWithCells="1">
                  <from>
                    <xdr:col>41</xdr:col>
                    <xdr:colOff>142875</xdr:colOff>
                    <xdr:row>12</xdr:row>
                    <xdr:rowOff>0</xdr:rowOff>
                  </from>
                  <to>
                    <xdr:col>41</xdr:col>
                    <xdr:colOff>942975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5" name="Check Box 12">
              <controlPr defaultSize="0" autoFill="0" autoLine="0" autoPict="0">
                <anchor moveWithCells="1">
                  <from>
                    <xdr:col>41</xdr:col>
                    <xdr:colOff>1047750</xdr:colOff>
                    <xdr:row>12</xdr:row>
                    <xdr:rowOff>0</xdr:rowOff>
                  </from>
                  <to>
                    <xdr:col>43</xdr:col>
                    <xdr:colOff>47625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6" name="Check Box 13">
              <controlPr defaultSize="0" autoFill="0" autoLine="0" autoPict="0">
                <anchor moveWithCells="1">
                  <from>
                    <xdr:col>41</xdr:col>
                    <xdr:colOff>142875</xdr:colOff>
                    <xdr:row>13</xdr:row>
                    <xdr:rowOff>9525</xdr:rowOff>
                  </from>
                  <to>
                    <xdr:col>41</xdr:col>
                    <xdr:colOff>942975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" name="Check Box 14">
              <controlPr defaultSize="0" autoFill="0" autoLine="0" autoPict="0">
                <anchor moveWithCells="1">
                  <from>
                    <xdr:col>41</xdr:col>
                    <xdr:colOff>1047750</xdr:colOff>
                    <xdr:row>12</xdr:row>
                    <xdr:rowOff>171450</xdr:rowOff>
                  </from>
                  <to>
                    <xdr:col>43</xdr:col>
                    <xdr:colOff>47625</xdr:colOff>
                    <xdr:row>14</xdr:row>
                    <xdr:rowOff>57150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C164E4-8539-47F4-8CB9-B9899D0156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AB13:AB54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'Dropdown Data'!$C$8:$C$15</xm:f>
          </x14:formula1>
          <xm:sqref>AQ6:AR6</xm:sqref>
        </x14:dataValidation>
        <x14:dataValidation type="list" allowBlank="1" showInputMessage="1" showErrorMessage="1">
          <x14:formula1>
            <xm:f>'Dropdown Data'!$E$8:$E$21</xm:f>
          </x14:formula1>
          <xm:sqref>AQ9:AR9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R102"/>
  <sheetViews>
    <sheetView showGridLines="0" zoomScaleNormal="100" workbookViewId="0">
      <selection activeCell="H13" sqref="H13"/>
    </sheetView>
  </sheetViews>
  <sheetFormatPr defaultRowHeight="15" x14ac:dyDescent="0.25"/>
  <cols>
    <col min="3" max="3" width="3.28515625" customWidth="1"/>
    <col min="4" max="4" width="23.85546875" bestFit="1" customWidth="1"/>
    <col min="5" max="5" width="31.140625" bestFit="1" customWidth="1"/>
    <col min="6" max="6" width="17.7109375" customWidth="1"/>
    <col min="7" max="7" width="9.140625" customWidth="1"/>
    <col min="8" max="8" width="23.85546875" customWidth="1"/>
    <col min="9" max="9" width="31.140625" customWidth="1"/>
    <col min="10" max="10" width="17.7109375" style="105" customWidth="1"/>
    <col min="11" max="11" width="9.28515625" style="105" customWidth="1"/>
    <col min="12" max="12" width="15" style="105" customWidth="1"/>
    <col min="13" max="13" width="22.7109375" customWidth="1"/>
    <col min="14" max="14" width="17.7109375" customWidth="1"/>
    <col min="15" max="15" width="11.42578125" customWidth="1"/>
    <col min="16" max="16" width="22.7109375" customWidth="1"/>
    <col min="17" max="17" width="17.7109375" customWidth="1"/>
    <col min="18" max="18" width="11.42578125" customWidth="1"/>
  </cols>
  <sheetData>
    <row r="1" spans="2:12" s="38" customFormat="1" x14ac:dyDescent="0.25">
      <c r="B1" s="124" t="s">
        <v>44</v>
      </c>
      <c r="C1" s="124"/>
      <c r="D1" s="124"/>
      <c r="J1" s="104"/>
      <c r="K1" s="104"/>
      <c r="L1" s="104"/>
    </row>
    <row r="2" spans="2:12" s="38" customFormat="1" ht="17.25" customHeight="1" x14ac:dyDescent="0.25">
      <c r="B2" s="124"/>
      <c r="C2" s="124"/>
      <c r="D2" s="124"/>
      <c r="J2" s="104"/>
      <c r="K2" s="104"/>
      <c r="L2" s="104"/>
    </row>
    <row r="3" spans="2:12" s="38" customFormat="1" x14ac:dyDescent="0.25">
      <c r="B3" s="124"/>
      <c r="C3" s="124"/>
      <c r="D3" s="124"/>
      <c r="J3" s="104"/>
      <c r="K3" s="104"/>
      <c r="L3" s="104"/>
    </row>
    <row r="6" spans="2:12" x14ac:dyDescent="0.25">
      <c r="C6" s="123" t="s">
        <v>45</v>
      </c>
      <c r="D6" s="123"/>
      <c r="E6" s="123"/>
      <c r="F6" s="123"/>
    </row>
    <row r="8" spans="2:12" x14ac:dyDescent="0.25">
      <c r="D8" s="39" t="s">
        <v>46</v>
      </c>
      <c r="E8" s="40">
        <f ca="1">TODAY()</f>
        <v>45542</v>
      </c>
    </row>
    <row r="9" spans="2:12" x14ac:dyDescent="0.25">
      <c r="D9" s="39" t="s">
        <v>47</v>
      </c>
      <c r="E9" s="40">
        <f>MAX(Tracking[Date])</f>
        <v>45295</v>
      </c>
    </row>
    <row r="10" spans="2:12" x14ac:dyDescent="0.25">
      <c r="D10" s="39" t="s">
        <v>48</v>
      </c>
      <c r="E10" s="20" t="str">
        <f ca="1">IF(E9=0, "", "(" &amp; _xlfn.DAYS(current_date,E9)&amp; " days ago)")</f>
        <v>(247 days ago)</v>
      </c>
    </row>
    <row r="11" spans="2:12" x14ac:dyDescent="0.25">
      <c r="D11" s="39" t="s">
        <v>49</v>
      </c>
      <c r="E11">
        <f>COUNT(Tracking[Date])</f>
        <v>55</v>
      </c>
    </row>
    <row r="12" spans="2:12" x14ac:dyDescent="0.25">
      <c r="D12" s="39" t="s">
        <v>50</v>
      </c>
      <c r="E12">
        <f ca="1">SUMPRODUCT(--(YEAR(Tracking[Date]) = YEAR(current_date)))</f>
        <v>1</v>
      </c>
    </row>
    <row r="13" spans="2:12" x14ac:dyDescent="0.25">
      <c r="D13" s="39" t="s">
        <v>51</v>
      </c>
      <c r="E13" s="41">
        <f>_xlfn.IFNA(INDEX(Tracking[Balance], MATCH(Calculations!E9,Tracking[Date],0)), "-")</f>
        <v>2520</v>
      </c>
    </row>
    <row r="14" spans="2:12" x14ac:dyDescent="0.25">
      <c r="D14" s="39" t="s">
        <v>52</v>
      </c>
      <c r="E14" t="str">
        <f>IF(E13 &gt;=0, "of tracked income to be allocated", "allocated not covered by income")</f>
        <v>of tracked income to be allocated</v>
      </c>
    </row>
    <row r="17" spans="3:14" x14ac:dyDescent="0.25">
      <c r="C17" s="123" t="s">
        <v>64</v>
      </c>
      <c r="D17" s="123"/>
      <c r="E17" s="123"/>
      <c r="F17" s="123"/>
    </row>
    <row r="19" spans="3:14" x14ac:dyDescent="0.25">
      <c r="D19" s="39" t="s">
        <v>65</v>
      </c>
      <c r="E19" s="48">
        <f>IF('Budget Dashboard'!AQ6 = "Current Year", YEAR(current_date), 'Budget Dashboard'!AQ6)</f>
        <v>2022</v>
      </c>
    </row>
    <row r="20" spans="3:14" x14ac:dyDescent="0.25">
      <c r="D20" s="49" t="s">
        <v>66</v>
      </c>
      <c r="E20" s="50" t="str">
        <f>IF('Budget Dashboard'!AQ9 = "Total Year", "Total Year",
IF('Budget Dashboard'!AQ9 = "Current Month", MONTH(current_date), MONTH('Budget Dashboard'!AQ9)))</f>
        <v>Total Year</v>
      </c>
    </row>
    <row r="21" spans="3:14" x14ac:dyDescent="0.25">
      <c r="D21" s="39" t="s">
        <v>67</v>
      </c>
      <c r="E21" s="51" t="str">
        <f>IF(selected_period = "Total Year", "Total Year", TEXT(DATE(selected_year, selected_period, 1), "mmmm"))</f>
        <v>Total Year</v>
      </c>
    </row>
    <row r="22" spans="3:14" x14ac:dyDescent="0.25">
      <c r="D22" s="39" t="s">
        <v>108</v>
      </c>
      <c r="E22">
        <f>IF(selected_period="Total Year",DATE(selected_year,12,31)-DATE(selected_year-1,12,31),DAY(EOMONTH(DATE(selected_year,selected_period,1),0)))</f>
        <v>365</v>
      </c>
    </row>
    <row r="23" spans="3:14" x14ac:dyDescent="0.25">
      <c r="D23" s="39" t="s">
        <v>110</v>
      </c>
      <c r="E23">
        <f ca="1">IF(selected_year=YEAR(current_date),
IF(selected_period="Total Year",current_date-DATE(selected_year-1,12,31),
IF(selected_period=MONTH(current_date),DAY(current_date),
IF(selected_period&lt;MONTH(current_date),E22,0))),
IF(selected_year &lt; YEAR(current_date), E22, 0))</f>
        <v>365</v>
      </c>
    </row>
    <row r="24" spans="3:14" x14ac:dyDescent="0.25">
      <c r="D24" s="39" t="s">
        <v>109</v>
      </c>
      <c r="E24" s="63">
        <f ca="1">E23/E22</f>
        <v>1</v>
      </c>
    </row>
    <row r="25" spans="3:14" x14ac:dyDescent="0.25">
      <c r="D25" s="39" t="s">
        <v>111</v>
      </c>
      <c r="E25" s="125">
        <f ca="1">F41-(J41+N41)</f>
        <v>-880</v>
      </c>
    </row>
    <row r="26" spans="3:14" x14ac:dyDescent="0.25">
      <c r="D26" s="39" t="s">
        <v>52</v>
      </c>
      <c r="E26" t="str">
        <f ca="1">IF(E25 &gt;=0, "of tracked income to be allocated", "allocated not covered by income")</f>
        <v>allocated not covered by income</v>
      </c>
    </row>
    <row r="27" spans="3:14" x14ac:dyDescent="0.25">
      <c r="D27" s="39" t="s">
        <v>112</v>
      </c>
      <c r="E27" s="127">
        <f ca="1">IFERROR(IF(savings_rate_calculation_type = "% Allocated to Savings", N41 / F41, (F41-J41) / F41), "-")</f>
        <v>0.22068965517241379</v>
      </c>
    </row>
    <row r="32" spans="3:14" x14ac:dyDescent="0.25">
      <c r="D32" s="79" t="s">
        <v>91</v>
      </c>
      <c r="E32" s="78"/>
      <c r="F32" s="78"/>
      <c r="G32" s="78"/>
      <c r="H32" s="78"/>
      <c r="I32" s="78"/>
      <c r="J32" s="106"/>
      <c r="K32" s="106"/>
      <c r="L32" s="106"/>
      <c r="M32" s="78"/>
      <c r="N32" s="78"/>
    </row>
    <row r="34" spans="4:14" x14ac:dyDescent="0.25">
      <c r="D34" s="80" t="s">
        <v>6</v>
      </c>
      <c r="E34" s="80" t="s">
        <v>34</v>
      </c>
      <c r="F34" s="80" t="s">
        <v>35</v>
      </c>
      <c r="H34" s="80" t="s">
        <v>13</v>
      </c>
      <c r="I34" s="80" t="s">
        <v>34</v>
      </c>
      <c r="J34" s="107" t="s">
        <v>35</v>
      </c>
      <c r="L34" s="107" t="s">
        <v>18</v>
      </c>
      <c r="M34" s="80" t="s">
        <v>34</v>
      </c>
      <c r="N34" s="80" t="s">
        <v>35</v>
      </c>
    </row>
    <row r="35" spans="4:14" x14ac:dyDescent="0.25">
      <c r="D35" s="81">
        <v>1</v>
      </c>
      <c r="E35" s="81" t="str">
        <f ca="1">IF(F35 = "", "", INDEX('Budget Dashboard'!$J:$J, MATCH(income_header_row + Calculations!D35, 'Budget Dashboard'!$X:$X, 0)))</f>
        <v>Employment (Net)</v>
      </c>
      <c r="F35" s="84">
        <f ca="1">IF(D35 &gt; COUNTA(Income[]), "",
IF(INDEX('Budget Dashboard'!$K:$K, MATCH(income_header_row + Calculations!D35, 'Budget Dashboard'!$X:$X, 0)) = 0, "",
INDEX('Budget Dashboard'!$K:$K, MATCH(income_header_row + Calculations!D35, 'Budget Dashboard'!$X:$X, 0))))</f>
        <v>7000</v>
      </c>
      <c r="H35" s="81">
        <v>1</v>
      </c>
      <c r="I35" s="81" t="str">
        <f ca="1">IF(J35 = "", "", INDEX('Budget Dashboard'!$J:$J, MATCH(expense_header_row + Calculations!H35, 'Budget Dashboard'!$X:$X, 0)))</f>
        <v>Insurance</v>
      </c>
      <c r="J35" s="84">
        <f ca="1">IF(H35 &gt; COUNTA(Expenses[]), "",
IF(INDEX('Budget Dashboard'!$K:$K, MATCH(expense_header_row + Calculations!H35, 'Budget Dashboard'!$X:$X, 0)) = 0, "",
INDEX('Budget Dashboard'!$K:$K, MATCH(expense_header_row + Calculations!H35, 'Budget Dashboard'!$X:$X, 0))))</f>
        <v>2390</v>
      </c>
      <c r="L35" s="84">
        <v>1</v>
      </c>
      <c r="M35" s="81" t="str">
        <f ca="1">IF(N35 = "", "", INDEX('Budget Dashboard'!$J:$J, MATCH(savings_header_row + Calculations!L35, 'Budget Dashboard'!$X:$X, 0)))</f>
        <v>Emergency Fund</v>
      </c>
      <c r="N35" s="84">
        <f ca="1">IF(L35 &gt; COUNTA(Savings[]), "",
IF(INDEX('Budget Dashboard'!$K:$K, MATCH(savings_header_row + Calculations!L35, 'Budget Dashboard'!$X:$X, 0)) = 0, "",
INDEX('Budget Dashboard'!$K:$K, MATCH(savings_header_row + Calculations!L35, 'Budget Dashboard'!$X:$X, 0))))</f>
        <v>1800</v>
      </c>
    </row>
    <row r="36" spans="4:14" x14ac:dyDescent="0.25">
      <c r="D36" s="81">
        <v>2</v>
      </c>
      <c r="E36" s="81" t="str">
        <f ca="1">IF(F36 = "", "", INDEX('Budget Dashboard'!$J:$J, MATCH(income_header_row + Calculations!D36, 'Budget Dashboard'!$X:$X, 0)))</f>
        <v>Side Hustle (Net)</v>
      </c>
      <c r="F36" s="84">
        <f ca="1">IF(D36 &gt; COUNTA(Income[]), "",
IF(INDEX('Budget Dashboard'!$K:$K, MATCH(income_header_row + Calculations!D36, 'Budget Dashboard'!$X:$X, 0)) = 0, "",
INDEX('Budget Dashboard'!$K:$K, MATCH(income_header_row + Calculations!D36, 'Budget Dashboard'!$X:$X, 0))))</f>
        <v>1500</v>
      </c>
      <c r="H36" s="81">
        <v>2</v>
      </c>
      <c r="I36" s="81" t="str">
        <f ca="1">IF(J36 = "", "", INDEX('Budget Dashboard'!$J:$J, MATCH(expense_header_row + Calculations!H36, 'Budget Dashboard'!$X:$X, 0)))</f>
        <v>Housing</v>
      </c>
      <c r="J36" s="84">
        <f ca="1">IF(H36 &gt; COUNTA(Expenses[]), "",
IF(INDEX('Budget Dashboard'!$K:$K, MATCH(expense_header_row + Calculations!H36, 'Budget Dashboard'!$X:$X, 0)) = 0, "",
INDEX('Budget Dashboard'!$K:$K, MATCH(expense_header_row + Calculations!H36, 'Budget Dashboard'!$X:$X, 0))))</f>
        <v>1360</v>
      </c>
      <c r="L36" s="84">
        <v>2</v>
      </c>
      <c r="M36" s="81" t="str">
        <f ca="1">IF(N36 = "", "", INDEX('Budget Dashboard'!$J:$J, MATCH(savings_header_row + Calculations!L36, 'Budget Dashboard'!$X:$X, 0)))</f>
        <v>Stock Portfolio</v>
      </c>
      <c r="N36" s="84">
        <f ca="1">IF(L36 &gt; COUNTA(Savings[]), "",
IF(INDEX('Budget Dashboard'!$K:$K, MATCH(savings_header_row + Calculations!L36, 'Budget Dashboard'!$X:$X, 0)) = 0, "",
INDEX('Budget Dashboard'!$K:$K, MATCH(savings_header_row + Calculations!L36, 'Budget Dashboard'!$X:$X, 0))))</f>
        <v>500</v>
      </c>
    </row>
    <row r="37" spans="4:14" x14ac:dyDescent="0.25">
      <c r="D37" s="81">
        <v>3</v>
      </c>
      <c r="E37" s="81" t="str">
        <f ca="1">IF(F37 = "", "", INDEX('Budget Dashboard'!$J:$J, MATCH(income_header_row + Calculations!D37, 'Budget Dashboard'!$X:$X, 0)))</f>
        <v>Dividends</v>
      </c>
      <c r="F37" s="84">
        <f ca="1">IF(D37 &gt; COUNTA(Income[]), "",
IF(INDEX('Budget Dashboard'!$K:$K, MATCH(income_header_row + Calculations!D37, 'Budget Dashboard'!$X:$X, 0)) = 0, "",
INDEX('Budget Dashboard'!$K:$K, MATCH(income_header_row + Calculations!D37, 'Budget Dashboard'!$X:$X, 0))))</f>
        <v>200</v>
      </c>
      <c r="H37" s="81">
        <v>3</v>
      </c>
      <c r="I37" s="81" t="str">
        <f ca="1">IF(J37 = "", "", INDEX('Budget Dashboard'!$J:$J, MATCH(expense_header_row + Calculations!H37, 'Budget Dashboard'!$X:$X, 0)))</f>
        <v>Utilities</v>
      </c>
      <c r="J37" s="84">
        <f ca="1">IF(H37 &gt; COUNTA(Expenses[]), "",
IF(INDEX('Budget Dashboard'!$K:$K, MATCH(expense_header_row + Calculations!H37, 'Budget Dashboard'!$X:$X, 0)) = 0, "",
INDEX('Budget Dashboard'!$K:$K, MATCH(expense_header_row + Calculations!H37, 'Budget Dashboard'!$X:$X, 0))))</f>
        <v>740</v>
      </c>
      <c r="L37" s="84">
        <v>3</v>
      </c>
      <c r="M37" s="81" t="str">
        <f ca="1">IF(N37 = "", "", INDEX('Budget Dashboard'!$J:$J, MATCH(savings_header_row + Calculations!L37, 'Budget Dashboard'!$X:$X, 0)))</f>
        <v>Retirement Account</v>
      </c>
      <c r="N37" s="84">
        <f ca="1">IF(L37 &gt; COUNTA(Savings[]), "",
IF(INDEX('Budget Dashboard'!$K:$K, MATCH(savings_header_row + Calculations!L37, 'Budget Dashboard'!$X:$X, 0)) = 0, "",
INDEX('Budget Dashboard'!$K:$K, MATCH(savings_header_row + Calculations!L37, 'Budget Dashboard'!$X:$X, 0))))</f>
        <v>390</v>
      </c>
    </row>
    <row r="38" spans="4:14" x14ac:dyDescent="0.25">
      <c r="D38" s="81">
        <v>4</v>
      </c>
      <c r="E38" s="81" t="str">
        <f>IF(F38 = "", "", INDEX('Budget Dashboard'!$J:$J, MATCH(income_header_row + Calculations!D38, 'Budget Dashboard'!$X:$X, 0)))</f>
        <v/>
      </c>
      <c r="F38" s="84" t="str">
        <f>IF(D38 &gt; COUNTA(Income[]), "",
IF(INDEX('Budget Dashboard'!$K:$K, MATCH(income_header_row + Calculations!D38, 'Budget Dashboard'!$X:$X, 0)) = 0, "",
INDEX('Budget Dashboard'!$K:$K, MATCH(income_header_row + Calculations!D38, 'Budget Dashboard'!$X:$X, 0))))</f>
        <v/>
      </c>
      <c r="H38" s="81">
        <v>4</v>
      </c>
      <c r="I38" s="81" t="str">
        <f ca="1">IF(J38 = "", "", INDEX('Budget Dashboard'!$J:$J, MATCH(expense_header_row + Calculations!H38, 'Budget Dashboard'!$X:$X, 0)))</f>
        <v>Transportation</v>
      </c>
      <c r="J38" s="84">
        <f ca="1">IF(H38 &gt; COUNTA(Expenses[]), "",
IF(INDEX('Budget Dashboard'!$K:$K, MATCH(expense_header_row + Calculations!H38, 'Budget Dashboard'!$X:$X, 0)) = 0, "",
INDEX('Budget Dashboard'!$K:$K, MATCH(expense_header_row + Calculations!H38, 'Budget Dashboard'!$X:$X, 0))))</f>
        <v>640</v>
      </c>
      <c r="L38" s="84">
        <v>4</v>
      </c>
      <c r="M38" s="81" t="str">
        <f ca="1">IF(N38 = "", "", INDEX('Budget Dashboard'!$J:$J, MATCH(savings_header_row + Calculations!L38, 'Budget Dashboard'!$X:$X, 0)))</f>
        <v>Other Savings</v>
      </c>
      <c r="N38" s="84">
        <f ca="1">IF(L38 &gt; COUNTA(Savings[]), "",
IF(INDEX('Budget Dashboard'!$K:$K, MATCH(savings_header_row + Calculations!L38, 'Budget Dashboard'!$X:$X, 0)) = 0, "",
INDEX('Budget Dashboard'!$K:$K, MATCH(savings_header_row + Calculations!L38, 'Budget Dashboard'!$X:$X, 0))))</f>
        <v>110</v>
      </c>
    </row>
    <row r="39" spans="4:14" ht="15.75" thickBot="1" x14ac:dyDescent="0.3">
      <c r="D39" s="81">
        <v>5</v>
      </c>
      <c r="E39" s="81" t="str">
        <f>IF(F39 = "", "", INDEX('Budget Dashboard'!$J:$J, MATCH(income_header_row + Calculations!D39, 'Budget Dashboard'!$X:$X, 0)))</f>
        <v/>
      </c>
      <c r="F39" s="84" t="str">
        <f>IF(D39 &gt; COUNTA(Income[]), "",
IF(INDEX('Budget Dashboard'!$K:$K, MATCH(income_header_row + Calculations!D39, 'Budget Dashboard'!$X:$X, 0)) = 0, "",
INDEX('Budget Dashboard'!$K:$K, MATCH(income_header_row + Calculations!D39, 'Budget Dashboard'!$X:$X, 0))))</f>
        <v/>
      </c>
      <c r="H39" s="81">
        <v>5</v>
      </c>
      <c r="I39" s="81" t="str">
        <f ca="1">IF(J39 = "", "", INDEX('Budget Dashboard'!$J:$J, MATCH(expense_header_row + Calculations!H39, 'Budget Dashboard'!$X:$X, 0)))</f>
        <v>Groceries</v>
      </c>
      <c r="J39" s="84">
        <f ca="1">IF(H39 &gt; COUNTA(Expenses[]), "",
IF(INDEX('Budget Dashboard'!$K:$K, MATCH(expense_header_row + Calculations!H39, 'Budget Dashboard'!$X:$X, 0)) = 0, "",
INDEX('Budget Dashboard'!$K:$K, MATCH(expense_header_row + Calculations!H39, 'Budget Dashboard'!$X:$X, 0))))</f>
        <v>580</v>
      </c>
      <c r="L39" s="84">
        <v>5</v>
      </c>
      <c r="M39" s="81" t="str">
        <f ca="1">IF(N39 = "", "", INDEX('Budget Dashboard'!$J:$J, MATCH(savings_header_row + Calculations!L39, 'Budget Dashboard'!$X:$X, 0)))</f>
        <v/>
      </c>
      <c r="N39" s="84" t="str">
        <f ca="1">IF(L39 &gt; COUNTA(Savings[]), "",
IF(INDEX('Budget Dashboard'!$K:$K, MATCH(savings_header_row + Calculations!L39, 'Budget Dashboard'!$X:$X, 0)) = 0, "",
INDEX('Budget Dashboard'!$K:$K, MATCH(savings_header_row + Calculations!L39, 'Budget Dashboard'!$X:$X, 0))))</f>
        <v/>
      </c>
    </row>
    <row r="40" spans="4:14" ht="15.75" thickBot="1" x14ac:dyDescent="0.3">
      <c r="D40" s="82">
        <v>6</v>
      </c>
      <c r="E40" s="82" t="str">
        <f ca="1">IF(F40 = "", "", "Others")</f>
        <v/>
      </c>
      <c r="F40" s="85" t="str">
        <f ca="1">IF(F41-SUM(F35:F39) = 0, "", F41-SUM(F35:F39))</f>
        <v/>
      </c>
      <c r="H40" s="82">
        <v>6</v>
      </c>
      <c r="I40" s="82" t="str">
        <f ca="1">IF(J40 = "", "", "Others")</f>
        <v>Others</v>
      </c>
      <c r="J40" s="85">
        <f ca="1">IF(J41-SUM(J35:J39) = 0, "", J41-SUM(J35:J39))</f>
        <v>1070</v>
      </c>
      <c r="L40" s="85">
        <v>6</v>
      </c>
      <c r="M40" s="82" t="str">
        <f ca="1">IF(N40 = "", "", "Others")</f>
        <v/>
      </c>
      <c r="N40" s="85" t="str">
        <f ca="1">IF(N41-SUM(N35:N39) = 0, "", N41-SUM(N35:N39))</f>
        <v/>
      </c>
    </row>
    <row r="41" spans="4:14" ht="15.75" thickTop="1" x14ac:dyDescent="0.25">
      <c r="D41" s="81"/>
      <c r="E41" s="83" t="s">
        <v>8</v>
      </c>
      <c r="F41" s="86">
        <f ca="1">INDEX('Budget Dashboard'!$K:$K, MATCH(income_total_row, 'Budget Dashboard'!$X:$X, 0))</f>
        <v>8700</v>
      </c>
      <c r="H41" s="81"/>
      <c r="I41" s="83" t="s">
        <v>8</v>
      </c>
      <c r="J41" s="86">
        <f ca="1">INDEX('Budget Dashboard'!$K:$K, MATCH(expenses_total_row, 'Budget Dashboard'!$X:$X, 0))</f>
        <v>6780</v>
      </c>
      <c r="L41" s="84"/>
      <c r="M41" s="83" t="s">
        <v>8</v>
      </c>
      <c r="N41" s="86">
        <f ca="1">INDEX('Budget Dashboard'!$K:$K, MATCH(savings_total_row, 'Budget Dashboard'!$X:$X, 0))</f>
        <v>2800</v>
      </c>
    </row>
    <row r="47" spans="4:14" x14ac:dyDescent="0.25">
      <c r="D47" s="79" t="s">
        <v>92</v>
      </c>
      <c r="E47" s="78"/>
      <c r="F47" s="78"/>
      <c r="G47" s="78"/>
      <c r="H47" s="78"/>
      <c r="I47" s="78"/>
      <c r="J47" s="106"/>
      <c r="K47" s="106"/>
      <c r="L47" s="106"/>
      <c r="M47" s="78"/>
      <c r="N47" s="78"/>
    </row>
    <row r="49" spans="4:18" x14ac:dyDescent="0.25">
      <c r="D49" s="102" t="s">
        <v>105</v>
      </c>
      <c r="E49" s="103" t="b">
        <v>1</v>
      </c>
    </row>
    <row r="50" spans="4:18" x14ac:dyDescent="0.25">
      <c r="D50" s="102" t="s">
        <v>106</v>
      </c>
      <c r="E50" s="103" t="b">
        <v>1</v>
      </c>
    </row>
    <row r="51" spans="4:18" x14ac:dyDescent="0.25">
      <c r="D51" s="102" t="s">
        <v>107</v>
      </c>
      <c r="E51" s="103" t="b">
        <v>1</v>
      </c>
    </row>
    <row r="52" spans="4:18" x14ac:dyDescent="0.25">
      <c r="D52" s="102" t="s">
        <v>97</v>
      </c>
      <c r="E52" s="103" t="b">
        <v>1</v>
      </c>
    </row>
    <row r="53" spans="4:18" x14ac:dyDescent="0.25">
      <c r="M53" s="110" t="s">
        <v>101</v>
      </c>
      <c r="N53" s="110"/>
      <c r="O53" s="110"/>
      <c r="P53" s="122" t="s">
        <v>101</v>
      </c>
      <c r="Q53" s="122"/>
      <c r="R53" s="122"/>
    </row>
    <row r="54" spans="4:18" s="80" customFormat="1" x14ac:dyDescent="0.25">
      <c r="D54" s="80" t="s">
        <v>93</v>
      </c>
      <c r="E54" s="80" t="s">
        <v>33</v>
      </c>
      <c r="F54" s="80" t="s">
        <v>94</v>
      </c>
      <c r="G54" s="80" t="s">
        <v>95</v>
      </c>
      <c r="H54" s="80" t="s">
        <v>96</v>
      </c>
      <c r="I54" s="80" t="s">
        <v>97</v>
      </c>
      <c r="J54" s="107" t="s">
        <v>98</v>
      </c>
      <c r="K54" s="107" t="s">
        <v>99</v>
      </c>
      <c r="L54" s="107" t="s">
        <v>100</v>
      </c>
      <c r="M54" s="80" t="s">
        <v>102</v>
      </c>
      <c r="N54" s="80" t="s">
        <v>103</v>
      </c>
      <c r="O54" s="80" t="s">
        <v>104</v>
      </c>
      <c r="P54" s="80" t="s">
        <v>102</v>
      </c>
      <c r="Q54" s="80" t="s">
        <v>103</v>
      </c>
      <c r="R54" s="80" t="s">
        <v>104</v>
      </c>
    </row>
    <row r="55" spans="4:18" x14ac:dyDescent="0.25">
      <c r="D55" s="119">
        <f>DATE(selected_year, 1, 1)</f>
        <v>44562</v>
      </c>
      <c r="E55" s="99" t="s">
        <v>6</v>
      </c>
      <c r="F55" s="99">
        <f>MONTH(D55)</f>
        <v>1</v>
      </c>
      <c r="G55" s="99">
        <f>IF(selected_period = "Total Year", 1, IF(selected_period = cc_month_number, 1, 0))</f>
        <v>1</v>
      </c>
      <c r="H55" s="99">
        <f>1*$E$49</f>
        <v>1</v>
      </c>
      <c r="I55" s="99">
        <f>1*$E$52</f>
        <v>1</v>
      </c>
      <c r="J55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4650</v>
      </c>
      <c r="K55" s="101">
        <f ca="1">INDEX('Budget Planning'!$E:$BU,income_total_row,  MATCH(DATE(selected_year, cc_month_number, 1),'Budget Planning'!$E$9:$BU$9, 0))</f>
        <v>3240</v>
      </c>
      <c r="L55" s="101">
        <f ca="1">cc_budget-cc_tracked</f>
        <v>-1410</v>
      </c>
      <c r="M55" s="101">
        <f ca="1">MIN(cc_tracked, cc_budget) * cc_in_focus * cc_show_type</f>
        <v>3240</v>
      </c>
      <c r="N55" s="101">
        <f ca="1">IF(cc_delta&gt;0, cc_delta, 0)* cc_in_focus * cc_show_remaining_budget</f>
        <v>0</v>
      </c>
      <c r="O55" s="101">
        <f ca="1">IF(cc_delta &lt; 0, ABS(cc_delta), 0)* cc_in_focus * cc_show_type</f>
        <v>1410</v>
      </c>
      <c r="P55" s="101">
        <f ca="1">MIN(cc_tracked, cc_budget) * NOT(cc_in_focus) * cc_show_type</f>
        <v>0</v>
      </c>
      <c r="Q55" s="101">
        <f ca="1">IF(cc_delta&gt;0, cc_delta, 0)* NOT(cc_in_focus) * cc_show_remaining_budget</f>
        <v>0</v>
      </c>
      <c r="R55" s="101">
        <f ca="1">IF(cc_delta &lt; 0, ABS(cc_delta), 0)* NOT(cc_in_focus) * cc_show_type</f>
        <v>0</v>
      </c>
    </row>
    <row r="56" spans="4:18" x14ac:dyDescent="0.25">
      <c r="D56" s="120"/>
      <c r="E56" s="99" t="s">
        <v>13</v>
      </c>
      <c r="F56" s="99">
        <f>MONTH(D55)</f>
        <v>1</v>
      </c>
      <c r="G56" s="99">
        <f>IF(selected_period = "Total Year", 1, IF(selected_period = cc_month_number, 1, 0))</f>
        <v>1</v>
      </c>
      <c r="H56" s="99">
        <f>1*$E$50</f>
        <v>1</v>
      </c>
      <c r="I56" s="99">
        <f t="shared" ref="I56:I57" si="0">1*$E$52</f>
        <v>1</v>
      </c>
      <c r="J56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3390</v>
      </c>
      <c r="K56" s="101">
        <f ca="1">INDEX('Budget Planning'!$E:$BU,expenses_total_row,  MATCH(DATE(selected_year, cc_month_number, 1),'Budget Planning'!$E$9:$BU$9, 0))</f>
        <v>2000</v>
      </c>
      <c r="L56" s="101">
        <f ca="1">cc_budget-cc_tracked</f>
        <v>-1390</v>
      </c>
      <c r="M56" s="101">
        <f ca="1">MIN(cc_tracked, cc_budget) * cc_in_focus * cc_show_type</f>
        <v>2000</v>
      </c>
      <c r="N56" s="101">
        <f ca="1">IF(cc_delta&gt;0, cc_delta, 0)* cc_in_focus * cc_show_remaining_budget</f>
        <v>0</v>
      </c>
      <c r="O56" s="101">
        <f ca="1">IF(cc_delta &lt; 0, ABS(cc_delta), 0)* cc_in_focus * cc_show_type</f>
        <v>1390</v>
      </c>
      <c r="P56" s="101">
        <f ca="1">MIN(cc_tracked, cc_budget) * NOT(cc_in_focus) * cc_show_type</f>
        <v>0</v>
      </c>
      <c r="Q56" s="101">
        <f ca="1">IF(cc_delta&gt;0, cc_delta, 0)* NOT(cc_in_focus) * cc_show_remaining_budget</f>
        <v>0</v>
      </c>
      <c r="R56" s="101">
        <f ca="1">IF(cc_delta &lt; 0, ABS(cc_delta), 0)* NOT(cc_in_focus) * cc_show_type</f>
        <v>0</v>
      </c>
    </row>
    <row r="57" spans="4:18" x14ac:dyDescent="0.25">
      <c r="D57" s="120"/>
      <c r="E57" s="99" t="s">
        <v>18</v>
      </c>
      <c r="F57" s="99">
        <f>MONTH(D55)</f>
        <v>1</v>
      </c>
      <c r="G57" s="99">
        <f>IF(selected_period = "Total Year", 1, IF(selected_period = cc_month_number, 1, 0))</f>
        <v>1</v>
      </c>
      <c r="H57" s="99">
        <f>1*$E$51</f>
        <v>1</v>
      </c>
      <c r="I57" s="99">
        <f t="shared" si="0"/>
        <v>1</v>
      </c>
      <c r="J57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2160</v>
      </c>
      <c r="K57" s="101">
        <f ca="1">INDEX('Budget Planning'!$E:$BU,savings_total_row,  MATCH(DATE(selected_year, cc_month_number, 1),'Budget Planning'!$E$9:$BU$9, 0))</f>
        <v>700</v>
      </c>
      <c r="L57" s="101">
        <f ca="1">cc_budget-cc_tracked</f>
        <v>-1460</v>
      </c>
      <c r="M57" s="101">
        <f ca="1">MIN(cc_tracked, cc_budget) * cc_in_focus * cc_show_type</f>
        <v>700</v>
      </c>
      <c r="N57" s="101">
        <f ca="1">IF(cc_delta&gt;0, cc_delta, 0)* cc_in_focus * cc_show_remaining_budget</f>
        <v>0</v>
      </c>
      <c r="O57" s="101">
        <f ca="1">IF(cc_delta &lt; 0, ABS(cc_delta), 0)* cc_in_focus * cc_show_type</f>
        <v>1460</v>
      </c>
      <c r="P57" s="101">
        <f ca="1">MIN(cc_tracked, cc_budget) * NOT(cc_in_focus) * cc_show_type</f>
        <v>0</v>
      </c>
      <c r="Q57" s="101">
        <f ca="1">IF(cc_delta&gt;0, cc_delta, 0)* NOT(cc_in_focus) * cc_show_remaining_budget</f>
        <v>0</v>
      </c>
      <c r="R57" s="101">
        <f ca="1">IF(cc_delta &lt; 0, ABS(cc_delta), 0)* NOT(cc_in_focus) * cc_show_type</f>
        <v>0</v>
      </c>
    </row>
    <row r="58" spans="4:18" x14ac:dyDescent="0.25">
      <c r="D58" s="121"/>
      <c r="E58" s="100"/>
      <c r="F58" s="100"/>
      <c r="G58" s="100"/>
      <c r="H58" s="100"/>
      <c r="I58" s="100"/>
      <c r="J58" s="108"/>
      <c r="K58" s="108"/>
      <c r="L58" s="108"/>
      <c r="M58" s="100"/>
      <c r="N58" s="100"/>
      <c r="O58" s="100"/>
      <c r="P58" s="100"/>
      <c r="Q58" s="100"/>
      <c r="R58" s="100"/>
    </row>
    <row r="59" spans="4:18" x14ac:dyDescent="0.25">
      <c r="D59" s="119">
        <f>DATE(selected_year, 2, 1)</f>
        <v>44593</v>
      </c>
      <c r="E59" s="98" t="s">
        <v>6</v>
      </c>
      <c r="F59" s="99">
        <f t="shared" ref="F59" si="1">MONTH(D59)</f>
        <v>2</v>
      </c>
      <c r="G59" s="99">
        <f>IF(selected_period = "Total Year", 1, IF(selected_period = cc_month_number, 1, 0))</f>
        <v>1</v>
      </c>
      <c r="H59" s="99">
        <f t="shared" ref="H59" si="2">1*$E$49</f>
        <v>1</v>
      </c>
      <c r="I59" s="99">
        <f t="shared" ref="I59:I101" si="3">1*$E$52</f>
        <v>1</v>
      </c>
      <c r="J59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550</v>
      </c>
      <c r="K59" s="101">
        <f ca="1">INDEX('Budget Planning'!$E:$BU,income_total_row,  MATCH(DATE(selected_year, cc_month_number, 1),'Budget Planning'!$E$9:$BU$9, 0))</f>
        <v>3255</v>
      </c>
      <c r="L59" s="101">
        <f ca="1">cc_budget-cc_tracked</f>
        <v>2705</v>
      </c>
      <c r="M59" s="101">
        <f ca="1">MIN(cc_tracked, cc_budget) * cc_in_focus * cc_show_type</f>
        <v>550</v>
      </c>
      <c r="N59" s="101">
        <f ca="1">IF(cc_delta&gt;0, cc_delta, 0)* cc_in_focus * cc_show_remaining_budget</f>
        <v>2705</v>
      </c>
      <c r="O59" s="101">
        <f ca="1">IF(cc_delta &lt; 0, ABS(cc_delta), 0)* cc_in_focus * cc_show_type</f>
        <v>0</v>
      </c>
      <c r="P59" s="101">
        <f ca="1">MIN(cc_tracked, cc_budget) * NOT(cc_in_focus) * cc_show_type</f>
        <v>0</v>
      </c>
      <c r="Q59" s="101">
        <f ca="1">IF(cc_delta&gt;0, cc_delta, 0)* NOT(cc_in_focus) * cc_show_remaining_budget</f>
        <v>0</v>
      </c>
      <c r="R59" s="101">
        <f ca="1">IF(cc_delta &lt; 0, ABS(cc_delta), 0)* NOT(cc_in_focus) * cc_show_type</f>
        <v>0</v>
      </c>
    </row>
    <row r="60" spans="4:18" x14ac:dyDescent="0.25">
      <c r="D60" s="120"/>
      <c r="E60" s="99" t="s">
        <v>13</v>
      </c>
      <c r="F60" s="99">
        <f t="shared" ref="F60" si="4">MONTH(D59)</f>
        <v>2</v>
      </c>
      <c r="G60" s="99">
        <f>IF(selected_period = "Total Year", 1, IF(selected_period = cc_month_number, 1, 0))</f>
        <v>1</v>
      </c>
      <c r="H60" s="99">
        <f t="shared" ref="H60" si="5">1*$E$50</f>
        <v>1</v>
      </c>
      <c r="I60" s="99">
        <f t="shared" si="3"/>
        <v>1</v>
      </c>
      <c r="J60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1470</v>
      </c>
      <c r="K60" s="101">
        <f ca="1">INDEX('Budget Planning'!$E:$BU,expenses_total_row,  MATCH(DATE(selected_year, cc_month_number, 1),'Budget Planning'!$E$9:$BU$9, 0))</f>
        <v>2000</v>
      </c>
      <c r="L60" s="101">
        <f ca="1">cc_budget-cc_tracked</f>
        <v>530</v>
      </c>
      <c r="M60" s="101">
        <f ca="1">MIN(cc_tracked, cc_budget) * cc_in_focus * cc_show_type</f>
        <v>1470</v>
      </c>
      <c r="N60" s="101">
        <f ca="1">IF(cc_delta&gt;0, cc_delta, 0)* cc_in_focus * cc_show_remaining_budget</f>
        <v>530</v>
      </c>
      <c r="O60" s="101">
        <f ca="1">IF(cc_delta &lt; 0, ABS(cc_delta), 0)* cc_in_focus * cc_show_type</f>
        <v>0</v>
      </c>
      <c r="P60" s="101">
        <f ca="1">MIN(cc_tracked, cc_budget) * NOT(cc_in_focus) * cc_show_type</f>
        <v>0</v>
      </c>
      <c r="Q60" s="101">
        <f ca="1">IF(cc_delta&gt;0, cc_delta, 0)* NOT(cc_in_focus) * cc_show_remaining_budget</f>
        <v>0</v>
      </c>
      <c r="R60" s="101">
        <f ca="1">IF(cc_delta &lt; 0, ABS(cc_delta), 0)* NOT(cc_in_focus) * cc_show_type</f>
        <v>0</v>
      </c>
    </row>
    <row r="61" spans="4:18" x14ac:dyDescent="0.25">
      <c r="D61" s="120"/>
      <c r="E61" s="99" t="s">
        <v>18</v>
      </c>
      <c r="F61" s="99">
        <f t="shared" ref="F61" si="6">MONTH(D59)</f>
        <v>2</v>
      </c>
      <c r="G61" s="99">
        <f>IF(selected_period = "Total Year", 1, IF(selected_period = cc_month_number, 1, 0))</f>
        <v>1</v>
      </c>
      <c r="H61" s="99">
        <f t="shared" ref="H61" si="7">1*$E$51</f>
        <v>1</v>
      </c>
      <c r="I61" s="99">
        <f t="shared" si="3"/>
        <v>1</v>
      </c>
      <c r="J61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640</v>
      </c>
      <c r="K61" s="101">
        <f ca="1">INDEX('Budget Planning'!$E:$BU,savings_total_row,  MATCH(DATE(selected_year, cc_month_number, 1),'Budget Planning'!$E$9:$BU$9, 0))</f>
        <v>700</v>
      </c>
      <c r="L61" s="101">
        <f ca="1">cc_budget-cc_tracked</f>
        <v>60</v>
      </c>
      <c r="M61" s="101">
        <f ca="1">MIN(cc_tracked, cc_budget) * cc_in_focus * cc_show_type</f>
        <v>640</v>
      </c>
      <c r="N61" s="101">
        <f ca="1">IF(cc_delta&gt;0, cc_delta, 0)* cc_in_focus * cc_show_remaining_budget</f>
        <v>60</v>
      </c>
      <c r="O61" s="101">
        <f ca="1">IF(cc_delta &lt; 0, ABS(cc_delta), 0)* cc_in_focus * cc_show_type</f>
        <v>0</v>
      </c>
      <c r="P61" s="101">
        <f ca="1">MIN(cc_tracked, cc_budget) * NOT(cc_in_focus) * cc_show_type</f>
        <v>0</v>
      </c>
      <c r="Q61" s="101">
        <f ca="1">IF(cc_delta&gt;0, cc_delta, 0)* NOT(cc_in_focus) * cc_show_remaining_budget</f>
        <v>0</v>
      </c>
      <c r="R61" s="101">
        <f ca="1">IF(cc_delta &lt; 0, ABS(cc_delta), 0)* NOT(cc_in_focus) * cc_show_type</f>
        <v>0</v>
      </c>
    </row>
    <row r="62" spans="4:18" x14ac:dyDescent="0.25">
      <c r="D62" s="121"/>
      <c r="E62" s="100"/>
      <c r="F62" s="100"/>
      <c r="G62" s="100"/>
      <c r="H62" s="100"/>
      <c r="I62" s="100"/>
      <c r="J62" s="108"/>
      <c r="K62" s="108"/>
      <c r="L62" s="108"/>
      <c r="M62" s="100"/>
      <c r="N62" s="100"/>
      <c r="O62" s="100"/>
      <c r="P62" s="100"/>
      <c r="Q62" s="100"/>
      <c r="R62" s="100"/>
    </row>
    <row r="63" spans="4:18" x14ac:dyDescent="0.25">
      <c r="D63" s="119">
        <f>DATE(selected_year, 3, 1)</f>
        <v>44621</v>
      </c>
      <c r="E63" s="98" t="s">
        <v>6</v>
      </c>
      <c r="F63" s="99">
        <f t="shared" ref="F63" si="8">MONTH(D63)</f>
        <v>3</v>
      </c>
      <c r="G63" s="99">
        <f>IF(selected_period = "Total Year", 1, IF(selected_period = cc_month_number, 1, 0))</f>
        <v>1</v>
      </c>
      <c r="H63" s="99">
        <f t="shared" ref="H63" si="9">1*$E$49</f>
        <v>1</v>
      </c>
      <c r="I63" s="99">
        <f t="shared" ref="I63" si="10">1*$E$52</f>
        <v>1</v>
      </c>
      <c r="J63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3500</v>
      </c>
      <c r="K63" s="101">
        <f ca="1">INDEX('Budget Planning'!$E:$BU,income_total_row,  MATCH(DATE(selected_year, cc_month_number, 1),'Budget Planning'!$E$9:$BU$9, 0))</f>
        <v>3240</v>
      </c>
      <c r="L63" s="101">
        <f ca="1">cc_budget-cc_tracked</f>
        <v>-260</v>
      </c>
      <c r="M63" s="101">
        <f ca="1">MIN(cc_tracked, cc_budget) * cc_in_focus * cc_show_type</f>
        <v>3240</v>
      </c>
      <c r="N63" s="101">
        <f ca="1">IF(cc_delta&gt;0, cc_delta, 0)* cc_in_focus * cc_show_remaining_budget</f>
        <v>0</v>
      </c>
      <c r="O63" s="101">
        <f ca="1">IF(cc_delta &lt; 0, ABS(cc_delta), 0)* cc_in_focus * cc_show_type</f>
        <v>260</v>
      </c>
      <c r="P63" s="101">
        <f ca="1">MIN(cc_tracked, cc_budget) * NOT(cc_in_focus) * cc_show_type</f>
        <v>0</v>
      </c>
      <c r="Q63" s="101">
        <f ca="1">IF(cc_delta&gt;0, cc_delta, 0)* NOT(cc_in_focus) * cc_show_remaining_budget</f>
        <v>0</v>
      </c>
      <c r="R63" s="101">
        <f ca="1">IF(cc_delta &lt; 0, ABS(cc_delta), 0)* NOT(cc_in_focus) * cc_show_type</f>
        <v>0</v>
      </c>
    </row>
    <row r="64" spans="4:18" x14ac:dyDescent="0.25">
      <c r="D64" s="120"/>
      <c r="E64" s="99" t="s">
        <v>13</v>
      </c>
      <c r="F64" s="99">
        <f t="shared" ref="F64" si="11">MONTH(D63)</f>
        <v>3</v>
      </c>
      <c r="G64" s="99">
        <f>IF(selected_period = "Total Year", 1, IF(selected_period = cc_month_number, 1, 0))</f>
        <v>1</v>
      </c>
      <c r="H64" s="99">
        <f t="shared" ref="H64" si="12">1*$E$50</f>
        <v>1</v>
      </c>
      <c r="I64" s="99">
        <f t="shared" si="3"/>
        <v>1</v>
      </c>
      <c r="J64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1920</v>
      </c>
      <c r="K64" s="101">
        <f ca="1">INDEX('Budget Planning'!$E:$BU,expenses_total_row,  MATCH(DATE(selected_year, cc_month_number, 1),'Budget Planning'!$E$9:$BU$9, 0))</f>
        <v>2000</v>
      </c>
      <c r="L64" s="101">
        <f ca="1">cc_budget-cc_tracked</f>
        <v>80</v>
      </c>
      <c r="M64" s="101">
        <f ca="1">MIN(cc_tracked, cc_budget) * cc_in_focus * cc_show_type</f>
        <v>1920</v>
      </c>
      <c r="N64" s="101">
        <f ca="1">IF(cc_delta&gt;0, cc_delta, 0)* cc_in_focus * cc_show_remaining_budget</f>
        <v>80</v>
      </c>
      <c r="O64" s="101">
        <f ca="1">IF(cc_delta &lt; 0, ABS(cc_delta), 0)* cc_in_focus * cc_show_type</f>
        <v>0</v>
      </c>
      <c r="P64" s="101">
        <f ca="1">MIN(cc_tracked, cc_budget) * NOT(cc_in_focus) * cc_show_type</f>
        <v>0</v>
      </c>
      <c r="Q64" s="101">
        <f ca="1">IF(cc_delta&gt;0, cc_delta, 0)* NOT(cc_in_focus) * cc_show_remaining_budget</f>
        <v>0</v>
      </c>
      <c r="R64" s="101">
        <f ca="1">IF(cc_delta &lt; 0, ABS(cc_delta), 0)* NOT(cc_in_focus) * cc_show_type</f>
        <v>0</v>
      </c>
    </row>
    <row r="65" spans="4:18" x14ac:dyDescent="0.25">
      <c r="D65" s="120"/>
      <c r="E65" s="99" t="s">
        <v>18</v>
      </c>
      <c r="F65" s="99">
        <f t="shared" ref="F65" si="13">MONTH(D63)</f>
        <v>3</v>
      </c>
      <c r="G65" s="99">
        <f>IF(selected_period = "Total Year", 1, IF(selected_period = cc_month_number, 1, 0))</f>
        <v>1</v>
      </c>
      <c r="H65" s="99">
        <f t="shared" ref="H65" si="14">1*$E$51</f>
        <v>1</v>
      </c>
      <c r="I65" s="99">
        <f t="shared" si="3"/>
        <v>1</v>
      </c>
      <c r="J65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65" s="101">
        <f ca="1">INDEX('Budget Planning'!$E:$BU,savings_total_row,  MATCH(DATE(selected_year, cc_month_number, 1),'Budget Planning'!$E$9:$BU$9, 0))</f>
        <v>700</v>
      </c>
      <c r="L65" s="101">
        <f ca="1">cc_budget-cc_tracked</f>
        <v>700</v>
      </c>
      <c r="M65" s="101">
        <f ca="1">MIN(cc_tracked, cc_budget) * cc_in_focus * cc_show_type</f>
        <v>0</v>
      </c>
      <c r="N65" s="101">
        <f ca="1">IF(cc_delta&gt;0, cc_delta, 0)* cc_in_focus * cc_show_remaining_budget</f>
        <v>700</v>
      </c>
      <c r="O65" s="101">
        <f ca="1">IF(cc_delta &lt; 0, ABS(cc_delta), 0)* cc_in_focus * cc_show_type</f>
        <v>0</v>
      </c>
      <c r="P65" s="101">
        <f ca="1">MIN(cc_tracked, cc_budget) * NOT(cc_in_focus) * cc_show_type</f>
        <v>0</v>
      </c>
      <c r="Q65" s="101">
        <f ca="1">IF(cc_delta&gt;0, cc_delta, 0)* NOT(cc_in_focus) * cc_show_remaining_budget</f>
        <v>0</v>
      </c>
      <c r="R65" s="101">
        <f ca="1">IF(cc_delta &lt; 0, ABS(cc_delta), 0)* NOT(cc_in_focus) * cc_show_type</f>
        <v>0</v>
      </c>
    </row>
    <row r="66" spans="4:18" x14ac:dyDescent="0.25">
      <c r="D66" s="121"/>
      <c r="E66" s="100"/>
      <c r="F66" s="100"/>
      <c r="G66" s="100"/>
      <c r="H66" s="100"/>
      <c r="I66" s="100"/>
      <c r="J66" s="108"/>
      <c r="K66" s="108"/>
      <c r="L66" s="108"/>
      <c r="M66" s="100"/>
      <c r="N66" s="100"/>
      <c r="O66" s="100"/>
      <c r="P66" s="100"/>
      <c r="Q66" s="100"/>
      <c r="R66" s="100"/>
    </row>
    <row r="67" spans="4:18" x14ac:dyDescent="0.25">
      <c r="D67" s="119">
        <f>DATE(selected_year, 4, 1)</f>
        <v>44652</v>
      </c>
      <c r="E67" s="98" t="s">
        <v>6</v>
      </c>
      <c r="F67" s="99">
        <f t="shared" ref="F67" si="15">MONTH(D67)</f>
        <v>4</v>
      </c>
      <c r="G67" s="99">
        <f>IF(selected_period = "Total Year", 1, IF(selected_period = cc_month_number, 1, 0))</f>
        <v>1</v>
      </c>
      <c r="H67" s="99">
        <f t="shared" ref="H67" si="16">1*$E$49</f>
        <v>1</v>
      </c>
      <c r="I67" s="99">
        <f t="shared" ref="I67" si="17">1*$E$52</f>
        <v>1</v>
      </c>
      <c r="J67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67" s="101">
        <f ca="1">INDEX('Budget Planning'!$E:$BU,income_total_row,  MATCH(DATE(selected_year, cc_month_number, 1),'Budget Planning'!$E$9:$BU$9, 0))</f>
        <v>3265</v>
      </c>
      <c r="L67" s="101">
        <f ca="1">cc_budget-cc_tracked</f>
        <v>3265</v>
      </c>
      <c r="M67" s="101">
        <f ca="1">MIN(cc_tracked, cc_budget) * cc_in_focus * cc_show_type</f>
        <v>0</v>
      </c>
      <c r="N67" s="101">
        <f ca="1">IF(cc_delta&gt;0, cc_delta, 0)* cc_in_focus * cc_show_remaining_budget</f>
        <v>3265</v>
      </c>
      <c r="O67" s="101">
        <f ca="1">IF(cc_delta &lt; 0, ABS(cc_delta), 0)* cc_in_focus * cc_show_type</f>
        <v>0</v>
      </c>
      <c r="P67" s="101">
        <f ca="1">MIN(cc_tracked, cc_budget) * NOT(cc_in_focus) * cc_show_type</f>
        <v>0</v>
      </c>
      <c r="Q67" s="101">
        <f ca="1">IF(cc_delta&gt;0, cc_delta, 0)* NOT(cc_in_focus) * cc_show_remaining_budget</f>
        <v>0</v>
      </c>
      <c r="R67" s="101">
        <f ca="1">IF(cc_delta &lt; 0, ABS(cc_delta), 0)* NOT(cc_in_focus) * cc_show_type</f>
        <v>0</v>
      </c>
    </row>
    <row r="68" spans="4:18" x14ac:dyDescent="0.25">
      <c r="D68" s="120"/>
      <c r="E68" s="99" t="s">
        <v>13</v>
      </c>
      <c r="F68" s="99">
        <f t="shared" ref="F68" si="18">MONTH(D67)</f>
        <v>4</v>
      </c>
      <c r="G68" s="99">
        <f>IF(selected_period = "Total Year", 1, IF(selected_period = cc_month_number, 1, 0))</f>
        <v>1</v>
      </c>
      <c r="H68" s="99">
        <f t="shared" ref="H68" si="19">1*$E$50</f>
        <v>1</v>
      </c>
      <c r="I68" s="99">
        <f t="shared" si="3"/>
        <v>1</v>
      </c>
      <c r="J68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68" s="101">
        <f ca="1">INDEX('Budget Planning'!$E:$BU,expenses_total_row,  MATCH(DATE(selected_year, cc_month_number, 1),'Budget Planning'!$E$9:$BU$9, 0))</f>
        <v>2000</v>
      </c>
      <c r="L68" s="101">
        <f ca="1">cc_budget-cc_tracked</f>
        <v>2000</v>
      </c>
      <c r="M68" s="101">
        <f ca="1">MIN(cc_tracked, cc_budget) * cc_in_focus * cc_show_type</f>
        <v>0</v>
      </c>
      <c r="N68" s="101">
        <f ca="1">IF(cc_delta&gt;0, cc_delta, 0)* cc_in_focus * cc_show_remaining_budget</f>
        <v>2000</v>
      </c>
      <c r="O68" s="101">
        <f ca="1">IF(cc_delta &lt; 0, ABS(cc_delta), 0)* cc_in_focus * cc_show_type</f>
        <v>0</v>
      </c>
      <c r="P68" s="101">
        <f ca="1">MIN(cc_tracked, cc_budget) * NOT(cc_in_focus) * cc_show_type</f>
        <v>0</v>
      </c>
      <c r="Q68" s="101">
        <f ca="1">IF(cc_delta&gt;0, cc_delta, 0)* NOT(cc_in_focus) * cc_show_remaining_budget</f>
        <v>0</v>
      </c>
      <c r="R68" s="101">
        <f ca="1">IF(cc_delta &lt; 0, ABS(cc_delta), 0)* NOT(cc_in_focus) * cc_show_type</f>
        <v>0</v>
      </c>
    </row>
    <row r="69" spans="4:18" x14ac:dyDescent="0.25">
      <c r="D69" s="120"/>
      <c r="E69" s="99" t="s">
        <v>18</v>
      </c>
      <c r="F69" s="99">
        <f t="shared" ref="F69" si="20">MONTH(D67)</f>
        <v>4</v>
      </c>
      <c r="G69" s="99">
        <f>IF(selected_period = "Total Year", 1, IF(selected_period = cc_month_number, 1, 0))</f>
        <v>1</v>
      </c>
      <c r="H69" s="99">
        <f t="shared" ref="H69" si="21">1*$E$51</f>
        <v>1</v>
      </c>
      <c r="I69" s="99">
        <f t="shared" si="3"/>
        <v>1</v>
      </c>
      <c r="J69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69" s="101">
        <f ca="1">INDEX('Budget Planning'!$E:$BU,savings_total_row,  MATCH(DATE(selected_year, cc_month_number, 1),'Budget Planning'!$E$9:$BU$9, 0))</f>
        <v>700</v>
      </c>
      <c r="L69" s="101">
        <f ca="1">cc_budget-cc_tracked</f>
        <v>700</v>
      </c>
      <c r="M69" s="101">
        <f ca="1">MIN(cc_tracked, cc_budget) * cc_in_focus * cc_show_type</f>
        <v>0</v>
      </c>
      <c r="N69" s="101">
        <f ca="1">IF(cc_delta&gt;0, cc_delta, 0)* cc_in_focus * cc_show_remaining_budget</f>
        <v>700</v>
      </c>
      <c r="O69" s="101">
        <f ca="1">IF(cc_delta &lt; 0, ABS(cc_delta), 0)* cc_in_focus * cc_show_type</f>
        <v>0</v>
      </c>
      <c r="P69" s="101">
        <f ca="1">MIN(cc_tracked, cc_budget) * NOT(cc_in_focus) * cc_show_type</f>
        <v>0</v>
      </c>
      <c r="Q69" s="101">
        <f ca="1">IF(cc_delta&gt;0, cc_delta, 0)* NOT(cc_in_focus) * cc_show_remaining_budget</f>
        <v>0</v>
      </c>
      <c r="R69" s="101">
        <f ca="1">IF(cc_delta &lt; 0, ABS(cc_delta), 0)* NOT(cc_in_focus) * cc_show_type</f>
        <v>0</v>
      </c>
    </row>
    <row r="70" spans="4:18" x14ac:dyDescent="0.25">
      <c r="D70" s="121"/>
      <c r="E70" s="100"/>
      <c r="F70" s="100"/>
      <c r="G70" s="100"/>
      <c r="H70" s="100"/>
      <c r="I70" s="100"/>
      <c r="J70" s="108"/>
      <c r="K70" s="108"/>
      <c r="L70" s="108"/>
      <c r="M70" s="100"/>
      <c r="N70" s="100"/>
      <c r="O70" s="100"/>
      <c r="P70" s="100"/>
      <c r="Q70" s="100"/>
      <c r="R70" s="100"/>
    </row>
    <row r="71" spans="4:18" x14ac:dyDescent="0.25">
      <c r="D71" s="119">
        <f>DATE(selected_year, 5, 1)</f>
        <v>44682</v>
      </c>
      <c r="E71" s="98" t="s">
        <v>6</v>
      </c>
      <c r="F71" s="99">
        <f t="shared" ref="F71" si="22">MONTH(D71)</f>
        <v>5</v>
      </c>
      <c r="G71" s="99">
        <f>IF(selected_period = "Total Year", 1, IF(selected_period = cc_month_number, 1, 0))</f>
        <v>1</v>
      </c>
      <c r="H71" s="99">
        <f t="shared" ref="H71" si="23">1*$E$49</f>
        <v>1</v>
      </c>
      <c r="I71" s="99">
        <f t="shared" ref="I71" si="24">1*$E$52</f>
        <v>1</v>
      </c>
      <c r="J71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71" s="101">
        <f ca="1">INDEX('Budget Planning'!$E:$BU,income_total_row,  MATCH(DATE(selected_year, cc_month_number, 1),'Budget Planning'!$E$9:$BU$9, 0))</f>
        <v>3275</v>
      </c>
      <c r="L71" s="101">
        <f ca="1">cc_budget-cc_tracked</f>
        <v>3275</v>
      </c>
      <c r="M71" s="101">
        <f ca="1">MIN(cc_tracked, cc_budget) * cc_in_focus * cc_show_type</f>
        <v>0</v>
      </c>
      <c r="N71" s="101">
        <f ca="1">IF(cc_delta&gt;0, cc_delta, 0)* cc_in_focus * cc_show_remaining_budget</f>
        <v>3275</v>
      </c>
      <c r="O71" s="101">
        <f ca="1">IF(cc_delta &lt; 0, ABS(cc_delta), 0)* cc_in_focus * cc_show_type</f>
        <v>0</v>
      </c>
      <c r="P71" s="101">
        <f ca="1">MIN(cc_tracked, cc_budget) * NOT(cc_in_focus) * cc_show_type</f>
        <v>0</v>
      </c>
      <c r="Q71" s="101">
        <f ca="1">IF(cc_delta&gt;0, cc_delta, 0)* NOT(cc_in_focus) * cc_show_remaining_budget</f>
        <v>0</v>
      </c>
      <c r="R71" s="101">
        <f ca="1">IF(cc_delta &lt; 0, ABS(cc_delta), 0)* NOT(cc_in_focus) * cc_show_type</f>
        <v>0</v>
      </c>
    </row>
    <row r="72" spans="4:18" x14ac:dyDescent="0.25">
      <c r="D72" s="120"/>
      <c r="E72" s="99" t="s">
        <v>13</v>
      </c>
      <c r="F72" s="99">
        <f t="shared" ref="F72" si="25">MONTH(D71)</f>
        <v>5</v>
      </c>
      <c r="G72" s="99">
        <f>IF(selected_period = "Total Year", 1, IF(selected_period = cc_month_number, 1, 0))</f>
        <v>1</v>
      </c>
      <c r="H72" s="99">
        <f t="shared" ref="H72" si="26">1*$E$50</f>
        <v>1</v>
      </c>
      <c r="I72" s="99">
        <f t="shared" si="3"/>
        <v>1</v>
      </c>
      <c r="J72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72" s="101">
        <f ca="1">INDEX('Budget Planning'!$E:$BU,expenses_total_row,  MATCH(DATE(selected_year, cc_month_number, 1),'Budget Planning'!$E$9:$BU$9, 0))</f>
        <v>2000</v>
      </c>
      <c r="L72" s="101">
        <f ca="1">cc_budget-cc_tracked</f>
        <v>2000</v>
      </c>
      <c r="M72" s="101">
        <f ca="1">MIN(cc_tracked, cc_budget) * cc_in_focus * cc_show_type</f>
        <v>0</v>
      </c>
      <c r="N72" s="101">
        <f ca="1">IF(cc_delta&gt;0, cc_delta, 0)* cc_in_focus * cc_show_remaining_budget</f>
        <v>2000</v>
      </c>
      <c r="O72" s="101">
        <f ca="1">IF(cc_delta &lt; 0, ABS(cc_delta), 0)* cc_in_focus * cc_show_type</f>
        <v>0</v>
      </c>
      <c r="P72" s="101">
        <f ca="1">MIN(cc_tracked, cc_budget) * NOT(cc_in_focus) * cc_show_type</f>
        <v>0</v>
      </c>
      <c r="Q72" s="101">
        <f ca="1">IF(cc_delta&gt;0, cc_delta, 0)* NOT(cc_in_focus) * cc_show_remaining_budget</f>
        <v>0</v>
      </c>
      <c r="R72" s="101">
        <f ca="1">IF(cc_delta &lt; 0, ABS(cc_delta), 0)* NOT(cc_in_focus) * cc_show_type</f>
        <v>0</v>
      </c>
    </row>
    <row r="73" spans="4:18" x14ac:dyDescent="0.25">
      <c r="D73" s="120"/>
      <c r="E73" s="99" t="s">
        <v>18</v>
      </c>
      <c r="F73" s="99">
        <f t="shared" ref="F73" si="27">MONTH(D71)</f>
        <v>5</v>
      </c>
      <c r="G73" s="99">
        <f>IF(selected_period = "Total Year", 1, IF(selected_period = cc_month_number, 1, 0))</f>
        <v>1</v>
      </c>
      <c r="H73" s="99">
        <f t="shared" ref="H73" si="28">1*$E$51</f>
        <v>1</v>
      </c>
      <c r="I73" s="99">
        <f t="shared" si="3"/>
        <v>1</v>
      </c>
      <c r="J73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73" s="101">
        <f ca="1">INDEX('Budget Planning'!$E:$BU,savings_total_row,  MATCH(DATE(selected_year, cc_month_number, 1),'Budget Planning'!$E$9:$BU$9, 0))</f>
        <v>700</v>
      </c>
      <c r="L73" s="101">
        <f ca="1">cc_budget-cc_tracked</f>
        <v>700</v>
      </c>
      <c r="M73" s="101">
        <f ca="1">MIN(cc_tracked, cc_budget) * cc_in_focus * cc_show_type</f>
        <v>0</v>
      </c>
      <c r="N73" s="101">
        <f ca="1">IF(cc_delta&gt;0, cc_delta, 0)* cc_in_focus * cc_show_remaining_budget</f>
        <v>700</v>
      </c>
      <c r="O73" s="101">
        <f ca="1">IF(cc_delta &lt; 0, ABS(cc_delta), 0)* cc_in_focus * cc_show_type</f>
        <v>0</v>
      </c>
      <c r="P73" s="101">
        <f ca="1">MIN(cc_tracked, cc_budget) * NOT(cc_in_focus) * cc_show_type</f>
        <v>0</v>
      </c>
      <c r="Q73" s="101">
        <f ca="1">IF(cc_delta&gt;0, cc_delta, 0)* NOT(cc_in_focus) * cc_show_remaining_budget</f>
        <v>0</v>
      </c>
      <c r="R73" s="101">
        <f ca="1">IF(cc_delta &lt; 0, ABS(cc_delta), 0)* NOT(cc_in_focus) * cc_show_type</f>
        <v>0</v>
      </c>
    </row>
    <row r="74" spans="4:18" x14ac:dyDescent="0.25">
      <c r="D74" s="121"/>
      <c r="E74" s="100"/>
      <c r="F74" s="100"/>
      <c r="G74" s="100"/>
      <c r="H74" s="100"/>
      <c r="I74" s="100"/>
      <c r="J74" s="108"/>
      <c r="K74" s="108"/>
      <c r="L74" s="108"/>
      <c r="M74" s="100"/>
      <c r="N74" s="100"/>
      <c r="O74" s="100"/>
      <c r="P74" s="100"/>
      <c r="Q74" s="100"/>
      <c r="R74" s="100"/>
    </row>
    <row r="75" spans="4:18" x14ac:dyDescent="0.25">
      <c r="D75" s="119">
        <f>DATE(selected_year, 6, 1)</f>
        <v>44713</v>
      </c>
      <c r="E75" s="98" t="s">
        <v>6</v>
      </c>
      <c r="F75" s="99">
        <f t="shared" ref="F75" si="29">MONTH(D75)</f>
        <v>6</v>
      </c>
      <c r="G75" s="99">
        <f>IF(selected_period = "Total Year", 1, IF(selected_period = cc_month_number, 1, 0))</f>
        <v>1</v>
      </c>
      <c r="H75" s="99">
        <f t="shared" ref="H75" si="30">1*$E$49</f>
        <v>1</v>
      </c>
      <c r="I75" s="99">
        <f t="shared" ref="I75" si="31">1*$E$52</f>
        <v>1</v>
      </c>
      <c r="J75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75" s="101">
        <f ca="1">INDEX('Budget Planning'!$E:$BU,income_total_row,  MATCH(DATE(selected_year, cc_month_number, 1),'Budget Planning'!$E$9:$BU$9, 0))</f>
        <v>8080</v>
      </c>
      <c r="L75" s="101">
        <f ca="1">cc_budget-cc_tracked</f>
        <v>8080</v>
      </c>
      <c r="M75" s="101">
        <f ca="1">MIN(cc_tracked, cc_budget) * cc_in_focus * cc_show_type</f>
        <v>0</v>
      </c>
      <c r="N75" s="101">
        <f ca="1">IF(cc_delta&gt;0, cc_delta, 0)* cc_in_focus * cc_show_remaining_budget</f>
        <v>8080</v>
      </c>
      <c r="O75" s="101">
        <f ca="1">IF(cc_delta &lt; 0, ABS(cc_delta), 0)* cc_in_focus * cc_show_type</f>
        <v>0</v>
      </c>
      <c r="P75" s="101">
        <f ca="1">MIN(cc_tracked, cc_budget) * NOT(cc_in_focus) * cc_show_type</f>
        <v>0</v>
      </c>
      <c r="Q75" s="101">
        <f ca="1">IF(cc_delta&gt;0, cc_delta, 0)* NOT(cc_in_focus) * cc_show_remaining_budget</f>
        <v>0</v>
      </c>
      <c r="R75" s="101">
        <f ca="1">IF(cc_delta &lt; 0, ABS(cc_delta), 0)* NOT(cc_in_focus) * cc_show_type</f>
        <v>0</v>
      </c>
    </row>
    <row r="76" spans="4:18" x14ac:dyDescent="0.25">
      <c r="D76" s="120"/>
      <c r="E76" s="99" t="s">
        <v>13</v>
      </c>
      <c r="F76" s="99">
        <f t="shared" ref="F76" si="32">MONTH(D75)</f>
        <v>6</v>
      </c>
      <c r="G76" s="99">
        <f>IF(selected_period = "Total Year", 1, IF(selected_period = cc_month_number, 1, 0))</f>
        <v>1</v>
      </c>
      <c r="H76" s="99">
        <f t="shared" ref="H76" si="33">1*$E$50</f>
        <v>1</v>
      </c>
      <c r="I76" s="99">
        <f t="shared" si="3"/>
        <v>1</v>
      </c>
      <c r="J76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76" s="101">
        <f ca="1">INDEX('Budget Planning'!$E:$BU,expenses_total_row,  MATCH(DATE(selected_year, cc_month_number, 1),'Budget Planning'!$E$9:$BU$9, 0))</f>
        <v>2000</v>
      </c>
      <c r="L76" s="101">
        <f ca="1">cc_budget-cc_tracked</f>
        <v>2000</v>
      </c>
      <c r="M76" s="101">
        <f ca="1">MIN(cc_tracked, cc_budget) * cc_in_focus * cc_show_type</f>
        <v>0</v>
      </c>
      <c r="N76" s="101">
        <f ca="1">IF(cc_delta&gt;0, cc_delta, 0)* cc_in_focus * cc_show_remaining_budget</f>
        <v>2000</v>
      </c>
      <c r="O76" s="101">
        <f ca="1">IF(cc_delta &lt; 0, ABS(cc_delta), 0)* cc_in_focus * cc_show_type</f>
        <v>0</v>
      </c>
      <c r="P76" s="101">
        <f ca="1">MIN(cc_tracked, cc_budget) * NOT(cc_in_focus) * cc_show_type</f>
        <v>0</v>
      </c>
      <c r="Q76" s="101">
        <f ca="1">IF(cc_delta&gt;0, cc_delta, 0)* NOT(cc_in_focus) * cc_show_remaining_budget</f>
        <v>0</v>
      </c>
      <c r="R76" s="101">
        <f ca="1">IF(cc_delta &lt; 0, ABS(cc_delta), 0)* NOT(cc_in_focus) * cc_show_type</f>
        <v>0</v>
      </c>
    </row>
    <row r="77" spans="4:18" x14ac:dyDescent="0.25">
      <c r="D77" s="120"/>
      <c r="E77" s="99" t="s">
        <v>18</v>
      </c>
      <c r="F77" s="99">
        <f t="shared" ref="F77" si="34">MONTH(D75)</f>
        <v>6</v>
      </c>
      <c r="G77" s="99">
        <f>IF(selected_period = "Total Year", 1, IF(selected_period = cc_month_number, 1, 0))</f>
        <v>1</v>
      </c>
      <c r="H77" s="99">
        <f t="shared" ref="H77" si="35">1*$E$51</f>
        <v>1</v>
      </c>
      <c r="I77" s="99">
        <f t="shared" si="3"/>
        <v>1</v>
      </c>
      <c r="J77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77" s="101">
        <f ca="1">INDEX('Budget Planning'!$E:$BU,savings_total_row,  MATCH(DATE(selected_year, cc_month_number, 1),'Budget Planning'!$E$9:$BU$9, 0))</f>
        <v>5200</v>
      </c>
      <c r="L77" s="101">
        <f ca="1">cc_budget-cc_tracked</f>
        <v>5200</v>
      </c>
      <c r="M77" s="101">
        <f ca="1">MIN(cc_tracked, cc_budget) * cc_in_focus * cc_show_type</f>
        <v>0</v>
      </c>
      <c r="N77" s="101">
        <f ca="1">IF(cc_delta&gt;0, cc_delta, 0)* cc_in_focus * cc_show_remaining_budget</f>
        <v>5200</v>
      </c>
      <c r="O77" s="101">
        <f ca="1">IF(cc_delta &lt; 0, ABS(cc_delta), 0)* cc_in_focus * cc_show_type</f>
        <v>0</v>
      </c>
      <c r="P77" s="101">
        <f ca="1">MIN(cc_tracked, cc_budget) * NOT(cc_in_focus) * cc_show_type</f>
        <v>0</v>
      </c>
      <c r="Q77" s="101">
        <f ca="1">IF(cc_delta&gt;0, cc_delta, 0)* NOT(cc_in_focus) * cc_show_remaining_budget</f>
        <v>0</v>
      </c>
      <c r="R77" s="101">
        <f ca="1">IF(cc_delta &lt; 0, ABS(cc_delta), 0)* NOT(cc_in_focus) * cc_show_type</f>
        <v>0</v>
      </c>
    </row>
    <row r="78" spans="4:18" x14ac:dyDescent="0.25">
      <c r="D78" s="121"/>
      <c r="E78" s="100"/>
      <c r="F78" s="100"/>
      <c r="G78" s="100"/>
      <c r="H78" s="100"/>
      <c r="I78" s="100"/>
      <c r="J78" s="108"/>
      <c r="K78" s="108"/>
      <c r="L78" s="108"/>
      <c r="M78" s="100"/>
      <c r="N78" s="100"/>
      <c r="O78" s="100"/>
      <c r="P78" s="100"/>
      <c r="Q78" s="100"/>
      <c r="R78" s="100"/>
    </row>
    <row r="79" spans="4:18" x14ac:dyDescent="0.25">
      <c r="D79" s="119">
        <f>DATE(selected_year, 7, 1)</f>
        <v>44743</v>
      </c>
      <c r="E79" s="98" t="s">
        <v>6</v>
      </c>
      <c r="F79" s="99">
        <f t="shared" ref="F79" si="36">MONTH(D79)</f>
        <v>7</v>
      </c>
      <c r="G79" s="99">
        <f>IF(selected_period = "Total Year", 1, IF(selected_period = cc_month_number, 1, 0))</f>
        <v>1</v>
      </c>
      <c r="H79" s="99">
        <f t="shared" ref="H79" si="37">1*$E$49</f>
        <v>1</v>
      </c>
      <c r="I79" s="99">
        <f t="shared" ref="I79" si="38">1*$E$52</f>
        <v>1</v>
      </c>
      <c r="J79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79" s="101">
        <f ca="1">INDEX('Budget Planning'!$E:$BU,income_total_row,  MATCH(DATE(selected_year, cc_month_number, 1),'Budget Planning'!$E$9:$BU$9, 0))</f>
        <v>55</v>
      </c>
      <c r="L79" s="101">
        <f ca="1">cc_budget-cc_tracked</f>
        <v>55</v>
      </c>
      <c r="M79" s="101">
        <f ca="1">MIN(cc_tracked, cc_budget) * cc_in_focus * cc_show_type</f>
        <v>0</v>
      </c>
      <c r="N79" s="101">
        <f ca="1">IF(cc_delta&gt;0, cc_delta, 0)* cc_in_focus * cc_show_remaining_budget</f>
        <v>55</v>
      </c>
      <c r="O79" s="101">
        <f ca="1">IF(cc_delta &lt; 0, ABS(cc_delta), 0)* cc_in_focus * cc_show_type</f>
        <v>0</v>
      </c>
      <c r="P79" s="101">
        <f ca="1">MIN(cc_tracked, cc_budget) * NOT(cc_in_focus) * cc_show_type</f>
        <v>0</v>
      </c>
      <c r="Q79" s="101">
        <f ca="1">IF(cc_delta&gt;0, cc_delta, 0)* NOT(cc_in_focus) * cc_show_remaining_budget</f>
        <v>0</v>
      </c>
      <c r="R79" s="101">
        <f ca="1">IF(cc_delta &lt; 0, ABS(cc_delta), 0)* NOT(cc_in_focus) * cc_show_type</f>
        <v>0</v>
      </c>
    </row>
    <row r="80" spans="4:18" x14ac:dyDescent="0.25">
      <c r="D80" s="120"/>
      <c r="E80" s="99" t="s">
        <v>13</v>
      </c>
      <c r="F80" s="99">
        <f t="shared" ref="F80" si="39">MONTH(D79)</f>
        <v>7</v>
      </c>
      <c r="G80" s="99">
        <f>IF(selected_period = "Total Year", 1, IF(selected_period = cc_month_number, 1, 0))</f>
        <v>1</v>
      </c>
      <c r="H80" s="99">
        <f t="shared" ref="H80" si="40">1*$E$50</f>
        <v>1</v>
      </c>
      <c r="I80" s="99">
        <f t="shared" si="3"/>
        <v>1</v>
      </c>
      <c r="J80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80" s="101">
        <f ca="1">INDEX('Budget Planning'!$E:$BU,expenses_total_row,  MATCH(DATE(selected_year, cc_month_number, 1),'Budget Planning'!$E$9:$BU$9, 0))</f>
        <v>2000</v>
      </c>
      <c r="L80" s="101">
        <f ca="1">cc_budget-cc_tracked</f>
        <v>2000</v>
      </c>
      <c r="M80" s="101">
        <f ca="1">MIN(cc_tracked, cc_budget) * cc_in_focus * cc_show_type</f>
        <v>0</v>
      </c>
      <c r="N80" s="101">
        <f ca="1">IF(cc_delta&gt;0, cc_delta, 0)* cc_in_focus * cc_show_remaining_budget</f>
        <v>2000</v>
      </c>
      <c r="O80" s="101">
        <f ca="1">IF(cc_delta &lt; 0, ABS(cc_delta), 0)* cc_in_focus * cc_show_type</f>
        <v>0</v>
      </c>
      <c r="P80" s="101">
        <f ca="1">MIN(cc_tracked, cc_budget) * NOT(cc_in_focus) * cc_show_type</f>
        <v>0</v>
      </c>
      <c r="Q80" s="101">
        <f ca="1">IF(cc_delta&gt;0, cc_delta, 0)* NOT(cc_in_focus) * cc_show_remaining_budget</f>
        <v>0</v>
      </c>
      <c r="R80" s="101">
        <f ca="1">IF(cc_delta &lt; 0, ABS(cc_delta), 0)* NOT(cc_in_focus) * cc_show_type</f>
        <v>0</v>
      </c>
    </row>
    <row r="81" spans="4:18" x14ac:dyDescent="0.25">
      <c r="D81" s="120"/>
      <c r="E81" s="99" t="s">
        <v>18</v>
      </c>
      <c r="F81" s="99">
        <f t="shared" ref="F81" si="41">MONTH(D79)</f>
        <v>7</v>
      </c>
      <c r="G81" s="99">
        <f>IF(selected_period = "Total Year", 1, IF(selected_period = cc_month_number, 1, 0))</f>
        <v>1</v>
      </c>
      <c r="H81" s="99">
        <f t="shared" ref="H81" si="42">1*$E$51</f>
        <v>1</v>
      </c>
      <c r="I81" s="99">
        <f t="shared" si="3"/>
        <v>1</v>
      </c>
      <c r="J81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81" s="101">
        <f ca="1">INDEX('Budget Planning'!$E:$BU,savings_total_row,  MATCH(DATE(selected_year, cc_month_number, 1),'Budget Planning'!$E$9:$BU$9, 0))</f>
        <v>5200</v>
      </c>
      <c r="L81" s="101">
        <f ca="1">cc_budget-cc_tracked</f>
        <v>5200</v>
      </c>
      <c r="M81" s="101">
        <f ca="1">MIN(cc_tracked, cc_budget) * cc_in_focus * cc_show_type</f>
        <v>0</v>
      </c>
      <c r="N81" s="101">
        <f ca="1">IF(cc_delta&gt;0, cc_delta, 0)* cc_in_focus * cc_show_remaining_budget</f>
        <v>5200</v>
      </c>
      <c r="O81" s="101">
        <f ca="1">IF(cc_delta &lt; 0, ABS(cc_delta), 0)* cc_in_focus * cc_show_type</f>
        <v>0</v>
      </c>
      <c r="P81" s="101">
        <f ca="1">MIN(cc_tracked, cc_budget) * NOT(cc_in_focus) * cc_show_type</f>
        <v>0</v>
      </c>
      <c r="Q81" s="101">
        <f ca="1">IF(cc_delta&gt;0, cc_delta, 0)* NOT(cc_in_focus) * cc_show_remaining_budget</f>
        <v>0</v>
      </c>
      <c r="R81" s="101">
        <f ca="1">IF(cc_delta &lt; 0, ABS(cc_delta), 0)* NOT(cc_in_focus) * cc_show_type</f>
        <v>0</v>
      </c>
    </row>
    <row r="82" spans="4:18" x14ac:dyDescent="0.25">
      <c r="D82" s="121"/>
      <c r="E82" s="100"/>
      <c r="F82" s="100"/>
      <c r="G82" s="100"/>
      <c r="H82" s="100"/>
      <c r="I82" s="100"/>
      <c r="J82" s="108"/>
      <c r="K82" s="108"/>
      <c r="L82" s="108"/>
      <c r="M82" s="100"/>
      <c r="N82" s="100"/>
      <c r="O82" s="100"/>
      <c r="P82" s="100"/>
      <c r="Q82" s="100"/>
      <c r="R82" s="100"/>
    </row>
    <row r="83" spans="4:18" x14ac:dyDescent="0.25">
      <c r="D83" s="119">
        <f>DATE(selected_year, 8, 1)</f>
        <v>44774</v>
      </c>
      <c r="E83" s="98" t="s">
        <v>6</v>
      </c>
      <c r="F83" s="99">
        <f t="shared" ref="F83" si="43">MONTH(D83)</f>
        <v>8</v>
      </c>
      <c r="G83" s="99">
        <f>IF(selected_period = "Total Year", 1, IF(selected_period = cc_month_number, 1, 0))</f>
        <v>1</v>
      </c>
      <c r="H83" s="99">
        <f t="shared" ref="H83" si="44">1*$E$49</f>
        <v>1</v>
      </c>
      <c r="I83" s="99">
        <f t="shared" ref="I83" si="45">1*$E$52</f>
        <v>1</v>
      </c>
      <c r="J83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83" s="101">
        <f ca="1">INDEX('Budget Planning'!$E:$BU,income_total_row,  MATCH(DATE(selected_year, cc_month_number, 1),'Budget Planning'!$E$9:$BU$9, 0))</f>
        <v>55</v>
      </c>
      <c r="L83" s="101">
        <f ca="1">cc_budget-cc_tracked</f>
        <v>55</v>
      </c>
      <c r="M83" s="101">
        <f ca="1">MIN(cc_tracked, cc_budget) * cc_in_focus * cc_show_type</f>
        <v>0</v>
      </c>
      <c r="N83" s="101">
        <f ca="1">IF(cc_delta&gt;0, cc_delta, 0)* cc_in_focus * cc_show_remaining_budget</f>
        <v>55</v>
      </c>
      <c r="O83" s="101">
        <f ca="1">IF(cc_delta &lt; 0, ABS(cc_delta), 0)* cc_in_focus * cc_show_type</f>
        <v>0</v>
      </c>
      <c r="P83" s="101">
        <f ca="1">MIN(cc_tracked, cc_budget) * NOT(cc_in_focus) * cc_show_type</f>
        <v>0</v>
      </c>
      <c r="Q83" s="101">
        <f ca="1">IF(cc_delta&gt;0, cc_delta, 0)* NOT(cc_in_focus) * cc_show_remaining_budget</f>
        <v>0</v>
      </c>
      <c r="R83" s="101">
        <f ca="1">IF(cc_delta &lt; 0, ABS(cc_delta), 0)* NOT(cc_in_focus) * cc_show_type</f>
        <v>0</v>
      </c>
    </row>
    <row r="84" spans="4:18" x14ac:dyDescent="0.25">
      <c r="D84" s="120"/>
      <c r="E84" s="99" t="s">
        <v>13</v>
      </c>
      <c r="F84" s="99">
        <f t="shared" ref="F84" si="46">MONTH(D83)</f>
        <v>8</v>
      </c>
      <c r="G84" s="99">
        <f>IF(selected_period = "Total Year", 1, IF(selected_period = cc_month_number, 1, 0))</f>
        <v>1</v>
      </c>
      <c r="H84" s="99">
        <f t="shared" ref="H84" si="47">1*$E$50</f>
        <v>1</v>
      </c>
      <c r="I84" s="99">
        <f t="shared" si="3"/>
        <v>1</v>
      </c>
      <c r="J84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84" s="101">
        <f ca="1">INDEX('Budget Planning'!$E:$BU,expenses_total_row,  MATCH(DATE(selected_year, cc_month_number, 1),'Budget Planning'!$E$9:$BU$9, 0))</f>
        <v>2000</v>
      </c>
      <c r="L84" s="101">
        <f ca="1">cc_budget-cc_tracked</f>
        <v>2000</v>
      </c>
      <c r="M84" s="101">
        <f ca="1">MIN(cc_tracked, cc_budget) * cc_in_focus * cc_show_type</f>
        <v>0</v>
      </c>
      <c r="N84" s="101">
        <f ca="1">IF(cc_delta&gt;0, cc_delta, 0)* cc_in_focus * cc_show_remaining_budget</f>
        <v>2000</v>
      </c>
      <c r="O84" s="101">
        <f ca="1">IF(cc_delta &lt; 0, ABS(cc_delta), 0)* cc_in_focus * cc_show_type</f>
        <v>0</v>
      </c>
      <c r="P84" s="101">
        <f ca="1">MIN(cc_tracked, cc_budget) * NOT(cc_in_focus) * cc_show_type</f>
        <v>0</v>
      </c>
      <c r="Q84" s="101">
        <f ca="1">IF(cc_delta&gt;0, cc_delta, 0)* NOT(cc_in_focus) * cc_show_remaining_budget</f>
        <v>0</v>
      </c>
      <c r="R84" s="101">
        <f ca="1">IF(cc_delta &lt; 0, ABS(cc_delta), 0)* NOT(cc_in_focus) * cc_show_type</f>
        <v>0</v>
      </c>
    </row>
    <row r="85" spans="4:18" x14ac:dyDescent="0.25">
      <c r="D85" s="120"/>
      <c r="E85" s="99" t="s">
        <v>18</v>
      </c>
      <c r="F85" s="99">
        <f t="shared" ref="F85" si="48">MONTH(D83)</f>
        <v>8</v>
      </c>
      <c r="G85" s="99">
        <f>IF(selected_period = "Total Year", 1, IF(selected_period = cc_month_number, 1, 0))</f>
        <v>1</v>
      </c>
      <c r="H85" s="99">
        <f t="shared" ref="H85" si="49">1*$E$51</f>
        <v>1</v>
      </c>
      <c r="I85" s="99">
        <f t="shared" si="3"/>
        <v>1</v>
      </c>
      <c r="J85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85" s="101">
        <f ca="1">INDEX('Budget Planning'!$E:$BU,savings_total_row,  MATCH(DATE(selected_year, cc_month_number, 1),'Budget Planning'!$E$9:$BU$9, 0))</f>
        <v>5200</v>
      </c>
      <c r="L85" s="101">
        <f ca="1">cc_budget-cc_tracked</f>
        <v>5200</v>
      </c>
      <c r="M85" s="101">
        <f ca="1">MIN(cc_tracked, cc_budget) * cc_in_focus * cc_show_type</f>
        <v>0</v>
      </c>
      <c r="N85" s="101">
        <f ca="1">IF(cc_delta&gt;0, cc_delta, 0)* cc_in_focus * cc_show_remaining_budget</f>
        <v>5200</v>
      </c>
      <c r="O85" s="101">
        <f ca="1">IF(cc_delta &lt; 0, ABS(cc_delta), 0)* cc_in_focus * cc_show_type</f>
        <v>0</v>
      </c>
      <c r="P85" s="101">
        <f ca="1">MIN(cc_tracked, cc_budget) * NOT(cc_in_focus) * cc_show_type</f>
        <v>0</v>
      </c>
      <c r="Q85" s="101">
        <f ca="1">IF(cc_delta&gt;0, cc_delta, 0)* NOT(cc_in_focus) * cc_show_remaining_budget</f>
        <v>0</v>
      </c>
      <c r="R85" s="101">
        <f ca="1">IF(cc_delta &lt; 0, ABS(cc_delta), 0)* NOT(cc_in_focus) * cc_show_type</f>
        <v>0</v>
      </c>
    </row>
    <row r="86" spans="4:18" x14ac:dyDescent="0.25">
      <c r="D86" s="121"/>
      <c r="E86" s="100"/>
      <c r="F86" s="100"/>
      <c r="G86" s="100"/>
      <c r="H86" s="100"/>
      <c r="I86" s="100"/>
      <c r="J86" s="108"/>
      <c r="K86" s="108"/>
      <c r="L86" s="108"/>
      <c r="M86" s="100"/>
      <c r="N86" s="100"/>
      <c r="O86" s="100"/>
      <c r="P86" s="100"/>
      <c r="Q86" s="100"/>
      <c r="R86" s="100"/>
    </row>
    <row r="87" spans="4:18" x14ac:dyDescent="0.25">
      <c r="D87" s="119">
        <f>DATE(selected_year, 9, 1)</f>
        <v>44805</v>
      </c>
      <c r="E87" s="98" t="s">
        <v>6</v>
      </c>
      <c r="F87" s="99">
        <f t="shared" ref="F87" si="50">MONTH(D87)</f>
        <v>9</v>
      </c>
      <c r="G87" s="99">
        <f>IF(selected_period = "Total Year", 1, IF(selected_period = cc_month_number, 1, 0))</f>
        <v>1</v>
      </c>
      <c r="H87" s="99">
        <f t="shared" ref="H87" si="51">1*$E$49</f>
        <v>1</v>
      </c>
      <c r="I87" s="99">
        <f t="shared" ref="I87" si="52">1*$E$52</f>
        <v>1</v>
      </c>
      <c r="J87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87" s="101">
        <f ca="1">INDEX('Budget Planning'!$E:$BU,income_total_row,  MATCH(DATE(selected_year, cc_month_number, 1),'Budget Planning'!$E$9:$BU$9, 0))</f>
        <v>2455</v>
      </c>
      <c r="L87" s="101">
        <f ca="1">cc_budget-cc_tracked</f>
        <v>2455</v>
      </c>
      <c r="M87" s="101">
        <f ca="1">MIN(cc_tracked, cc_budget) * cc_in_focus * cc_show_type</f>
        <v>0</v>
      </c>
      <c r="N87" s="101">
        <f ca="1">IF(cc_delta&gt;0, cc_delta, 0)* cc_in_focus * cc_show_remaining_budget</f>
        <v>2455</v>
      </c>
      <c r="O87" s="101">
        <f ca="1">IF(cc_delta &lt; 0, ABS(cc_delta), 0)* cc_in_focus * cc_show_type</f>
        <v>0</v>
      </c>
      <c r="P87" s="101">
        <f ca="1">MIN(cc_tracked, cc_budget) * NOT(cc_in_focus) * cc_show_type</f>
        <v>0</v>
      </c>
      <c r="Q87" s="101">
        <f ca="1">IF(cc_delta&gt;0, cc_delta, 0)* NOT(cc_in_focus) * cc_show_remaining_budget</f>
        <v>0</v>
      </c>
      <c r="R87" s="101">
        <f ca="1">IF(cc_delta &lt; 0, ABS(cc_delta), 0)* NOT(cc_in_focus) * cc_show_type</f>
        <v>0</v>
      </c>
    </row>
    <row r="88" spans="4:18" x14ac:dyDescent="0.25">
      <c r="D88" s="120"/>
      <c r="E88" s="99" t="s">
        <v>13</v>
      </c>
      <c r="F88" s="99">
        <f t="shared" ref="F88" si="53">MONTH(D87)</f>
        <v>9</v>
      </c>
      <c r="G88" s="99">
        <f>IF(selected_period = "Total Year", 1, IF(selected_period = cc_month_number, 1, 0))</f>
        <v>1</v>
      </c>
      <c r="H88" s="99">
        <f t="shared" ref="H88" si="54">1*$E$50</f>
        <v>1</v>
      </c>
      <c r="I88" s="99">
        <f t="shared" si="3"/>
        <v>1</v>
      </c>
      <c r="J88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88" s="101">
        <f ca="1">INDEX('Budget Planning'!$E:$BU,expenses_total_row,  MATCH(DATE(selected_year, cc_month_number, 1),'Budget Planning'!$E$9:$BU$9, 0))</f>
        <v>2000</v>
      </c>
      <c r="L88" s="101">
        <f ca="1">cc_budget-cc_tracked</f>
        <v>2000</v>
      </c>
      <c r="M88" s="101">
        <f ca="1">MIN(cc_tracked, cc_budget) * cc_in_focus * cc_show_type</f>
        <v>0</v>
      </c>
      <c r="N88" s="101">
        <f ca="1">IF(cc_delta&gt;0, cc_delta, 0)* cc_in_focus * cc_show_remaining_budget</f>
        <v>2000</v>
      </c>
      <c r="O88" s="101">
        <f ca="1">IF(cc_delta &lt; 0, ABS(cc_delta), 0)* cc_in_focus * cc_show_type</f>
        <v>0</v>
      </c>
      <c r="P88" s="101">
        <f ca="1">MIN(cc_tracked, cc_budget) * NOT(cc_in_focus) * cc_show_type</f>
        <v>0</v>
      </c>
      <c r="Q88" s="101">
        <f ca="1">IF(cc_delta&gt;0, cc_delta, 0)* NOT(cc_in_focus) * cc_show_remaining_budget</f>
        <v>0</v>
      </c>
      <c r="R88" s="101">
        <f ca="1">IF(cc_delta &lt; 0, ABS(cc_delta), 0)* NOT(cc_in_focus) * cc_show_type</f>
        <v>0</v>
      </c>
    </row>
    <row r="89" spans="4:18" x14ac:dyDescent="0.25">
      <c r="D89" s="120"/>
      <c r="E89" s="99" t="s">
        <v>18</v>
      </c>
      <c r="F89" s="99">
        <f t="shared" ref="F89" si="55">MONTH(D87)</f>
        <v>9</v>
      </c>
      <c r="G89" s="99">
        <f>IF(selected_period = "Total Year", 1, IF(selected_period = cc_month_number, 1, 0))</f>
        <v>1</v>
      </c>
      <c r="H89" s="99">
        <f t="shared" ref="H89" si="56">1*$E$51</f>
        <v>1</v>
      </c>
      <c r="I89" s="99">
        <f t="shared" si="3"/>
        <v>1</v>
      </c>
      <c r="J89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89" s="101">
        <f ca="1">INDEX('Budget Planning'!$E:$BU,savings_total_row,  MATCH(DATE(selected_year, cc_month_number, 1),'Budget Planning'!$E$9:$BU$9, 0))</f>
        <v>700</v>
      </c>
      <c r="L89" s="101">
        <f ca="1">cc_budget-cc_tracked</f>
        <v>700</v>
      </c>
      <c r="M89" s="101">
        <f ca="1">MIN(cc_tracked, cc_budget) * cc_in_focus * cc_show_type</f>
        <v>0</v>
      </c>
      <c r="N89" s="101">
        <f ca="1">IF(cc_delta&gt;0, cc_delta, 0)* cc_in_focus * cc_show_remaining_budget</f>
        <v>700</v>
      </c>
      <c r="O89" s="101">
        <f ca="1">IF(cc_delta &lt; 0, ABS(cc_delta), 0)* cc_in_focus * cc_show_type</f>
        <v>0</v>
      </c>
      <c r="P89" s="101">
        <f ca="1">MIN(cc_tracked, cc_budget) * NOT(cc_in_focus) * cc_show_type</f>
        <v>0</v>
      </c>
      <c r="Q89" s="101">
        <f ca="1">IF(cc_delta&gt;0, cc_delta, 0)* NOT(cc_in_focus) * cc_show_remaining_budget</f>
        <v>0</v>
      </c>
      <c r="R89" s="101">
        <f ca="1">IF(cc_delta &lt; 0, ABS(cc_delta), 0)* NOT(cc_in_focus) * cc_show_type</f>
        <v>0</v>
      </c>
    </row>
    <row r="90" spans="4:18" x14ac:dyDescent="0.25">
      <c r="D90" s="121"/>
      <c r="E90" s="100"/>
      <c r="F90" s="100"/>
      <c r="G90" s="100"/>
      <c r="H90" s="100"/>
      <c r="I90" s="100"/>
      <c r="J90" s="108"/>
      <c r="K90" s="108"/>
      <c r="L90" s="108"/>
      <c r="M90" s="100"/>
      <c r="N90" s="100"/>
      <c r="O90" s="100"/>
      <c r="P90" s="100"/>
      <c r="Q90" s="100"/>
      <c r="R90" s="100"/>
    </row>
    <row r="91" spans="4:18" x14ac:dyDescent="0.25">
      <c r="D91" s="119">
        <f>DATE(selected_year, 10, 1)</f>
        <v>44835</v>
      </c>
      <c r="E91" s="98" t="s">
        <v>6</v>
      </c>
      <c r="F91" s="99">
        <f t="shared" ref="F91" si="57">MONTH(D91)</f>
        <v>10</v>
      </c>
      <c r="G91" s="99">
        <f>IF(selected_period = "Total Year", 1, IF(selected_period = cc_month_number, 1, 0))</f>
        <v>1</v>
      </c>
      <c r="H91" s="99">
        <f t="shared" ref="H91" si="58">1*$E$49</f>
        <v>1</v>
      </c>
      <c r="I91" s="99">
        <f t="shared" ref="I91" si="59">1*$E$52</f>
        <v>1</v>
      </c>
      <c r="J91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91" s="101">
        <f ca="1">INDEX('Budget Planning'!$E:$BU,income_total_row,  MATCH(DATE(selected_year, cc_month_number, 1),'Budget Planning'!$E$9:$BU$9, 0))</f>
        <v>2430</v>
      </c>
      <c r="L91" s="101">
        <f ca="1">cc_budget-cc_tracked</f>
        <v>2430</v>
      </c>
      <c r="M91" s="101">
        <f ca="1">MIN(cc_tracked, cc_budget) * cc_in_focus * cc_show_type</f>
        <v>0</v>
      </c>
      <c r="N91" s="101">
        <f ca="1">IF(cc_delta&gt;0, cc_delta, 0)* cc_in_focus * cc_show_remaining_budget</f>
        <v>2430</v>
      </c>
      <c r="O91" s="101">
        <f ca="1">IF(cc_delta &lt; 0, ABS(cc_delta), 0)* cc_in_focus * cc_show_type</f>
        <v>0</v>
      </c>
      <c r="P91" s="101">
        <f ca="1">MIN(cc_tracked, cc_budget) * NOT(cc_in_focus) * cc_show_type</f>
        <v>0</v>
      </c>
      <c r="Q91" s="101">
        <f ca="1">IF(cc_delta&gt;0, cc_delta, 0)* NOT(cc_in_focus) * cc_show_remaining_budget</f>
        <v>0</v>
      </c>
      <c r="R91" s="101">
        <f ca="1">IF(cc_delta &lt; 0, ABS(cc_delta), 0)* NOT(cc_in_focus) * cc_show_type</f>
        <v>0</v>
      </c>
    </row>
    <row r="92" spans="4:18" x14ac:dyDescent="0.25">
      <c r="D92" s="120"/>
      <c r="E92" s="99" t="s">
        <v>13</v>
      </c>
      <c r="F92" s="99">
        <f t="shared" ref="F92" si="60">MONTH(D91)</f>
        <v>10</v>
      </c>
      <c r="G92" s="99">
        <f>IF(selected_period = "Total Year", 1, IF(selected_period = cc_month_number, 1, 0))</f>
        <v>1</v>
      </c>
      <c r="H92" s="99">
        <f t="shared" ref="H92" si="61">1*$E$50</f>
        <v>1</v>
      </c>
      <c r="I92" s="99">
        <f t="shared" si="3"/>
        <v>1</v>
      </c>
      <c r="J92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92" s="101">
        <f ca="1">INDEX('Budget Planning'!$E:$BU,expenses_total_row,  MATCH(DATE(selected_year, cc_month_number, 1),'Budget Planning'!$E$9:$BU$9, 0))</f>
        <v>2000</v>
      </c>
      <c r="L92" s="101">
        <f ca="1">cc_budget-cc_tracked</f>
        <v>2000</v>
      </c>
      <c r="M92" s="101">
        <f ca="1">MIN(cc_tracked, cc_budget) * cc_in_focus * cc_show_type</f>
        <v>0</v>
      </c>
      <c r="N92" s="101">
        <f ca="1">IF(cc_delta&gt;0, cc_delta, 0)* cc_in_focus * cc_show_remaining_budget</f>
        <v>2000</v>
      </c>
      <c r="O92" s="101">
        <f ca="1">IF(cc_delta &lt; 0, ABS(cc_delta), 0)* cc_in_focus * cc_show_type</f>
        <v>0</v>
      </c>
      <c r="P92" s="101">
        <f ca="1">MIN(cc_tracked, cc_budget) * NOT(cc_in_focus) * cc_show_type</f>
        <v>0</v>
      </c>
      <c r="Q92" s="101">
        <f ca="1">IF(cc_delta&gt;0, cc_delta, 0)* NOT(cc_in_focus) * cc_show_remaining_budget</f>
        <v>0</v>
      </c>
      <c r="R92" s="101">
        <f ca="1">IF(cc_delta &lt; 0, ABS(cc_delta), 0)* NOT(cc_in_focus) * cc_show_type</f>
        <v>0</v>
      </c>
    </row>
    <row r="93" spans="4:18" x14ac:dyDescent="0.25">
      <c r="D93" s="120"/>
      <c r="E93" s="99" t="s">
        <v>18</v>
      </c>
      <c r="F93" s="99">
        <f t="shared" ref="F93" si="62">MONTH(D91)</f>
        <v>10</v>
      </c>
      <c r="G93" s="99">
        <f>IF(selected_period = "Total Year", 1, IF(selected_period = cc_month_number, 1, 0))</f>
        <v>1</v>
      </c>
      <c r="H93" s="99">
        <f t="shared" ref="H93" si="63">1*$E$51</f>
        <v>1</v>
      </c>
      <c r="I93" s="99">
        <f t="shared" si="3"/>
        <v>1</v>
      </c>
      <c r="J93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93" s="101">
        <f ca="1">INDEX('Budget Planning'!$E:$BU,savings_total_row,  MATCH(DATE(selected_year, cc_month_number, 1),'Budget Planning'!$E$9:$BU$9, 0))</f>
        <v>700</v>
      </c>
      <c r="L93" s="101">
        <f ca="1">cc_budget-cc_tracked</f>
        <v>700</v>
      </c>
      <c r="M93" s="101">
        <f ca="1">MIN(cc_tracked, cc_budget) * cc_in_focus * cc_show_type</f>
        <v>0</v>
      </c>
      <c r="N93" s="101">
        <f ca="1">IF(cc_delta&gt;0, cc_delta, 0)* cc_in_focus * cc_show_remaining_budget</f>
        <v>700</v>
      </c>
      <c r="O93" s="101">
        <f ca="1">IF(cc_delta &lt; 0, ABS(cc_delta), 0)* cc_in_focus * cc_show_type</f>
        <v>0</v>
      </c>
      <c r="P93" s="101">
        <f ca="1">MIN(cc_tracked, cc_budget) * NOT(cc_in_focus) * cc_show_type</f>
        <v>0</v>
      </c>
      <c r="Q93" s="101">
        <f ca="1">IF(cc_delta&gt;0, cc_delta, 0)* NOT(cc_in_focus) * cc_show_remaining_budget</f>
        <v>0</v>
      </c>
      <c r="R93" s="101">
        <f ca="1">IF(cc_delta &lt; 0, ABS(cc_delta), 0)* NOT(cc_in_focus) * cc_show_type</f>
        <v>0</v>
      </c>
    </row>
    <row r="94" spans="4:18" x14ac:dyDescent="0.25">
      <c r="D94" s="121"/>
      <c r="E94" s="100"/>
      <c r="F94" s="100"/>
      <c r="G94" s="100"/>
      <c r="H94" s="100"/>
      <c r="I94" s="100"/>
      <c r="J94" s="108"/>
      <c r="K94" s="108"/>
      <c r="L94" s="108"/>
      <c r="M94" s="100"/>
      <c r="N94" s="100"/>
      <c r="O94" s="100"/>
      <c r="P94" s="100"/>
      <c r="Q94" s="100"/>
      <c r="R94" s="100"/>
    </row>
    <row r="95" spans="4:18" x14ac:dyDescent="0.25">
      <c r="D95" s="119">
        <f>DATE(selected_year, 11, 1)</f>
        <v>44866</v>
      </c>
      <c r="E95" s="98" t="s">
        <v>6</v>
      </c>
      <c r="F95" s="99">
        <f t="shared" ref="F95" si="64">MONTH(D95)</f>
        <v>11</v>
      </c>
      <c r="G95" s="99">
        <f>IF(selected_period = "Total Year", 1, IF(selected_period = cc_month_number, 1, 0))</f>
        <v>1</v>
      </c>
      <c r="H95" s="99">
        <f t="shared" ref="H95" si="65">1*$E$49</f>
        <v>1</v>
      </c>
      <c r="I95" s="99">
        <f t="shared" ref="I95" si="66">1*$E$52</f>
        <v>1</v>
      </c>
      <c r="J95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95" s="101">
        <f ca="1">INDEX('Budget Planning'!$E:$BU,income_total_row,  MATCH(DATE(selected_year, cc_month_number, 1),'Budget Planning'!$E$9:$BU$9, 0))</f>
        <v>2430</v>
      </c>
      <c r="L95" s="101">
        <f ca="1">cc_budget-cc_tracked</f>
        <v>2430</v>
      </c>
      <c r="M95" s="101">
        <f ca="1">MIN(cc_tracked, cc_budget) * cc_in_focus * cc_show_type</f>
        <v>0</v>
      </c>
      <c r="N95" s="101">
        <f ca="1">IF(cc_delta&gt;0, cc_delta, 0)* cc_in_focus * cc_show_remaining_budget</f>
        <v>2430</v>
      </c>
      <c r="O95" s="101">
        <f ca="1">IF(cc_delta &lt; 0, ABS(cc_delta), 0)* cc_in_focus * cc_show_type</f>
        <v>0</v>
      </c>
      <c r="P95" s="101">
        <f ca="1">MIN(cc_tracked, cc_budget) * NOT(cc_in_focus) * cc_show_type</f>
        <v>0</v>
      </c>
      <c r="Q95" s="101">
        <f ca="1">IF(cc_delta&gt;0, cc_delta, 0)* NOT(cc_in_focus) * cc_show_remaining_budget</f>
        <v>0</v>
      </c>
      <c r="R95" s="101">
        <f ca="1">IF(cc_delta &lt; 0, ABS(cc_delta), 0)* NOT(cc_in_focus) * cc_show_type</f>
        <v>0</v>
      </c>
    </row>
    <row r="96" spans="4:18" x14ac:dyDescent="0.25">
      <c r="D96" s="120"/>
      <c r="E96" s="99" t="s">
        <v>13</v>
      </c>
      <c r="F96" s="99">
        <f t="shared" ref="F96" si="67">MONTH(D95)</f>
        <v>11</v>
      </c>
      <c r="G96" s="99">
        <f>IF(selected_period = "Total Year", 1, IF(selected_period = cc_month_number, 1, 0))</f>
        <v>1</v>
      </c>
      <c r="H96" s="99">
        <f t="shared" ref="H96" si="68">1*$E$50</f>
        <v>1</v>
      </c>
      <c r="I96" s="99">
        <f t="shared" si="3"/>
        <v>1</v>
      </c>
      <c r="J96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96" s="101">
        <f ca="1">INDEX('Budget Planning'!$E:$BU,expenses_total_row,  MATCH(DATE(selected_year, cc_month_number, 1),'Budget Planning'!$E$9:$BU$9, 0))</f>
        <v>2000</v>
      </c>
      <c r="L96" s="101">
        <f ca="1">cc_budget-cc_tracked</f>
        <v>2000</v>
      </c>
      <c r="M96" s="101">
        <f ca="1">MIN(cc_tracked, cc_budget) * cc_in_focus * cc_show_type</f>
        <v>0</v>
      </c>
      <c r="N96" s="101">
        <f ca="1">IF(cc_delta&gt;0, cc_delta, 0)* cc_in_focus * cc_show_remaining_budget</f>
        <v>2000</v>
      </c>
      <c r="O96" s="101">
        <f ca="1">IF(cc_delta &lt; 0, ABS(cc_delta), 0)* cc_in_focus * cc_show_type</f>
        <v>0</v>
      </c>
      <c r="P96" s="101">
        <f ca="1">MIN(cc_tracked, cc_budget) * NOT(cc_in_focus) * cc_show_type</f>
        <v>0</v>
      </c>
      <c r="Q96" s="101">
        <f ca="1">IF(cc_delta&gt;0, cc_delta, 0)* NOT(cc_in_focus) * cc_show_remaining_budget</f>
        <v>0</v>
      </c>
      <c r="R96" s="101">
        <f ca="1">IF(cc_delta &lt; 0, ABS(cc_delta), 0)* NOT(cc_in_focus) * cc_show_type</f>
        <v>0</v>
      </c>
    </row>
    <row r="97" spans="4:18" x14ac:dyDescent="0.25">
      <c r="D97" s="120"/>
      <c r="E97" s="99" t="s">
        <v>18</v>
      </c>
      <c r="F97" s="99">
        <f t="shared" ref="F97" si="69">MONTH(D95)</f>
        <v>11</v>
      </c>
      <c r="G97" s="99">
        <f>IF(selected_period = "Total Year", 1, IF(selected_period = cc_month_number, 1, 0))</f>
        <v>1</v>
      </c>
      <c r="H97" s="99">
        <f t="shared" ref="H97" si="70">1*$E$51</f>
        <v>1</v>
      </c>
      <c r="I97" s="99">
        <f t="shared" si="3"/>
        <v>1</v>
      </c>
      <c r="J97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97" s="101">
        <f ca="1">INDEX('Budget Planning'!$E:$BU,savings_total_row,  MATCH(DATE(selected_year, cc_month_number, 1),'Budget Planning'!$E$9:$BU$9, 0))</f>
        <v>700</v>
      </c>
      <c r="L97" s="101">
        <f ca="1">cc_budget-cc_tracked</f>
        <v>700</v>
      </c>
      <c r="M97" s="101">
        <f ca="1">MIN(cc_tracked, cc_budget) * cc_in_focus * cc_show_type</f>
        <v>0</v>
      </c>
      <c r="N97" s="101">
        <f ca="1">IF(cc_delta&gt;0, cc_delta, 0)* cc_in_focus * cc_show_remaining_budget</f>
        <v>700</v>
      </c>
      <c r="O97" s="101">
        <f ca="1">IF(cc_delta &lt; 0, ABS(cc_delta), 0)* cc_in_focus * cc_show_type</f>
        <v>0</v>
      </c>
      <c r="P97" s="101">
        <f ca="1">MIN(cc_tracked, cc_budget) * NOT(cc_in_focus) * cc_show_type</f>
        <v>0</v>
      </c>
      <c r="Q97" s="101">
        <f ca="1">IF(cc_delta&gt;0, cc_delta, 0)* NOT(cc_in_focus) * cc_show_remaining_budget</f>
        <v>0</v>
      </c>
      <c r="R97" s="101">
        <f ca="1">IF(cc_delta &lt; 0, ABS(cc_delta), 0)* NOT(cc_in_focus) * cc_show_type</f>
        <v>0</v>
      </c>
    </row>
    <row r="98" spans="4:18" x14ac:dyDescent="0.25">
      <c r="D98" s="121"/>
      <c r="E98" s="100"/>
      <c r="F98" s="100"/>
      <c r="G98" s="100"/>
      <c r="H98" s="100"/>
      <c r="I98" s="100"/>
      <c r="J98" s="108"/>
      <c r="K98" s="108"/>
      <c r="L98" s="108"/>
      <c r="M98" s="100"/>
      <c r="N98" s="100"/>
      <c r="O98" s="100"/>
      <c r="P98" s="100"/>
      <c r="Q98" s="100"/>
      <c r="R98" s="100"/>
    </row>
    <row r="99" spans="4:18" x14ac:dyDescent="0.25">
      <c r="D99" s="119">
        <f>DATE(selected_year, 12, 1)</f>
        <v>44896</v>
      </c>
      <c r="E99" s="98" t="s">
        <v>6</v>
      </c>
      <c r="F99" s="99">
        <f t="shared" ref="F99" si="71">MONTH(D99)</f>
        <v>12</v>
      </c>
      <c r="G99" s="99">
        <f>IF(selected_period = "Total Year", 1, IF(selected_period = cc_month_number, 1, 0))</f>
        <v>1</v>
      </c>
      <c r="H99" s="99">
        <f t="shared" ref="H99" si="72">1*$E$49</f>
        <v>1</v>
      </c>
      <c r="I99" s="99">
        <f t="shared" ref="I99" si="73">1*$E$52</f>
        <v>1</v>
      </c>
      <c r="J99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99" s="101">
        <f ca="1">INDEX('Budget Planning'!$E:$BU,income_total_row,  MATCH(DATE(selected_year, cc_month_number, 1),'Budget Planning'!$E$9:$BU$9, 0))</f>
        <v>2430</v>
      </c>
      <c r="L99" s="101">
        <f ca="1">cc_budget-cc_tracked</f>
        <v>2430</v>
      </c>
      <c r="M99" s="101">
        <f ca="1">MIN(cc_tracked, cc_budget) * cc_in_focus * cc_show_type</f>
        <v>0</v>
      </c>
      <c r="N99" s="101">
        <f ca="1">IF(cc_delta&gt;0, cc_delta, 0)* cc_in_focus * cc_show_remaining_budget</f>
        <v>2430</v>
      </c>
      <c r="O99" s="101">
        <f ca="1">IF(cc_delta &lt; 0, ABS(cc_delta), 0)* cc_in_focus * cc_show_type</f>
        <v>0</v>
      </c>
      <c r="P99" s="101">
        <f ca="1">MIN(cc_tracked, cc_budget) * NOT(cc_in_focus) * cc_show_type</f>
        <v>0</v>
      </c>
      <c r="Q99" s="101">
        <f ca="1">IF(cc_delta&gt;0, cc_delta, 0)* NOT(cc_in_focus) * cc_show_remaining_budget</f>
        <v>0</v>
      </c>
      <c r="R99" s="101">
        <f ca="1">IF(cc_delta &lt; 0, ABS(cc_delta), 0)* NOT(cc_in_focus) * cc_show_type</f>
        <v>0</v>
      </c>
    </row>
    <row r="100" spans="4:18" x14ac:dyDescent="0.25">
      <c r="D100" s="120"/>
      <c r="E100" s="99" t="s">
        <v>13</v>
      </c>
      <c r="F100" s="99">
        <f t="shared" ref="F100" si="74">MONTH(D99)</f>
        <v>12</v>
      </c>
      <c r="G100" s="99">
        <f>IF(selected_period = "Total Year", 1, IF(selected_period = cc_month_number, 1, 0))</f>
        <v>1</v>
      </c>
      <c r="H100" s="99">
        <f t="shared" ref="H100" si="75">1*$E$50</f>
        <v>1</v>
      </c>
      <c r="I100" s="99">
        <f t="shared" si="3"/>
        <v>1</v>
      </c>
      <c r="J100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100" s="101">
        <f ca="1">INDEX('Budget Planning'!$E:$BU,expenses_total_row,  MATCH(DATE(selected_year, cc_month_number, 1),'Budget Planning'!$E$9:$BU$9, 0))</f>
        <v>2000</v>
      </c>
      <c r="L100" s="101">
        <f ca="1">cc_budget-cc_tracked</f>
        <v>2000</v>
      </c>
      <c r="M100" s="101">
        <f ca="1">MIN(cc_tracked, cc_budget) * cc_in_focus * cc_show_type</f>
        <v>0</v>
      </c>
      <c r="N100" s="101">
        <f ca="1">IF(cc_delta&gt;0, cc_delta, 0)* cc_in_focus * cc_show_remaining_budget</f>
        <v>2000</v>
      </c>
      <c r="O100" s="101">
        <f ca="1">IF(cc_delta &lt; 0, ABS(cc_delta), 0)* cc_in_focus * cc_show_type</f>
        <v>0</v>
      </c>
      <c r="P100" s="101">
        <f ca="1">MIN(cc_tracked, cc_budget) * NOT(cc_in_focus) * cc_show_type</f>
        <v>0</v>
      </c>
      <c r="Q100" s="101">
        <f ca="1">IF(cc_delta&gt;0, cc_delta, 0)* NOT(cc_in_focus) * cc_show_remaining_budget</f>
        <v>0</v>
      </c>
      <c r="R100" s="101">
        <f ca="1">IF(cc_delta &lt; 0, ABS(cc_delta), 0)* NOT(cc_in_focus) * cc_show_type</f>
        <v>0</v>
      </c>
    </row>
    <row r="101" spans="4:18" x14ac:dyDescent="0.25">
      <c r="D101" s="120"/>
      <c r="E101" s="99" t="s">
        <v>18</v>
      </c>
      <c r="F101" s="99">
        <f t="shared" ref="F101" si="76">MONTH(D99)</f>
        <v>12</v>
      </c>
      <c r="G101" s="99">
        <f>IF(selected_period = "Total Year", 1, IF(selected_period = cc_month_number, 1, 0))</f>
        <v>1</v>
      </c>
      <c r="H101" s="99">
        <f t="shared" ref="H101" si="77">1*$E$51</f>
        <v>1</v>
      </c>
      <c r="I101" s="99">
        <f t="shared" si="3"/>
        <v>1</v>
      </c>
      <c r="J101" s="101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101" s="101">
        <f ca="1">INDEX('Budget Planning'!$E:$BU,savings_total_row,  MATCH(DATE(selected_year, cc_month_number, 1),'Budget Planning'!$E$9:$BU$9, 0))</f>
        <v>700</v>
      </c>
      <c r="L101" s="101">
        <f ca="1">cc_budget-cc_tracked</f>
        <v>700</v>
      </c>
      <c r="M101" s="101">
        <f ca="1">MIN(cc_tracked, cc_budget) * cc_in_focus * cc_show_type</f>
        <v>0</v>
      </c>
      <c r="N101" s="101">
        <f ca="1">IF(cc_delta&gt;0, cc_delta, 0)* cc_in_focus * cc_show_remaining_budget</f>
        <v>700</v>
      </c>
      <c r="O101" s="101">
        <f ca="1">IF(cc_delta &lt; 0, ABS(cc_delta), 0)* cc_in_focus * cc_show_type</f>
        <v>0</v>
      </c>
      <c r="P101" s="101">
        <f ca="1">MIN(cc_tracked, cc_budget) * NOT(cc_in_focus) * cc_show_type</f>
        <v>0</v>
      </c>
      <c r="Q101" s="101">
        <f ca="1">IF(cc_delta&gt;0, cc_delta, 0)* NOT(cc_in_focus) * cc_show_remaining_budget</f>
        <v>0</v>
      </c>
      <c r="R101" s="101">
        <f ca="1">IF(cc_delta &lt; 0, ABS(cc_delta), 0)* NOT(cc_in_focus) * cc_show_type</f>
        <v>0</v>
      </c>
    </row>
    <row r="102" spans="4:18" x14ac:dyDescent="0.25">
      <c r="D102" s="121"/>
      <c r="E102" s="100"/>
      <c r="F102" s="100"/>
      <c r="G102" s="100"/>
      <c r="H102" s="100"/>
      <c r="I102" s="100"/>
      <c r="J102" s="108"/>
      <c r="K102" s="108"/>
      <c r="L102" s="108"/>
      <c r="M102" s="100"/>
      <c r="N102" s="100"/>
      <c r="O102" s="100"/>
      <c r="P102" s="100"/>
      <c r="Q102" s="100"/>
      <c r="R102" s="100"/>
    </row>
  </sheetData>
  <mergeCells count="17">
    <mergeCell ref="C6:F6"/>
    <mergeCell ref="B1:D3"/>
    <mergeCell ref="C17:F17"/>
    <mergeCell ref="M53:O53"/>
    <mergeCell ref="P53:R53"/>
    <mergeCell ref="D55:D58"/>
    <mergeCell ref="D59:D62"/>
    <mergeCell ref="D63:D66"/>
    <mergeCell ref="D67:D70"/>
    <mergeCell ref="D91:D94"/>
    <mergeCell ref="D95:D98"/>
    <mergeCell ref="D99:D102"/>
    <mergeCell ref="D71:D74"/>
    <mergeCell ref="D75:D78"/>
    <mergeCell ref="D79:D82"/>
    <mergeCell ref="D83:D86"/>
    <mergeCell ref="D87:D9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21"/>
  <sheetViews>
    <sheetView showGridLines="0" workbookViewId="0">
      <selection activeCell="G26" sqref="G26"/>
    </sheetView>
  </sheetViews>
  <sheetFormatPr defaultRowHeight="15" x14ac:dyDescent="0.25"/>
  <cols>
    <col min="3" max="3" width="24" customWidth="1"/>
    <col min="4" max="4" width="7.140625" customWidth="1"/>
    <col min="5" max="5" width="24.5703125" customWidth="1"/>
    <col min="6" max="6" width="2.42578125" customWidth="1"/>
    <col min="7" max="7" width="58.7109375" customWidth="1"/>
    <col min="8" max="8" width="2.85546875" customWidth="1"/>
  </cols>
  <sheetData>
    <row r="1" spans="1:5" s="109" customFormat="1" x14ac:dyDescent="0.25">
      <c r="A1" s="109" t="s">
        <v>58</v>
      </c>
    </row>
    <row r="2" spans="1:5" s="109" customFormat="1" x14ac:dyDescent="0.25"/>
    <row r="3" spans="1:5" s="109" customFormat="1" x14ac:dyDescent="0.25"/>
    <row r="7" spans="1:5" x14ac:dyDescent="0.25">
      <c r="C7" s="42" t="s">
        <v>59</v>
      </c>
      <c r="E7" s="42" t="s">
        <v>61</v>
      </c>
    </row>
    <row r="8" spans="1:5" x14ac:dyDescent="0.25">
      <c r="C8" s="44" t="s">
        <v>60</v>
      </c>
      <c r="E8" s="44" t="s">
        <v>62</v>
      </c>
    </row>
    <row r="9" spans="1:5" x14ac:dyDescent="0.25">
      <c r="C9" s="44">
        <f>starting_year</f>
        <v>2022</v>
      </c>
      <c r="E9" s="44" t="s">
        <v>63</v>
      </c>
    </row>
    <row r="10" spans="1:5" x14ac:dyDescent="0.25">
      <c r="C10" s="44">
        <f>C9+1</f>
        <v>2023</v>
      </c>
      <c r="E10" s="46">
        <v>36526</v>
      </c>
    </row>
    <row r="11" spans="1:5" x14ac:dyDescent="0.25">
      <c r="C11" s="44">
        <f t="shared" ref="C11:C15" si="0">C10+1</f>
        <v>2024</v>
      </c>
      <c r="E11" s="46">
        <v>36557</v>
      </c>
    </row>
    <row r="12" spans="1:5" x14ac:dyDescent="0.25">
      <c r="C12" s="44">
        <f t="shared" si="0"/>
        <v>2025</v>
      </c>
      <c r="E12" s="46">
        <v>36586</v>
      </c>
    </row>
    <row r="13" spans="1:5" x14ac:dyDescent="0.25">
      <c r="C13" s="44">
        <f t="shared" si="0"/>
        <v>2026</v>
      </c>
      <c r="E13" s="46">
        <v>36617</v>
      </c>
    </row>
    <row r="14" spans="1:5" x14ac:dyDescent="0.25">
      <c r="C14" s="44">
        <f t="shared" si="0"/>
        <v>2027</v>
      </c>
      <c r="E14" s="46">
        <v>36647</v>
      </c>
    </row>
    <row r="15" spans="1:5" x14ac:dyDescent="0.25">
      <c r="C15" s="45">
        <f t="shared" si="0"/>
        <v>2028</v>
      </c>
      <c r="E15" s="46">
        <v>36678</v>
      </c>
    </row>
    <row r="16" spans="1:5" x14ac:dyDescent="0.25">
      <c r="C16" s="43"/>
      <c r="E16" s="46">
        <v>36708</v>
      </c>
    </row>
    <row r="17" spans="3:5" x14ac:dyDescent="0.25">
      <c r="C17" s="43"/>
      <c r="E17" s="46">
        <v>36739</v>
      </c>
    </row>
    <row r="18" spans="3:5" x14ac:dyDescent="0.25">
      <c r="C18" s="43"/>
      <c r="E18" s="46">
        <v>36770</v>
      </c>
    </row>
    <row r="19" spans="3:5" x14ac:dyDescent="0.25">
      <c r="E19" s="46">
        <v>36800</v>
      </c>
    </row>
    <row r="20" spans="3:5" x14ac:dyDescent="0.25">
      <c r="E20" s="46">
        <v>36831</v>
      </c>
    </row>
    <row r="21" spans="3:5" x14ac:dyDescent="0.25">
      <c r="E21" s="47">
        <v>36861</v>
      </c>
    </row>
  </sheetData>
  <mergeCells count="1">
    <mergeCell ref="A1:XF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41</vt:i4>
      </vt:variant>
    </vt:vector>
  </HeadingPairs>
  <TitlesOfParts>
    <vt:vector size="47" baseType="lpstr">
      <vt:lpstr>Settings</vt:lpstr>
      <vt:lpstr>Budget Planning</vt:lpstr>
      <vt:lpstr>Budget Tracking</vt:lpstr>
      <vt:lpstr>Budget Dashboard</vt:lpstr>
      <vt:lpstr>Calculations</vt:lpstr>
      <vt:lpstr>Dropdown Data</vt:lpstr>
      <vt:lpstr>'Budget Dashboard'!budget</vt:lpstr>
      <vt:lpstr>'Budget Dashboard'!budget_range</vt:lpstr>
      <vt:lpstr>'Budget Dashboard'!budget_rank</vt:lpstr>
      <vt:lpstr>Calculations!cc_budget</vt:lpstr>
      <vt:lpstr>Calculations!cc_delta</vt:lpstr>
      <vt:lpstr>Calculations!cc_in_focus</vt:lpstr>
      <vt:lpstr>Calculations!cc_month_number</vt:lpstr>
      <vt:lpstr>Calculations!cc_show_remaining_budget</vt:lpstr>
      <vt:lpstr>Calculations!cc_show_type</vt:lpstr>
      <vt:lpstr>Calculations!cc_tracked</vt:lpstr>
      <vt:lpstr>Calculations!cc_type</vt:lpstr>
      <vt:lpstr>'Budget Dashboard'!comb_rank</vt:lpstr>
      <vt:lpstr>'Budget Dashboard'!comb_rank_norm</vt:lpstr>
      <vt:lpstr>'Budget Dashboard'!comb_rank_norm_run_range</vt:lpstr>
      <vt:lpstr>'Budget Dashboard'!comb_rank_range</vt:lpstr>
      <vt:lpstr>'Budget Dashboard'!comb_rank_unique</vt:lpstr>
      <vt:lpstr>current_date</vt:lpstr>
      <vt:lpstr>'Budget Dashboard'!header_row_id</vt:lpstr>
      <vt:lpstr>'Budget Dashboard'!is_cat</vt:lpstr>
      <vt:lpstr>'Budget Dashboard'!is_empty</vt:lpstr>
      <vt:lpstr>'Budget Dashboard'!is_header</vt:lpstr>
      <vt:lpstr>'Budget Dashboard'!is_total</vt:lpstr>
      <vt:lpstr>'Budget Dashboard'!item</vt:lpstr>
      <vt:lpstr>'Budget Dashboard'!out_budget</vt:lpstr>
      <vt:lpstr>'Budget Dashboard'!out_percentage_completed</vt:lpstr>
      <vt:lpstr>'Budget Dashboard'!out_tracked</vt:lpstr>
      <vt:lpstr>'Budget Dashboard'!row_id</vt:lpstr>
      <vt:lpstr>savings_rate_calculation_type</vt:lpstr>
      <vt:lpstr>selected_period</vt:lpstr>
      <vt:lpstr>selected_period_display</vt:lpstr>
      <vt:lpstr>selected_year</vt:lpstr>
      <vt:lpstr>shift_late_income_starting_day</vt:lpstr>
      <vt:lpstr>shift_late_income_status</vt:lpstr>
      <vt:lpstr>shit_late_income_starting_day</vt:lpstr>
      <vt:lpstr>'Budget Dashboard'!sort_max_row</vt:lpstr>
      <vt:lpstr>'Budget Dashboard'!sort_min_row</vt:lpstr>
      <vt:lpstr>starting_year</vt:lpstr>
      <vt:lpstr>'Budget Dashboard'!tracked</vt:lpstr>
      <vt:lpstr>'Budget Dashboard'!tracked_range</vt:lpstr>
      <vt:lpstr>'Budget Dashboard'!tracked_rank</vt:lpstr>
      <vt:lpstr>'Budget Dashboard'!type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Cheng</dc:creator>
  <cp:lastModifiedBy>Alexander Abcdkc</cp:lastModifiedBy>
  <dcterms:created xsi:type="dcterms:W3CDTF">2024-08-30T20:48:11Z</dcterms:created>
  <dcterms:modified xsi:type="dcterms:W3CDTF">2024-09-07T17:56:34Z</dcterms:modified>
</cp:coreProperties>
</file>