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engqing.liu\Desktop\"/>
    </mc:Choice>
  </mc:AlternateContent>
  <xr:revisionPtr revIDLastSave="0" documentId="13_ncr:1_{45FC7FB4-28FD-4A51-A252-48A7A0AD50FF}" xr6:coauthVersionLast="36" xr6:coauthVersionMax="36" xr10:uidLastSave="{00000000-0000-0000-0000-000000000000}"/>
  <bookViews>
    <workbookView xWindow="0" yWindow="0" windowWidth="22400" windowHeight="10100" tabRatio="914" activeTab="1" xr2:uid="{00000000-000D-0000-FFFF-FFFF00000000}"/>
  </bookViews>
  <sheets>
    <sheet name="3ordPLL-Tianchi" sheetId="11" r:id="rId1"/>
    <sheet name="4ordPLL-Tianchi" sheetId="9" r:id="rId2"/>
  </sheets>
  <definedNames>
    <definedName name="_C_0">#REF!</definedName>
    <definedName name="_C_1">#REF!</definedName>
    <definedName name="_Ip">#REF!</definedName>
    <definedName name="_K">#REF!</definedName>
    <definedName name="_Kvco">#REF!</definedName>
    <definedName name="_R">#REF!</definedName>
    <definedName name="_α">#REF!</definedName>
    <definedName name="_ωp3">#REF!</definedName>
    <definedName name="_ωz">#REF!</definedName>
    <definedName name="C_0">#REF!</definedName>
    <definedName name="C_1">#REF!</definedName>
    <definedName name="Ip">#REF!</definedName>
    <definedName name="K">#REF!</definedName>
    <definedName name="Kvco">#REF!</definedName>
    <definedName name="M">#REF!</definedName>
    <definedName name="R_">#REF!</definedName>
    <definedName name="α">#REF!</definedName>
    <definedName name="λ">#REF!</definedName>
    <definedName name="ωc">#REF!</definedName>
    <definedName name="ωn">#REF!</definedName>
    <definedName name="ωp">#REF!</definedName>
    <definedName name="ωp3">#REF!</definedName>
    <definedName name="ωz">#REF!</definedName>
    <definedName name="变量">#REF!</definedName>
    <definedName name="哈哈哈">#REF!</definedName>
  </definedNames>
  <calcPr calcId="191029"/>
</workbook>
</file>

<file path=xl/calcChain.xml><?xml version="1.0" encoding="utf-8"?>
<calcChain xmlns="http://schemas.openxmlformats.org/spreadsheetml/2006/main">
  <c r="B6" i="11" l="1"/>
  <c r="B6" i="9"/>
  <c r="B11" i="9" s="1"/>
  <c r="J14" i="9"/>
  <c r="I14" i="9"/>
  <c r="K14" i="9" s="1"/>
  <c r="C8" i="11" l="1"/>
  <c r="L15" i="11"/>
  <c r="B10" i="11"/>
  <c r="D10" i="11"/>
  <c r="L4" i="11" l="1"/>
  <c r="N31" i="11" l="1"/>
  <c r="N30" i="11"/>
  <c r="B4" i="11" l="1"/>
  <c r="L16" i="11" l="1"/>
  <c r="J16" i="11"/>
  <c r="F19" i="11"/>
  <c r="F20" i="11"/>
  <c r="G20" i="11"/>
  <c r="O12" i="11" l="1"/>
  <c r="V8" i="11"/>
  <c r="U9" i="11"/>
  <c r="U10" i="11"/>
  <c r="U8" i="11"/>
  <c r="R46" i="9" l="1"/>
  <c r="P46" i="9"/>
  <c r="R45" i="9"/>
  <c r="P45" i="9"/>
  <c r="R44" i="9"/>
  <c r="P44" i="9"/>
  <c r="R43" i="9"/>
  <c r="P43" i="9"/>
  <c r="R42" i="9"/>
  <c r="P42" i="9"/>
  <c r="R41" i="9"/>
  <c r="R40" i="9"/>
  <c r="L19" i="11"/>
  <c r="J19" i="11"/>
  <c r="J18" i="11"/>
  <c r="J17" i="11"/>
  <c r="K15" i="11"/>
  <c r="K16" i="11"/>
  <c r="L18" i="11"/>
  <c r="L17" i="11"/>
  <c r="P40" i="9" l="1"/>
  <c r="P41" i="9"/>
  <c r="J15" i="11"/>
  <c r="L22" i="9" l="1"/>
  <c r="J22" i="9"/>
  <c r="B4" i="9"/>
  <c r="B3" i="9"/>
  <c r="D2" i="11" l="1"/>
  <c r="F10" i="11" l="1"/>
  <c r="B11" i="11"/>
  <c r="K4" i="11"/>
  <c r="J4" i="11"/>
  <c r="B12" i="11" l="1"/>
  <c r="B13" i="11" s="1"/>
  <c r="B15" i="11" s="1"/>
  <c r="D15" i="11" l="1"/>
  <c r="B16" i="11"/>
  <c r="H10" i="11"/>
  <c r="D16" i="11" l="1"/>
  <c r="B17" i="11"/>
  <c r="G10" i="11"/>
  <c r="G13" i="9"/>
  <c r="B12" i="9" l="1"/>
  <c r="C8" i="9" l="1"/>
  <c r="B13" i="9" s="1"/>
  <c r="B14" i="9" s="1"/>
  <c r="E14" i="9" s="1"/>
  <c r="G15" i="9" l="1"/>
  <c r="E13" i="9" l="1"/>
  <c r="D17" i="11"/>
  <c r="B15" i="9" l="1"/>
  <c r="B16" i="9" l="1"/>
  <c r="B17" i="9" s="1"/>
  <c r="B19" i="9" s="1"/>
  <c r="E15" i="9"/>
  <c r="B18" i="9" l="1"/>
  <c r="B21" i="9" s="1"/>
  <c r="D21" i="9" l="1"/>
  <c r="B23" i="9"/>
  <c r="D23" i="9" s="1"/>
  <c r="B25" i="9" l="1"/>
  <c r="D25" i="9" s="1"/>
  <c r="B22" i="9"/>
  <c r="D22" i="9" s="1"/>
  <c r="B24" i="9" l="1"/>
  <c r="D24" i="9" s="1"/>
</calcChain>
</file>

<file path=xl/sharedStrings.xml><?xml version="1.0" encoding="utf-8"?>
<sst xmlns="http://schemas.openxmlformats.org/spreadsheetml/2006/main" count="137" uniqueCount="108">
  <si>
    <t>A0</t>
    <phoneticPr fontId="3" type="noConversion"/>
  </si>
  <si>
    <t>A1</t>
    <phoneticPr fontId="3" type="noConversion"/>
  </si>
  <si>
    <t>C1</t>
    <phoneticPr fontId="3" type="noConversion"/>
  </si>
  <si>
    <t>C3</t>
    <phoneticPr fontId="3" type="noConversion"/>
  </si>
  <si>
    <t>C2</t>
    <phoneticPr fontId="3" type="noConversion"/>
  </si>
  <si>
    <t>Icp</t>
    <phoneticPr fontId="3" type="noConversion"/>
  </si>
  <si>
    <t>Hz/V</t>
    <phoneticPr fontId="3" type="noConversion"/>
  </si>
  <si>
    <t>N反馈分频</t>
    <phoneticPr fontId="3" type="noConversion"/>
  </si>
  <si>
    <t>Wc</t>
    <phoneticPr fontId="3" type="noConversion"/>
  </si>
  <si>
    <t>Hz</t>
    <phoneticPr fontId="3" type="noConversion"/>
  </si>
  <si>
    <t>PM(φ)</t>
    <phoneticPr fontId="3" type="noConversion"/>
  </si>
  <si>
    <r>
      <t>τ</t>
    </r>
    <r>
      <rPr>
        <vertAlign val="subscript"/>
        <sz val="11"/>
        <color theme="1"/>
        <rFont val="Microsoft JhengHei"/>
        <family val="2"/>
        <charset val="136"/>
      </rPr>
      <t>31</t>
    </r>
    <phoneticPr fontId="3" type="noConversion"/>
  </si>
  <si>
    <t>τ1</t>
    <phoneticPr fontId="3" type="noConversion"/>
  </si>
  <si>
    <t>MHz</t>
    <phoneticPr fontId="3" type="noConversion"/>
  </si>
  <si>
    <t>τ3</t>
    <phoneticPr fontId="3" type="noConversion"/>
  </si>
  <si>
    <t>τ2</t>
    <phoneticPr fontId="3" type="noConversion"/>
  </si>
  <si>
    <t>MHz</t>
    <phoneticPr fontId="3" type="noConversion"/>
  </si>
  <si>
    <t>Ctot</t>
    <phoneticPr fontId="3" type="noConversion"/>
  </si>
  <si>
    <t>A2</t>
  </si>
  <si>
    <t>R2</t>
    <phoneticPr fontId="3" type="noConversion"/>
  </si>
  <si>
    <t>Ω</t>
    <phoneticPr fontId="3" type="noConversion"/>
  </si>
  <si>
    <t>kΩ</t>
    <phoneticPr fontId="3" type="noConversion"/>
  </si>
  <si>
    <t>R3</t>
    <phoneticPr fontId="3" type="noConversion"/>
  </si>
  <si>
    <t>Ω</t>
    <phoneticPr fontId="3" type="noConversion"/>
  </si>
  <si>
    <t>kΩ</t>
    <phoneticPr fontId="3" type="noConversion"/>
  </si>
  <si>
    <t>fp1</t>
    <phoneticPr fontId="3" type="noConversion"/>
  </si>
  <si>
    <t>fp2</t>
  </si>
  <si>
    <t>fz</t>
    <phoneticPr fontId="3" type="noConversion"/>
  </si>
  <si>
    <r>
      <t>首先根据可PFD和VCO确定M范围，其PM最佳的时候的分频数M</t>
    </r>
    <r>
      <rPr>
        <vertAlign val="subscript"/>
        <sz val="11"/>
        <color theme="1"/>
        <rFont val="宋体"/>
        <family val="3"/>
        <charset val="134"/>
      </rPr>
      <t>best</t>
    </r>
    <r>
      <rPr>
        <sz val="11"/>
        <color theme="1"/>
        <rFont val="宋体"/>
        <family val="3"/>
        <charset val="134"/>
      </rPr>
      <t>=(M</t>
    </r>
    <r>
      <rPr>
        <vertAlign val="subscript"/>
        <sz val="11"/>
        <color theme="1"/>
        <rFont val="宋体"/>
        <family val="3"/>
        <charset val="134"/>
      </rPr>
      <t>min</t>
    </r>
    <r>
      <rPr>
        <sz val="11"/>
        <color theme="1"/>
        <rFont val="宋体"/>
        <family val="3"/>
        <charset val="134"/>
      </rPr>
      <t>*M</t>
    </r>
    <r>
      <rPr>
        <vertAlign val="subscript"/>
        <sz val="11"/>
        <color theme="1"/>
        <rFont val="宋体"/>
        <family val="3"/>
        <charset val="134"/>
      </rPr>
      <t>max</t>
    </r>
    <r>
      <rPr>
        <sz val="11"/>
        <color theme="1"/>
        <rFont val="宋体"/>
        <family val="3"/>
        <charset val="134"/>
      </rPr>
      <t>)^0.5,利用M</t>
    </r>
    <r>
      <rPr>
        <vertAlign val="subscript"/>
        <sz val="11"/>
        <color theme="1"/>
        <rFont val="宋体"/>
        <family val="3"/>
        <charset val="134"/>
      </rPr>
      <t>best</t>
    </r>
    <r>
      <rPr>
        <sz val="11"/>
        <color theme="1"/>
        <rFont val="宋体"/>
        <family val="3"/>
        <charset val="134"/>
      </rPr>
      <t>和其他参数算出LPF值，然后在Candence建模，将LPF和已知参数构造传函，如果M范围为10-256,就得验证10-256所有分频数,看在所有情况下PM是否均稳定</t>
    </r>
    <phoneticPr fontId="3" type="noConversion"/>
  </si>
  <si>
    <t>经candence验证结果一致,PM在30 40 50 60 70条件下仅差1°</t>
    <phoneticPr fontId="3" type="noConversion"/>
  </si>
  <si>
    <r>
      <t>PM</t>
    </r>
    <r>
      <rPr>
        <sz val="11"/>
        <color rgb="FF7030A0"/>
        <rFont val="宋体"/>
        <family val="3"/>
        <charset val="134"/>
      </rPr>
      <t>最差的点出现在M最小和M最大的点</t>
    </r>
    <phoneticPr fontId="3" type="noConversion"/>
  </si>
  <si>
    <r>
      <t>PM</t>
    </r>
    <r>
      <rPr>
        <sz val="11"/>
        <color rgb="FF7030A0"/>
        <rFont val="宋体"/>
        <family val="3"/>
        <charset val="134"/>
      </rPr>
      <t>最佳的点大概出现在</t>
    </r>
    <r>
      <rPr>
        <sz val="11"/>
        <color rgb="FF7030A0"/>
        <rFont val="Cambria"/>
        <family val="1"/>
      </rPr>
      <t>Mbest=(Mmin*Mmax)^0.5</t>
    </r>
    <phoneticPr fontId="3" type="noConversion"/>
  </si>
  <si>
    <t>pF</t>
    <phoneticPr fontId="3" type="noConversion"/>
  </si>
  <si>
    <t>pF</t>
    <phoneticPr fontId="3" type="noConversion"/>
  </si>
  <si>
    <t xml:space="preserve">F </t>
    <phoneticPr fontId="3" type="noConversion"/>
  </si>
  <si>
    <t xml:space="preserve">F </t>
    <phoneticPr fontId="3" type="noConversion"/>
  </si>
  <si>
    <t xml:space="preserve">F </t>
    <phoneticPr fontId="3" type="noConversion"/>
  </si>
  <si>
    <t>A</t>
    <phoneticPr fontId="3" type="noConversion"/>
  </si>
  <si>
    <t>τ2</t>
    <phoneticPr fontId="3" type="noConversion"/>
  </si>
  <si>
    <r>
      <t>C</t>
    </r>
    <r>
      <rPr>
        <sz val="11"/>
        <color theme="1"/>
        <rFont val="Microsoft JhengHei"/>
        <family val="2"/>
      </rPr>
      <t>1</t>
    </r>
    <phoneticPr fontId="3" type="noConversion"/>
  </si>
  <si>
    <r>
      <t>C</t>
    </r>
    <r>
      <rPr>
        <sz val="11"/>
        <color theme="1"/>
        <rFont val="Microsoft JhengHei"/>
        <family val="2"/>
      </rPr>
      <t>2</t>
    </r>
    <phoneticPr fontId="3" type="noConversion"/>
  </si>
  <si>
    <r>
      <t>R</t>
    </r>
    <r>
      <rPr>
        <sz val="11"/>
        <color theme="1"/>
        <rFont val="Microsoft JhengHei"/>
        <family val="2"/>
      </rPr>
      <t>2</t>
    </r>
    <phoneticPr fontId="3" type="noConversion"/>
  </si>
  <si>
    <t>F</t>
    <phoneticPr fontId="3" type="noConversion"/>
  </si>
  <si>
    <t>F</t>
    <phoneticPr fontId="3" type="noConversion"/>
  </si>
  <si>
    <t>Ω</t>
    <phoneticPr fontId="3" type="noConversion"/>
  </si>
  <si>
    <t>kΩ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</si>
  <si>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F</t>
    </r>
    <phoneticPr fontId="3" type="noConversion"/>
  </si>
  <si>
    <t>在此基础上需要将分频数范围的PM验证一下</t>
    <phoneticPr fontId="3" type="noConversion"/>
  </si>
  <si>
    <t>PM最差的情况出现在分频数最小和最大的点</t>
    <phoneticPr fontId="3" type="noConversion"/>
  </si>
  <si>
    <t>这个N分频器取的最好取N最大和最小的几何平均值，可以淡化边缘对它的影响，所以在几何均值的时候，PM最佳</t>
    <phoneticPr fontId="3" type="noConversion"/>
  </si>
  <si>
    <t>KVCO注意是Hz/V,需要转换成Rad</t>
    <phoneticPr fontId="3" type="noConversion"/>
  </si>
  <si>
    <t>rad/V</t>
    <phoneticPr fontId="3" type="noConversion"/>
  </si>
  <si>
    <t>预设值</t>
    <phoneticPr fontId="3" type="noConversion"/>
  </si>
  <si>
    <t>该处的Kvco-f是通过仿真VCO得到的，该处值是频率，并非角频率</t>
    <phoneticPr fontId="3" type="noConversion"/>
  </si>
  <si>
    <t>在传递函数中这里面所有的都必须是角频率</t>
    <phoneticPr fontId="3" type="noConversion"/>
  </si>
  <si>
    <t>可参考拉扎维书籍，KVCO是ω相关的表达式</t>
    <phoneticPr fontId="3" type="noConversion"/>
  </si>
  <si>
    <t>该处的KVCO单位为角频率单位,若给的值是频率必须得*2pi</t>
    <phoneticPr fontId="3" type="noConversion"/>
  </si>
  <si>
    <t>Hz/V</t>
    <phoneticPr fontId="3" type="noConversion"/>
  </si>
  <si>
    <t>rad/V</t>
    <phoneticPr fontId="3" type="noConversion"/>
  </si>
  <si>
    <r>
      <t>中</t>
    </r>
    <r>
      <rPr>
        <sz val="11"/>
        <color theme="1"/>
        <rFont val="宋体"/>
        <family val="3"/>
        <charset val="134"/>
      </rPr>
      <t>间</t>
    </r>
    <r>
      <rPr>
        <sz val="11"/>
        <color theme="1"/>
        <rFont val="Microsoft JhengHei"/>
        <family val="2"/>
      </rPr>
      <t>量</t>
    </r>
    <phoneticPr fontId="3" type="noConversion"/>
  </si>
  <si>
    <r>
      <t>LPF</t>
    </r>
    <r>
      <rPr>
        <sz val="11"/>
        <color theme="1"/>
        <rFont val="宋体"/>
        <family val="3"/>
        <charset val="134"/>
      </rPr>
      <t>参数计算</t>
    </r>
    <phoneticPr fontId="3" type="noConversion"/>
  </si>
  <si>
    <r>
      <t>LPF</t>
    </r>
    <r>
      <rPr>
        <sz val="11"/>
        <color theme="1"/>
        <rFont val="宋体"/>
        <family val="3"/>
        <charset val="134"/>
      </rPr>
      <t>参数计算</t>
    </r>
    <phoneticPr fontId="3" type="noConversion"/>
  </si>
  <si>
    <t>-</t>
    <phoneticPr fontId="3" type="noConversion"/>
  </si>
  <si>
    <t>Kvco(f)</t>
    <phoneticPr fontId="3" type="noConversion"/>
  </si>
  <si>
    <r>
      <t>Kvco(</t>
    </r>
    <r>
      <rPr>
        <sz val="11"/>
        <color theme="1"/>
        <rFont val="Microsoft JhengHei"/>
        <family val="2"/>
      </rPr>
      <t>ω</t>
    </r>
    <r>
      <rPr>
        <sz val="11"/>
        <color theme="1"/>
        <rFont val="Microsoft JhengHei"/>
        <family val="2"/>
        <charset val="136"/>
      </rPr>
      <t>)</t>
    </r>
    <phoneticPr fontId="3" type="noConversion"/>
  </si>
  <si>
    <r>
      <t>Kvco(</t>
    </r>
    <r>
      <rPr>
        <sz val="11"/>
        <color theme="1"/>
        <rFont val="Microsoft JhengHei"/>
        <family val="2"/>
      </rPr>
      <t>ω</t>
    </r>
    <r>
      <rPr>
        <sz val="11"/>
        <color theme="1"/>
        <rFont val="Microsoft JhengHei"/>
        <family val="2"/>
        <charset val="136"/>
      </rPr>
      <t>)</t>
    </r>
    <phoneticPr fontId="3" type="noConversion"/>
  </si>
  <si>
    <t>极点因子</t>
    <phoneticPr fontId="3" type="noConversion"/>
  </si>
  <si>
    <t>rad/s</t>
    <phoneticPr fontId="3" type="noConversion"/>
  </si>
  <si>
    <t>10-20</t>
    <phoneticPr fontId="3" type="noConversion"/>
  </si>
  <si>
    <t>输入最小参考频率和环路带宽比值</t>
    <phoneticPr fontId="3" type="noConversion"/>
  </si>
  <si>
    <t>输入最小参考频率和环路带宽比值</t>
    <phoneticPr fontId="3" type="noConversion"/>
  </si>
  <si>
    <t>Fref/fc占比</t>
    <phoneticPr fontId="3" type="noConversion"/>
  </si>
  <si>
    <t>Fref/fc占比</t>
    <phoneticPr fontId="3" type="noConversion"/>
  </si>
  <si>
    <t>Ctot=C1+C2+C3</t>
    <phoneticPr fontId="3" type="noConversion"/>
  </si>
  <si>
    <t>Fref(PFD)</t>
    <phoneticPr fontId="3" type="noConversion"/>
  </si>
  <si>
    <t>Fref(PFD)</t>
    <phoneticPr fontId="3" type="noConversion"/>
  </si>
  <si>
    <t>min</t>
    <phoneticPr fontId="3" type="noConversion"/>
  </si>
  <si>
    <t>max</t>
    <phoneticPr fontId="3" type="noConversion"/>
  </si>
  <si>
    <t>Typ</t>
    <phoneticPr fontId="3" type="noConversion"/>
  </si>
  <si>
    <t>Var</t>
    <phoneticPr fontId="3" type="noConversion"/>
  </si>
  <si>
    <t>Test-case</t>
    <phoneticPr fontId="3" type="noConversion"/>
  </si>
  <si>
    <t>C1(pF)</t>
    <phoneticPr fontId="3" type="noConversion"/>
  </si>
  <si>
    <t>R2(kΩ)</t>
    <phoneticPr fontId="3" type="noConversion"/>
  </si>
  <si>
    <t>R3(kΩ)</t>
  </si>
  <si>
    <t>C2(pF)</t>
    <phoneticPr fontId="3" type="noConversion"/>
  </si>
  <si>
    <t>C3(pF)</t>
    <phoneticPr fontId="3" type="noConversion"/>
  </si>
  <si>
    <t>Icp(uA)</t>
    <phoneticPr fontId="3" type="noConversion"/>
  </si>
  <si>
    <t>MHz</t>
    <phoneticPr fontId="3" type="noConversion"/>
  </si>
  <si>
    <t>WC预设</t>
    <phoneticPr fontId="3" type="noConversion"/>
  </si>
  <si>
    <t>G</t>
    <phoneticPr fontId="3" type="noConversion"/>
  </si>
  <si>
    <t>BG电流</t>
    <phoneticPr fontId="3" type="noConversion"/>
  </si>
  <si>
    <t>FF(uA)</t>
    <phoneticPr fontId="3" type="noConversion"/>
  </si>
  <si>
    <t>TT(uA)</t>
    <phoneticPr fontId="3" type="noConversion"/>
  </si>
  <si>
    <t>SS(uA)</t>
    <phoneticPr fontId="3" type="noConversion"/>
  </si>
  <si>
    <t>FF(fF)</t>
    <phoneticPr fontId="3" type="noConversion"/>
  </si>
  <si>
    <t>TT(fF)</t>
    <phoneticPr fontId="3" type="noConversion"/>
  </si>
  <si>
    <t>SS(fF)</t>
    <phoneticPr fontId="3" type="noConversion"/>
  </si>
  <si>
    <t>单位组合电容</t>
    <phoneticPr fontId="3" type="noConversion"/>
  </si>
  <si>
    <t>vc=0.2</t>
    <phoneticPr fontId="3" type="noConversion"/>
  </si>
  <si>
    <t>vc=0.8</t>
    <phoneticPr fontId="3" type="noConversion"/>
  </si>
  <si>
    <r>
      <t>温度系数(</t>
    </r>
    <r>
      <rPr>
        <sz val="11"/>
        <color theme="1"/>
        <rFont val="Times New Roman"/>
        <family val="1"/>
      </rPr>
      <t>C)</t>
    </r>
    <phoneticPr fontId="3" type="noConversion"/>
  </si>
  <si>
    <t>PVT(max/min-1)</t>
    <phoneticPr fontId="3" type="noConversion"/>
  </si>
  <si>
    <t>corner(max/min-1)</t>
    <phoneticPr fontId="3" type="noConversion"/>
  </si>
  <si>
    <t>settingtime需要看t=CV/I</t>
    <phoneticPr fontId="3" type="noConversion"/>
  </si>
  <si>
    <t>但是将I设大一倍相应的C2也变大一倍了，此时可将环路带宽提高，电容就小了</t>
    <phoneticPr fontId="3" type="noConversion"/>
  </si>
  <si>
    <t>十分之一实际上是闭环的PLL带宽是pfd的十分之一</t>
    <phoneticPr fontId="3" type="noConversion"/>
  </si>
  <si>
    <t>几何均值</t>
    <phoneticPr fontId="3" type="noConversion"/>
  </si>
  <si>
    <t>LPF两个极点距离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</si>
</sst>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%"/>
    <numFmt numFmtId="178" formatCode="0.0000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Cambria"/>
      <family val="1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.5"/>
      <color theme="1"/>
      <name val="Microsoft YaHei UI"/>
      <family val="2"/>
      <charset val="134"/>
    </font>
    <font>
      <sz val="11"/>
      <color theme="1"/>
      <name val="Microsoft JhengHei"/>
      <family val="2"/>
      <charset val="136"/>
    </font>
    <font>
      <vertAlign val="subscript"/>
      <sz val="11"/>
      <color theme="1"/>
      <name val="Microsoft JhengHei"/>
      <family val="2"/>
      <charset val="136"/>
    </font>
    <font>
      <vertAlign val="subscript"/>
      <sz val="11"/>
      <color theme="1"/>
      <name val="宋体"/>
      <family val="3"/>
      <charset val="134"/>
    </font>
    <font>
      <sz val="11"/>
      <color rgb="FF7030A0"/>
      <name val="宋体"/>
      <family val="3"/>
      <charset val="134"/>
    </font>
    <font>
      <sz val="11"/>
      <color rgb="FF7030A0"/>
      <name val="Cambria"/>
      <family val="1"/>
    </font>
    <font>
      <sz val="11"/>
      <color theme="1"/>
      <name val="Microsoft JhengHei"/>
      <family val="2"/>
    </font>
    <font>
      <sz val="11"/>
      <color rgb="FFC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Microsoft JhengHei"/>
      <family val="2"/>
      <charset val="136"/>
    </font>
    <font>
      <sz val="11"/>
      <color rgb="FF0070C0"/>
      <name val="宋体"/>
      <family val="3"/>
      <charset val="134"/>
      <scheme val="minor"/>
    </font>
    <font>
      <sz val="11"/>
      <color rgb="FF0070C0"/>
      <name val="Microsoft JhengHei"/>
      <family val="2"/>
      <charset val="136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11" fontId="1" fillId="0" borderId="0" xfId="0" applyNumberFormat="1" applyFont="1">
      <alignment vertical="center"/>
    </xf>
    <xf numFmtId="11" fontId="4" fillId="0" borderId="0" xfId="0" applyNumberFormat="1" applyFont="1" applyAlignment="1"/>
    <xf numFmtId="0" fontId="0" fillId="0" borderId="0" xfId="0" applyAlignment="1"/>
    <xf numFmtId="0" fontId="0" fillId="0" borderId="0" xfId="0" applyNumberForma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2" fontId="0" fillId="0" borderId="0" xfId="0" applyNumberFormat="1" applyAlignment="1"/>
    <xf numFmtId="0" fontId="7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4" fillId="0" borderId="0" xfId="0" applyFont="1" applyAlignment="1"/>
    <xf numFmtId="11" fontId="2" fillId="0" borderId="0" xfId="0" applyNumberFormat="1" applyFont="1" applyAlignment="1">
      <alignment vertical="center" wrapText="1"/>
    </xf>
    <xf numFmtId="11" fontId="11" fillId="0" borderId="0" xfId="0" applyNumberFormat="1" applyFont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 applyAlignment="1"/>
    <xf numFmtId="177" fontId="0" fillId="0" borderId="0" xfId="1" applyNumberFormat="1" applyFont="1">
      <alignment vertical="center"/>
    </xf>
    <xf numFmtId="0" fontId="7" fillId="0" borderId="0" xfId="0" applyFont="1" applyAlignment="1">
      <alignment horizontal="left"/>
    </xf>
    <xf numFmtId="0" fontId="7" fillId="0" borderId="4" xfId="0" applyFont="1" applyBorder="1" applyAlignment="1"/>
    <xf numFmtId="11" fontId="0" fillId="0" borderId="0" xfId="0" applyNumberForma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/>
    <xf numFmtId="0" fontId="7" fillId="0" borderId="6" xfId="0" applyFont="1" applyBorder="1" applyAlignment="1"/>
    <xf numFmtId="0" fontId="13" fillId="0" borderId="7" xfId="0" applyFont="1" applyBorder="1" applyAlignment="1">
      <alignment horizontal="left"/>
    </xf>
    <xf numFmtId="0" fontId="13" fillId="0" borderId="0" xfId="0" applyFont="1">
      <alignment vertical="center"/>
    </xf>
    <xf numFmtId="0" fontId="7" fillId="0" borderId="1" xfId="0" applyFont="1" applyBorder="1" applyAlignment="1"/>
    <xf numFmtId="0" fontId="7" fillId="0" borderId="3" xfId="0" applyFont="1" applyBorder="1" applyAlignment="1">
      <alignment horizontal="left"/>
    </xf>
    <xf numFmtId="0" fontId="4" fillId="0" borderId="3" xfId="0" applyFont="1" applyBorder="1">
      <alignment vertical="center"/>
    </xf>
    <xf numFmtId="11" fontId="4" fillId="0" borderId="5" xfId="0" applyNumberFormat="1" applyFont="1" applyBorder="1">
      <alignment vertical="center"/>
    </xf>
    <xf numFmtId="0" fontId="7" fillId="0" borderId="8" xfId="0" applyFont="1" applyBorder="1" applyAlignment="1"/>
    <xf numFmtId="0" fontId="4" fillId="0" borderId="5" xfId="0" applyFont="1" applyBorder="1" applyAlignment="1"/>
    <xf numFmtId="0" fontId="13" fillId="0" borderId="0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11" fontId="0" fillId="0" borderId="7" xfId="0" applyNumberFormat="1" applyBorder="1" applyAlignment="1">
      <alignment horizontal="left"/>
    </xf>
    <xf numFmtId="0" fontId="7" fillId="0" borderId="8" xfId="0" applyFont="1" applyBorder="1" applyAlignment="1">
      <alignment horizontal="left"/>
    </xf>
    <xf numFmtId="11" fontId="4" fillId="0" borderId="2" xfId="0" applyNumberFormat="1" applyFont="1" applyBorder="1" applyAlignment="1">
      <alignment horizontal="left"/>
    </xf>
    <xf numFmtId="11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6" fontId="4" fillId="0" borderId="8" xfId="0" applyNumberFormat="1" applyFont="1" applyBorder="1" applyAlignment="1">
      <alignment horizontal="left"/>
    </xf>
    <xf numFmtId="11" fontId="4" fillId="0" borderId="0" xfId="0" applyNumberFormat="1" applyFont="1" applyBorder="1" applyAlignment="1">
      <alignment horizontal="left" vertical="center"/>
    </xf>
    <xf numFmtId="0" fontId="4" fillId="0" borderId="5" xfId="0" applyFont="1" applyBorder="1">
      <alignment vertical="center"/>
    </xf>
    <xf numFmtId="11" fontId="4" fillId="0" borderId="7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11" fontId="4" fillId="0" borderId="2" xfId="0" applyNumberFormat="1" applyFont="1" applyBorder="1" applyAlignment="1">
      <alignment horizontal="left" vertical="center"/>
    </xf>
    <xf numFmtId="11" fontId="0" fillId="0" borderId="2" xfId="0" applyNumberFormat="1" applyBorder="1" applyAlignment="1">
      <alignment horizontal="left"/>
    </xf>
    <xf numFmtId="0" fontId="0" fillId="0" borderId="8" xfId="0" applyBorder="1" applyAlignment="1"/>
    <xf numFmtId="0" fontId="16" fillId="0" borderId="3" xfId="0" applyFont="1" applyBorder="1" applyAlignment="1">
      <alignment horizontal="left"/>
    </xf>
    <xf numFmtId="0" fontId="7" fillId="0" borderId="2" xfId="0" applyFont="1" applyBorder="1" applyAlignment="1"/>
    <xf numFmtId="49" fontId="18" fillId="0" borderId="5" xfId="0" applyNumberFormat="1" applyFont="1" applyBorder="1" applyAlignment="1">
      <alignment horizontal="left"/>
    </xf>
    <xf numFmtId="0" fontId="17" fillId="0" borderId="0" xfId="0" applyNumberFormat="1" applyFont="1" applyBorder="1" applyAlignment="1">
      <alignment horizontal="left"/>
    </xf>
    <xf numFmtId="0" fontId="18" fillId="0" borderId="4" xfId="0" applyFont="1" applyBorder="1" applyAlignment="1"/>
    <xf numFmtId="0" fontId="7" fillId="0" borderId="12" xfId="0" applyFont="1" applyBorder="1" applyAlignment="1">
      <alignment horizontal="left"/>
    </xf>
    <xf numFmtId="0" fontId="7" fillId="0" borderId="12" xfId="0" applyFont="1" applyBorder="1" applyAlignment="1"/>
    <xf numFmtId="9" fontId="7" fillId="0" borderId="12" xfId="0" applyNumberFormat="1" applyFont="1" applyBorder="1" applyAlignment="1">
      <alignment horizontal="left"/>
    </xf>
    <xf numFmtId="11" fontId="7" fillId="0" borderId="12" xfId="0" applyNumberFormat="1" applyFont="1" applyBorder="1" applyAlignment="1">
      <alignment horizontal="left"/>
    </xf>
    <xf numFmtId="9" fontId="7" fillId="0" borderId="12" xfId="1" applyFont="1" applyBorder="1" applyAlignment="1">
      <alignment horizontal="left"/>
    </xf>
    <xf numFmtId="2" fontId="7" fillId="0" borderId="12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4" fillId="0" borderId="12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0" fillId="5" borderId="12" xfId="0" applyFill="1" applyBorder="1" applyAlignment="1">
      <alignment horizontal="center" vertical="center"/>
    </xf>
    <xf numFmtId="177" fontId="0" fillId="0" borderId="12" xfId="1" applyNumberFormat="1" applyFont="1" applyBorder="1" applyAlignment="1">
      <alignment horizontal="center" vertical="center"/>
    </xf>
    <xf numFmtId="177" fontId="7" fillId="0" borderId="12" xfId="0" applyNumberFormat="1" applyFont="1" applyBorder="1" applyAlignment="1">
      <alignment horizontal="left"/>
    </xf>
    <xf numFmtId="0" fontId="4" fillId="7" borderId="12" xfId="0" applyFont="1" applyFill="1" applyBorder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177" fontId="0" fillId="0" borderId="12" xfId="1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1" fontId="2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5" fillId="0" borderId="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128222</xdr:colOff>
      <xdr:row>12</xdr:row>
      <xdr:rowOff>87679</xdr:rowOff>
    </xdr:from>
    <xdr:to>
      <xdr:col>17</xdr:col>
      <xdr:colOff>544049</xdr:colOff>
      <xdr:row>25</xdr:row>
      <xdr:rowOff>45769</xdr:rowOff>
    </xdr:to>
    <xdr:pic>
      <xdr:nvPicPr>
        <xdr:cNvPr id="2" name="内容占位符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9880357" y="2351698"/>
          <a:ext cx="3126788" cy="2339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18</xdr:col>
      <xdr:colOff>224693</xdr:colOff>
      <xdr:row>20</xdr:row>
      <xdr:rowOff>54707</xdr:rowOff>
    </xdr:from>
    <xdr:to>
      <xdr:col>21</xdr:col>
      <xdr:colOff>184053</xdr:colOff>
      <xdr:row>24</xdr:row>
      <xdr:rowOff>145704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5924" y="3784111"/>
          <a:ext cx="2531110" cy="823689"/>
        </a:xfrm>
        <a:prstGeom prst="rect">
          <a:avLst/>
        </a:prstGeom>
      </xdr:spPr>
    </xdr:pic>
    <xdr:clientData/>
  </xdr:twoCellAnchor>
  <xdr:twoCellAnchor editAs="oneCell">
    <xdr:from>
      <xdr:col>18</xdr:col>
      <xdr:colOff>174381</xdr:colOff>
      <xdr:row>14</xdr:row>
      <xdr:rowOff>177801</xdr:rowOff>
    </xdr:from>
    <xdr:to>
      <xdr:col>22</xdr:col>
      <xdr:colOff>295666</xdr:colOff>
      <xdr:row>18</xdr:row>
      <xdr:rowOff>162501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45612" y="2815493"/>
          <a:ext cx="3814054" cy="72472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11</xdr:row>
      <xdr:rowOff>85725</xdr:rowOff>
    </xdr:from>
    <xdr:to>
      <xdr:col>20</xdr:col>
      <xdr:colOff>869042</xdr:colOff>
      <xdr:row>13</xdr:row>
      <xdr:rowOff>83137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44450" y="2143125"/>
          <a:ext cx="2180952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17829</xdr:colOff>
      <xdr:row>22</xdr:row>
      <xdr:rowOff>135303</xdr:rowOff>
    </xdr:from>
    <xdr:to>
      <xdr:col>11</xdr:col>
      <xdr:colOff>189916</xdr:colOff>
      <xdr:row>35</xdr:row>
      <xdr:rowOff>59174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29" y="4231053"/>
          <a:ext cx="8502799" cy="2305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7327</xdr:rowOff>
    </xdr:from>
    <xdr:to>
      <xdr:col>7</xdr:col>
      <xdr:colOff>225425</xdr:colOff>
      <xdr:row>61</xdr:row>
      <xdr:rowOff>7327</xdr:rowOff>
    </xdr:to>
    <xdr:pic>
      <xdr:nvPicPr>
        <xdr:cNvPr id="15" name="内容占位符 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 bwMode="auto">
        <a:xfrm>
          <a:off x="0" y="6667500"/>
          <a:ext cx="4900002" cy="45793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89535</xdr:rowOff>
    </xdr:from>
    <xdr:to>
      <xdr:col>4</xdr:col>
      <xdr:colOff>459105</xdr:colOff>
      <xdr:row>37</xdr:row>
      <xdr:rowOff>118348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64555"/>
          <a:ext cx="4032885" cy="1080373"/>
        </a:xfrm>
        <a:prstGeom prst="rect">
          <a:avLst/>
        </a:prstGeom>
      </xdr:spPr>
    </xdr:pic>
    <xdr:clientData/>
  </xdr:twoCellAnchor>
  <xdr:twoCellAnchor editAs="oneCell">
    <xdr:from>
      <xdr:col>12</xdr:col>
      <xdr:colOff>62865</xdr:colOff>
      <xdr:row>7</xdr:row>
      <xdr:rowOff>91440</xdr:rowOff>
    </xdr:from>
    <xdr:to>
      <xdr:col>18</xdr:col>
      <xdr:colOff>384626</xdr:colOff>
      <xdr:row>18</xdr:row>
      <xdr:rowOff>50896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9745" y="1394460"/>
          <a:ext cx="4688021" cy="2115916"/>
        </a:xfrm>
        <a:prstGeom prst="rect">
          <a:avLst/>
        </a:prstGeom>
      </xdr:spPr>
    </xdr:pic>
    <xdr:clientData/>
  </xdr:twoCellAnchor>
  <xdr:twoCellAnchor editAs="oneCell">
    <xdr:from>
      <xdr:col>14</xdr:col>
      <xdr:colOff>419735</xdr:colOff>
      <xdr:row>19</xdr:row>
      <xdr:rowOff>17145</xdr:rowOff>
    </xdr:from>
    <xdr:to>
      <xdr:col>24</xdr:col>
      <xdr:colOff>465455</xdr:colOff>
      <xdr:row>33</xdr:row>
      <xdr:rowOff>82693</xdr:rowOff>
    </xdr:to>
    <xdr:pic>
      <xdr:nvPicPr>
        <xdr:cNvPr id="5" name="内容占位符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10211435" y="3636645"/>
          <a:ext cx="6560820" cy="26658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674370</xdr:colOff>
      <xdr:row>10</xdr:row>
      <xdr:rowOff>17145</xdr:rowOff>
    </xdr:from>
    <xdr:to>
      <xdr:col>11</xdr:col>
      <xdr:colOff>36565</xdr:colOff>
      <xdr:row>28</xdr:row>
      <xdr:rowOff>94843</xdr:rowOff>
    </xdr:to>
    <xdr:pic>
      <xdr:nvPicPr>
        <xdr:cNvPr id="7" name="内容占位符 3">
          <a:extLst>
            <a:ext uri="{FF2B5EF4-FFF2-40B4-BE49-F238E27FC236}">
              <a16:creationId xmlns:a16="http://schemas.microsoft.com/office/drawing/2014/main" id="{D1E7C5A8-ACFE-40FE-BA42-ABEC66DCD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0" y="1952625"/>
          <a:ext cx="3629395" cy="3491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topLeftCell="A10" zoomScale="130" zoomScaleNormal="130" workbookViewId="0">
      <selection activeCell="Q32" sqref="Q32"/>
    </sheetView>
  </sheetViews>
  <sheetFormatPr defaultRowHeight="14" x14ac:dyDescent="0.25"/>
  <cols>
    <col min="1" max="1" width="11.36328125" customWidth="1"/>
    <col min="2" max="2" width="10.453125" bestFit="1" customWidth="1"/>
    <col min="3" max="3" width="8.36328125" customWidth="1"/>
    <col min="4" max="4" width="9.26953125" customWidth="1"/>
    <col min="5" max="6" width="9.453125" bestFit="1" customWidth="1"/>
    <col min="9" max="9" width="22.08984375" customWidth="1"/>
    <col min="10" max="10" width="11.453125" customWidth="1"/>
    <col min="11" max="11" width="10.08984375" bestFit="1" customWidth="1"/>
    <col min="12" max="12" width="11.6328125" customWidth="1"/>
    <col min="14" max="14" width="12.7265625" bestFit="1" customWidth="1"/>
    <col min="21" max="21" width="19.36328125" bestFit="1" customWidth="1"/>
    <col min="22" max="22" width="16.08984375" customWidth="1"/>
  </cols>
  <sheetData>
    <row r="1" spans="1:22" x14ac:dyDescent="0.25">
      <c r="E1" s="14" t="s">
        <v>105</v>
      </c>
      <c r="N1" s="74" t="s">
        <v>90</v>
      </c>
      <c r="O1" s="68">
        <v>-40</v>
      </c>
      <c r="P1" s="68">
        <v>60</v>
      </c>
      <c r="Q1" s="68">
        <v>125</v>
      </c>
    </row>
    <row r="2" spans="1:22" x14ac:dyDescent="0.25">
      <c r="A2" s="81" t="s">
        <v>52</v>
      </c>
      <c r="B2" s="82"/>
      <c r="C2" s="83"/>
      <c r="D2" s="64">
        <f>B3/10^9</f>
        <v>4.5</v>
      </c>
      <c r="E2" s="14" t="s">
        <v>89</v>
      </c>
      <c r="J2">
        <v>25</v>
      </c>
      <c r="N2" s="67" t="s">
        <v>91</v>
      </c>
      <c r="O2" s="62">
        <v>9.23</v>
      </c>
      <c r="P2" s="62">
        <v>9.35</v>
      </c>
      <c r="Q2" s="62">
        <v>9.41</v>
      </c>
    </row>
    <row r="3" spans="1:22" ht="15" x14ac:dyDescent="0.35">
      <c r="A3" s="28" t="s">
        <v>63</v>
      </c>
      <c r="B3" s="38">
        <v>4500000000</v>
      </c>
      <c r="C3" s="29" t="s">
        <v>6</v>
      </c>
      <c r="D3" s="91" t="s">
        <v>53</v>
      </c>
      <c r="E3" s="92"/>
      <c r="F3" s="92"/>
      <c r="G3" s="92"/>
      <c r="H3" s="92"/>
      <c r="I3" s="92"/>
      <c r="J3">
        <v>400</v>
      </c>
      <c r="K3">
        <v>1000</v>
      </c>
      <c r="N3" s="67" t="s">
        <v>92</v>
      </c>
      <c r="O3" s="62">
        <v>7.9</v>
      </c>
      <c r="P3" s="62">
        <v>8</v>
      </c>
      <c r="Q3" s="62">
        <v>8.06</v>
      </c>
    </row>
    <row r="4" spans="1:22" ht="15" customHeight="1" x14ac:dyDescent="0.35">
      <c r="A4" s="20" t="s">
        <v>5</v>
      </c>
      <c r="B4" s="39">
        <f>8*10^-6</f>
        <v>7.9999999999999996E-6</v>
      </c>
      <c r="C4" s="22" t="s">
        <v>37</v>
      </c>
      <c r="D4" s="27" t="s">
        <v>54</v>
      </c>
      <c r="E4" s="27"/>
      <c r="F4" s="27"/>
      <c r="G4" s="27"/>
      <c r="J4">
        <f>J3/J2</f>
        <v>16</v>
      </c>
      <c r="K4">
        <f>K3/J2</f>
        <v>40</v>
      </c>
      <c r="L4">
        <f>(J4*K4)^0.5</f>
        <v>25.298221281347036</v>
      </c>
      <c r="N4" s="67" t="s">
        <v>93</v>
      </c>
      <c r="O4" s="62">
        <v>6.93</v>
      </c>
      <c r="P4" s="62">
        <v>7.03</v>
      </c>
      <c r="Q4" s="62">
        <v>7.08</v>
      </c>
    </row>
    <row r="5" spans="1:22" ht="15" x14ac:dyDescent="0.35">
      <c r="A5" s="20" t="s">
        <v>7</v>
      </c>
      <c r="B5" s="40">
        <v>25</v>
      </c>
      <c r="C5" s="33" t="s">
        <v>62</v>
      </c>
      <c r="D5" s="93" t="s">
        <v>70</v>
      </c>
      <c r="E5" s="90" t="s">
        <v>49</v>
      </c>
      <c r="F5" s="90"/>
      <c r="G5" s="90"/>
    </row>
    <row r="6" spans="1:22" ht="15" customHeight="1" x14ac:dyDescent="0.35">
      <c r="A6" s="20" t="s">
        <v>75</v>
      </c>
      <c r="B6" s="40">
        <f>25*10^6</f>
        <v>25000000</v>
      </c>
      <c r="C6" s="22" t="s">
        <v>9</v>
      </c>
      <c r="D6" s="93"/>
      <c r="E6" s="90"/>
      <c r="F6" s="90"/>
      <c r="G6" s="90"/>
      <c r="N6" s="70" t="s">
        <v>97</v>
      </c>
      <c r="O6" s="76" t="s">
        <v>98</v>
      </c>
      <c r="P6" s="77"/>
      <c r="Q6" s="77"/>
      <c r="R6" s="76" t="s">
        <v>99</v>
      </c>
      <c r="S6" s="77"/>
      <c r="T6" s="77"/>
      <c r="U6" s="78" t="s">
        <v>102</v>
      </c>
      <c r="V6" s="79" t="s">
        <v>101</v>
      </c>
    </row>
    <row r="7" spans="1:22" ht="15" customHeight="1" x14ac:dyDescent="0.35">
      <c r="A7" s="53" t="s">
        <v>72</v>
      </c>
      <c r="B7" s="52">
        <v>25</v>
      </c>
      <c r="C7" s="51" t="s">
        <v>68</v>
      </c>
      <c r="D7" s="93"/>
      <c r="E7" s="90"/>
      <c r="F7" s="90"/>
      <c r="G7" s="90"/>
      <c r="N7" s="69" t="s">
        <v>100</v>
      </c>
      <c r="O7" s="71">
        <v>-40</v>
      </c>
      <c r="P7" s="71">
        <v>60</v>
      </c>
      <c r="Q7" s="71">
        <v>125</v>
      </c>
      <c r="R7" s="71">
        <v>-40</v>
      </c>
      <c r="S7" s="71">
        <v>60</v>
      </c>
      <c r="T7" s="71">
        <v>125</v>
      </c>
      <c r="U7" s="78"/>
      <c r="V7" s="79"/>
    </row>
    <row r="8" spans="1:22" ht="15" x14ac:dyDescent="0.35">
      <c r="A8" s="25" t="s">
        <v>10</v>
      </c>
      <c r="B8" s="26">
        <v>58</v>
      </c>
      <c r="C8" s="41">
        <f>B8/180*PI()</f>
        <v>1.0122909661567112</v>
      </c>
      <c r="D8" s="93"/>
      <c r="E8" s="90"/>
      <c r="F8" s="90"/>
      <c r="G8" s="90"/>
      <c r="N8" s="67" t="s">
        <v>94</v>
      </c>
      <c r="O8" s="62">
        <v>537.70000000000005</v>
      </c>
      <c r="P8" s="62">
        <v>534.4</v>
      </c>
      <c r="Q8" s="62">
        <v>532.29999999999995</v>
      </c>
      <c r="R8" s="62">
        <v>537</v>
      </c>
      <c r="S8" s="62">
        <v>543</v>
      </c>
      <c r="T8" s="62">
        <v>546.5</v>
      </c>
      <c r="U8" s="72">
        <f>MAX(O8:T8)/MIN(O8:T8)-1</f>
        <v>2.6676686079278644E-2</v>
      </c>
      <c r="V8" s="80">
        <f>MAX(O8:T10)/MIN(O8:T10)-1</f>
        <v>4.1944709246901857E-2</v>
      </c>
    </row>
    <row r="9" spans="1:22" ht="15" x14ac:dyDescent="0.35">
      <c r="A9" s="84" t="s">
        <v>59</v>
      </c>
      <c r="B9" s="85"/>
      <c r="C9" s="86"/>
      <c r="D9" s="60" t="s">
        <v>88</v>
      </c>
      <c r="E9" s="61"/>
      <c r="N9" s="67" t="s">
        <v>95</v>
      </c>
      <c r="O9" s="62">
        <v>533.6</v>
      </c>
      <c r="P9" s="62">
        <v>530.4</v>
      </c>
      <c r="Q9" s="62">
        <v>528.4</v>
      </c>
      <c r="R9" s="62">
        <v>533</v>
      </c>
      <c r="S9" s="62">
        <v>538.6</v>
      </c>
      <c r="T9" s="62">
        <v>542</v>
      </c>
      <c r="U9" s="72">
        <f t="shared" ref="U9:U10" si="0">MAX(O9:T9)/MIN(O9:T9)-1</f>
        <v>2.5738077214231714E-2</v>
      </c>
      <c r="V9" s="80"/>
    </row>
    <row r="10" spans="1:22" ht="15" x14ac:dyDescent="0.35">
      <c r="A10" s="50" t="s">
        <v>8</v>
      </c>
      <c r="B10" s="38">
        <f>B6/B7*2*PI()</f>
        <v>6283185.307179586</v>
      </c>
      <c r="C10" s="29" t="s">
        <v>67</v>
      </c>
      <c r="D10" s="62">
        <f>B6/B7/10^6</f>
        <v>1</v>
      </c>
      <c r="E10" s="63" t="s">
        <v>87</v>
      </c>
      <c r="F10">
        <f>B5*12</f>
        <v>300</v>
      </c>
      <c r="G10">
        <f>F10/4</f>
        <v>75</v>
      </c>
      <c r="H10">
        <f>F10/6</f>
        <v>50</v>
      </c>
      <c r="N10" s="67" t="s">
        <v>96</v>
      </c>
      <c r="O10" s="62">
        <v>529.5</v>
      </c>
      <c r="P10" s="62">
        <v>526.5</v>
      </c>
      <c r="Q10" s="62">
        <v>524.5</v>
      </c>
      <c r="R10" s="62">
        <v>529</v>
      </c>
      <c r="S10" s="62">
        <v>534.20000000000005</v>
      </c>
      <c r="T10" s="62">
        <v>537.4</v>
      </c>
      <c r="U10" s="72">
        <f t="shared" si="0"/>
        <v>2.4594852240228837E-2</v>
      </c>
      <c r="V10" s="80"/>
    </row>
    <row r="11" spans="1:22" ht="15" x14ac:dyDescent="0.35">
      <c r="A11" s="20" t="s">
        <v>65</v>
      </c>
      <c r="B11" s="39">
        <f>B3*2*PI()</f>
        <v>28274333882.30814</v>
      </c>
      <c r="C11" s="22" t="s">
        <v>51</v>
      </c>
      <c r="F11" s="92" t="s">
        <v>56</v>
      </c>
      <c r="G11" s="92"/>
      <c r="H11" s="92"/>
      <c r="I11" s="92"/>
      <c r="J11" s="92"/>
      <c r="K11" s="92"/>
    </row>
    <row r="12" spans="1:22" ht="14.5" x14ac:dyDescent="0.35">
      <c r="A12" s="20" t="s">
        <v>12</v>
      </c>
      <c r="B12" s="42">
        <f>(_xlfn.SEC(C8)-TAN(C8))/B10</f>
        <v>4.5636945552306635E-8</v>
      </c>
      <c r="C12" s="43"/>
      <c r="F12" s="14" t="s">
        <v>55</v>
      </c>
      <c r="O12">
        <f>AVERAGE(O8:T10)</f>
        <v>534.33333333333337</v>
      </c>
    </row>
    <row r="13" spans="1:22" ht="14.5" x14ac:dyDescent="0.35">
      <c r="A13" s="25" t="s">
        <v>38</v>
      </c>
      <c r="B13" s="44">
        <f>1/(B10^2*B12)</f>
        <v>5.5503924734735396E-7</v>
      </c>
      <c r="C13" s="45"/>
    </row>
    <row r="14" spans="1:22" ht="15" x14ac:dyDescent="0.35">
      <c r="A14" s="87" t="s">
        <v>60</v>
      </c>
      <c r="B14" s="88"/>
      <c r="C14" s="89"/>
      <c r="F14" s="66"/>
      <c r="G14" s="66"/>
      <c r="I14" s="55" t="s">
        <v>80</v>
      </c>
      <c r="J14" s="54" t="s">
        <v>76</v>
      </c>
      <c r="K14" s="54" t="s">
        <v>78</v>
      </c>
      <c r="L14" s="54" t="s">
        <v>77</v>
      </c>
      <c r="M14" s="55" t="s">
        <v>79</v>
      </c>
    </row>
    <row r="15" spans="1:22" ht="15" customHeight="1" x14ac:dyDescent="0.35">
      <c r="A15" s="28" t="s">
        <v>39</v>
      </c>
      <c r="B15" s="46">
        <f>B4*B11/(2*PI())/B5/B10^2*((1+B10^2*B13^2)/(1+B10^2*B12^2))^0.5*B12/B13</f>
        <v>1.0459217480062016E-11</v>
      </c>
      <c r="C15" s="30" t="s">
        <v>42</v>
      </c>
      <c r="D15" s="15">
        <f>B15*10^12</f>
        <v>10.459217480062016</v>
      </c>
      <c r="E15" s="14" t="s">
        <v>46</v>
      </c>
      <c r="I15" s="55" t="s">
        <v>63</v>
      </c>
      <c r="J15" s="57">
        <f>K15*(1-M15)</f>
        <v>2700000000</v>
      </c>
      <c r="K15" s="57">
        <f>4.5*10^9</f>
        <v>4500000000</v>
      </c>
      <c r="L15" s="57">
        <f>K15*(1+M15)</f>
        <v>6300000000</v>
      </c>
      <c r="M15" s="58">
        <v>0.4</v>
      </c>
    </row>
    <row r="16" spans="1:22" ht="15" customHeight="1" x14ac:dyDescent="0.35">
      <c r="A16" s="20" t="s">
        <v>40</v>
      </c>
      <c r="B16" s="42">
        <f>B15*(B13/B12-1)</f>
        <v>1.1674640786842261E-10</v>
      </c>
      <c r="C16" s="31" t="s">
        <v>43</v>
      </c>
      <c r="D16" s="15">
        <f>B16*10^12</f>
        <v>116.74640786842261</v>
      </c>
      <c r="E16" s="14" t="s">
        <v>46</v>
      </c>
      <c r="I16" s="55" t="s">
        <v>86</v>
      </c>
      <c r="J16" s="57">
        <f>K16*(1-M16)</f>
        <v>5.2000000000000002E-6</v>
      </c>
      <c r="K16" s="57">
        <f>8*10^-6</f>
        <v>7.9999999999999996E-6</v>
      </c>
      <c r="L16" s="57">
        <f>K16*(1+M16)</f>
        <v>1.08E-5</v>
      </c>
      <c r="M16" s="58">
        <v>0.35</v>
      </c>
    </row>
    <row r="17" spans="1:14" ht="15" customHeight="1" x14ac:dyDescent="0.35">
      <c r="A17" s="25" t="s">
        <v>41</v>
      </c>
      <c r="B17" s="44">
        <f>B13/B16</f>
        <v>4754.2297658777061</v>
      </c>
      <c r="C17" s="32" t="s">
        <v>44</v>
      </c>
      <c r="D17" s="65">
        <f>B17/10^3</f>
        <v>4.7542297658777057</v>
      </c>
      <c r="E17" s="8" t="s">
        <v>45</v>
      </c>
      <c r="I17" s="54" t="s">
        <v>81</v>
      </c>
      <c r="J17" s="59">
        <f>K17*(1-M17)</f>
        <v>9.4140000000000015</v>
      </c>
      <c r="K17" s="59">
        <v>10.46</v>
      </c>
      <c r="L17" s="59">
        <f>K17*(1+M17)</f>
        <v>11.506000000000002</v>
      </c>
      <c r="M17" s="73">
        <v>0.1</v>
      </c>
    </row>
    <row r="18" spans="1:14" ht="13.5" customHeight="1" x14ac:dyDescent="0.35">
      <c r="I18" s="54" t="s">
        <v>84</v>
      </c>
      <c r="J18" s="59">
        <f>K18*(1-M18)</f>
        <v>105.075</v>
      </c>
      <c r="K18" s="59">
        <v>116.75</v>
      </c>
      <c r="L18" s="59">
        <f t="shared" ref="L18" si="1">K18*(1+M18)</f>
        <v>128.42500000000001</v>
      </c>
      <c r="M18" s="73">
        <v>0.1</v>
      </c>
    </row>
    <row r="19" spans="1:14" ht="13.5" customHeight="1" x14ac:dyDescent="0.35">
      <c r="F19">
        <f>1/2</f>
        <v>0.5</v>
      </c>
      <c r="I19" s="54" t="s">
        <v>82</v>
      </c>
      <c r="J19" s="59">
        <f>K19*(1-M19)</f>
        <v>3.8759999999999999</v>
      </c>
      <c r="K19" s="59">
        <v>4.8449999999999998</v>
      </c>
      <c r="L19" s="59">
        <f>K19*(1+M19)</f>
        <v>5.8139999999999992</v>
      </c>
      <c r="M19" s="56">
        <v>0.2</v>
      </c>
    </row>
    <row r="20" spans="1:14" ht="14.5" x14ac:dyDescent="0.35">
      <c r="F20">
        <f>1/4</f>
        <v>0.25</v>
      </c>
      <c r="G20">
        <f>F19+F20</f>
        <v>0.75</v>
      </c>
      <c r="I20" s="54"/>
      <c r="J20" s="59"/>
      <c r="K20" s="59"/>
      <c r="L20" s="59"/>
      <c r="M20" s="56"/>
    </row>
    <row r="21" spans="1:14" x14ac:dyDescent="0.25">
      <c r="A21" s="14" t="s">
        <v>103</v>
      </c>
    </row>
    <row r="22" spans="1:14" x14ac:dyDescent="0.25">
      <c r="A22" s="14" t="s">
        <v>104</v>
      </c>
      <c r="I22" s="14"/>
    </row>
    <row r="23" spans="1:14" x14ac:dyDescent="0.25">
      <c r="C23" s="14"/>
      <c r="D23" s="14"/>
      <c r="E23" s="16"/>
      <c r="F23" s="18"/>
      <c r="G23" s="11"/>
    </row>
    <row r="30" spans="1:14" x14ac:dyDescent="0.25">
      <c r="N30">
        <f>116.75/0.31</f>
        <v>376.61290322580646</v>
      </c>
    </row>
    <row r="31" spans="1:14" x14ac:dyDescent="0.25">
      <c r="N31">
        <f>N30/1.5</f>
        <v>251.07526881720432</v>
      </c>
    </row>
    <row r="42" spans="9:9" x14ac:dyDescent="0.25">
      <c r="I42" s="14" t="s">
        <v>47</v>
      </c>
    </row>
    <row r="43" spans="9:9" x14ac:dyDescent="0.25">
      <c r="I43" s="14" t="s">
        <v>48</v>
      </c>
    </row>
  </sheetData>
  <mergeCells count="12">
    <mergeCell ref="A2:C2"/>
    <mergeCell ref="A9:C9"/>
    <mergeCell ref="A14:C14"/>
    <mergeCell ref="E5:G8"/>
    <mergeCell ref="D3:I3"/>
    <mergeCell ref="F11:K11"/>
    <mergeCell ref="D5:D8"/>
    <mergeCell ref="O6:Q6"/>
    <mergeCell ref="R6:T6"/>
    <mergeCell ref="U6:U7"/>
    <mergeCell ref="V6:V7"/>
    <mergeCell ref="V8:V1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46"/>
  <sheetViews>
    <sheetView tabSelected="1" workbookViewId="0">
      <selection activeCell="R47" sqref="R47"/>
    </sheetView>
  </sheetViews>
  <sheetFormatPr defaultColWidth="9" defaultRowHeight="14" x14ac:dyDescent="0.25"/>
  <cols>
    <col min="1" max="1" width="10.36328125" style="3" customWidth="1"/>
    <col min="2" max="2" width="11.36328125" style="3" customWidth="1"/>
    <col min="3" max="3" width="9" style="3"/>
    <col min="4" max="4" width="16.08984375" style="3" customWidth="1"/>
    <col min="5" max="5" width="10.453125" style="3" bestFit="1" customWidth="1"/>
    <col min="6" max="6" width="9" style="3"/>
    <col min="7" max="7" width="9.453125" style="3" bestFit="1" customWidth="1"/>
    <col min="8" max="10" width="9" style="3"/>
    <col min="11" max="11" width="10.453125" style="3" bestFit="1" customWidth="1"/>
    <col min="12" max="15" width="9" style="3"/>
    <col min="16" max="18" width="10.08984375" style="3" bestFit="1" customWidth="1"/>
    <col min="19" max="16384" width="9" style="3"/>
  </cols>
  <sheetData>
    <row r="2" spans="1:17" x14ac:dyDescent="0.25">
      <c r="A2" s="81" t="s">
        <v>52</v>
      </c>
      <c r="B2" s="82"/>
      <c r="C2" s="83"/>
    </row>
    <row r="3" spans="1:17" ht="15" customHeight="1" x14ac:dyDescent="0.35">
      <c r="A3" s="28" t="s">
        <v>63</v>
      </c>
      <c r="B3" s="21">
        <f>4.5*10^9</f>
        <v>4500000000</v>
      </c>
      <c r="C3" s="35" t="s">
        <v>57</v>
      </c>
      <c r="D3" s="95" t="s">
        <v>50</v>
      </c>
      <c r="E3" s="90" t="s">
        <v>28</v>
      </c>
      <c r="F3" s="90"/>
      <c r="G3" s="90"/>
      <c r="H3" s="90"/>
      <c r="I3" s="90"/>
      <c r="J3" s="90"/>
      <c r="K3" s="90"/>
      <c r="L3" s="90"/>
      <c r="M3" s="12"/>
      <c r="N3" s="90" t="s">
        <v>49</v>
      </c>
      <c r="O3" s="90"/>
      <c r="P3" s="90"/>
      <c r="Q3" s="90"/>
    </row>
    <row r="4" spans="1:17" ht="15" x14ac:dyDescent="0.35">
      <c r="A4" s="20" t="s">
        <v>5</v>
      </c>
      <c r="B4" s="21">
        <f>8*10^-6</f>
        <v>7.9999999999999996E-6</v>
      </c>
      <c r="C4" s="22" t="s">
        <v>37</v>
      </c>
      <c r="D4" s="95"/>
      <c r="E4" s="90"/>
      <c r="F4" s="90"/>
      <c r="G4" s="90"/>
      <c r="H4" s="90"/>
      <c r="I4" s="90"/>
      <c r="J4" s="90"/>
      <c r="K4" s="90"/>
      <c r="L4" s="90"/>
      <c r="M4" s="12"/>
      <c r="N4" s="90"/>
      <c r="O4" s="90"/>
      <c r="P4" s="90"/>
      <c r="Q4" s="90"/>
    </row>
    <row r="5" spans="1:17" ht="15" x14ac:dyDescent="0.35">
      <c r="A5" s="20" t="s">
        <v>7</v>
      </c>
      <c r="B5" s="23">
        <v>12</v>
      </c>
      <c r="C5" s="33" t="s">
        <v>62</v>
      </c>
      <c r="D5" s="75" t="s">
        <v>106</v>
      </c>
      <c r="E5" s="90"/>
      <c r="F5" s="90"/>
      <c r="G5" s="90"/>
      <c r="H5" s="90"/>
      <c r="I5" s="90"/>
      <c r="J5" s="90"/>
      <c r="K5" s="90"/>
      <c r="L5" s="90"/>
      <c r="N5" s="90"/>
      <c r="O5" s="90"/>
      <c r="P5" s="90"/>
      <c r="Q5" s="90"/>
    </row>
    <row r="6" spans="1:17" ht="15" x14ac:dyDescent="0.35">
      <c r="A6" s="20" t="s">
        <v>74</v>
      </c>
      <c r="B6" s="23">
        <f>50*10^6</f>
        <v>50000000</v>
      </c>
      <c r="C6" s="22" t="s">
        <v>9</v>
      </c>
      <c r="F6" s="1"/>
      <c r="G6" s="1"/>
      <c r="H6" s="1"/>
      <c r="I6" s="1"/>
      <c r="J6" s="1"/>
      <c r="K6" s="1"/>
      <c r="L6" s="1"/>
    </row>
    <row r="7" spans="1:17" ht="15" x14ac:dyDescent="0.35">
      <c r="A7" s="53" t="s">
        <v>71</v>
      </c>
      <c r="B7" s="52">
        <v>50</v>
      </c>
      <c r="C7" s="51" t="s">
        <v>68</v>
      </c>
      <c r="D7" s="96" t="s">
        <v>69</v>
      </c>
      <c r="E7" s="13" t="s">
        <v>31</v>
      </c>
      <c r="F7" s="5"/>
      <c r="G7" s="5"/>
      <c r="H7" s="5"/>
      <c r="I7" s="5"/>
    </row>
    <row r="8" spans="1:17" ht="15" x14ac:dyDescent="0.35">
      <c r="A8" s="20" t="s">
        <v>10</v>
      </c>
      <c r="B8" s="34">
        <v>55</v>
      </c>
      <c r="C8" s="24">
        <f>B8/180*PI()</f>
        <v>0.95993108859688125</v>
      </c>
      <c r="D8" s="97"/>
      <c r="E8" s="13" t="s">
        <v>30</v>
      </c>
      <c r="F8" s="5"/>
      <c r="G8" s="5"/>
      <c r="H8" s="5"/>
      <c r="I8" s="5"/>
    </row>
    <row r="9" spans="1:17" ht="16.5" x14ac:dyDescent="0.45">
      <c r="A9" s="20" t="s">
        <v>11</v>
      </c>
      <c r="B9" s="23">
        <v>0.1</v>
      </c>
      <c r="C9" s="33" t="s">
        <v>66</v>
      </c>
      <c r="D9" s="11" t="s">
        <v>107</v>
      </c>
    </row>
    <row r="10" spans="1:17" ht="15" x14ac:dyDescent="0.35">
      <c r="A10" s="84" t="s">
        <v>59</v>
      </c>
      <c r="B10" s="85"/>
      <c r="C10" s="86"/>
      <c r="D10" s="6"/>
      <c r="E10" s="94"/>
      <c r="F10" s="94"/>
      <c r="G10" s="94"/>
      <c r="H10" s="94"/>
      <c r="I10" s="94"/>
      <c r="J10" s="94"/>
      <c r="K10" s="94"/>
    </row>
    <row r="11" spans="1:17" ht="15" x14ac:dyDescent="0.35">
      <c r="A11" s="28" t="s">
        <v>8</v>
      </c>
      <c r="B11" s="47">
        <f>B6/B7*2*PI()</f>
        <v>6283185.307179586</v>
      </c>
      <c r="C11" s="49" t="s">
        <v>67</v>
      </c>
      <c r="D11" s="98"/>
      <c r="E11" s="99"/>
      <c r="F11" s="19"/>
      <c r="G11" s="19"/>
      <c r="H11" s="19"/>
      <c r="I11" s="19"/>
      <c r="J11" s="19"/>
      <c r="K11" s="19"/>
    </row>
    <row r="12" spans="1:17" ht="15" x14ac:dyDescent="0.35">
      <c r="A12" s="20" t="s">
        <v>64</v>
      </c>
      <c r="B12" s="21">
        <f>B3*2*PI()</f>
        <v>28274333882.30814</v>
      </c>
      <c r="C12" s="35" t="s">
        <v>58</v>
      </c>
      <c r="I12">
        <v>50</v>
      </c>
      <c r="J12"/>
      <c r="K12"/>
    </row>
    <row r="13" spans="1:17" ht="15" x14ac:dyDescent="0.35">
      <c r="A13" s="20" t="s">
        <v>12</v>
      </c>
      <c r="B13" s="23">
        <f>(_xlfn.SEC(C8)-TAN(C8))/B11/(1+B9)</f>
        <v>4.5619418909980102E-8</v>
      </c>
      <c r="C13" s="24"/>
      <c r="D13" s="6" t="s">
        <v>25</v>
      </c>
      <c r="E13" s="3">
        <f>1/2/PI()/B13/10^6</f>
        <v>3.4887542825995363</v>
      </c>
      <c r="F13" s="3" t="s">
        <v>13</v>
      </c>
      <c r="G13" s="3">
        <f>33/0.44</f>
        <v>75</v>
      </c>
      <c r="I13">
        <v>400</v>
      </c>
      <c r="J13">
        <v>1000</v>
      </c>
      <c r="K13"/>
    </row>
    <row r="14" spans="1:17" ht="15" x14ac:dyDescent="0.35">
      <c r="A14" s="20" t="s">
        <v>14</v>
      </c>
      <c r="B14" s="23">
        <f>B9*B13</f>
        <v>4.5619418909980104E-9</v>
      </c>
      <c r="C14" s="24"/>
      <c r="D14" s="6" t="s">
        <v>26</v>
      </c>
      <c r="E14" s="3">
        <f>1/2/PI()/B14/10^6</f>
        <v>34.887542825995361</v>
      </c>
      <c r="F14" s="3" t="s">
        <v>13</v>
      </c>
      <c r="I14">
        <f>I13/I12</f>
        <v>8</v>
      </c>
      <c r="J14">
        <f>J13/I12</f>
        <v>20</v>
      </c>
      <c r="K14">
        <f>(I14*J14)^0.5</f>
        <v>12.649110640673518</v>
      </c>
    </row>
    <row r="15" spans="1:17" ht="15" x14ac:dyDescent="0.35">
      <c r="A15" s="20" t="s">
        <v>15</v>
      </c>
      <c r="B15" s="23">
        <f>1/B11/B11/(B13+B14)</f>
        <v>5.0477499028066853E-7</v>
      </c>
      <c r="C15" s="24"/>
      <c r="D15" s="6" t="s">
        <v>27</v>
      </c>
      <c r="E15" s="3">
        <f>1/2/PI()/B15/10^6</f>
        <v>0.31529878887898327</v>
      </c>
      <c r="F15" s="3" t="s">
        <v>16</v>
      </c>
      <c r="G15" s="4">
        <f>B6/B7</f>
        <v>1000000</v>
      </c>
      <c r="O15" s="6"/>
    </row>
    <row r="16" spans="1:17" ht="15" customHeight="1" x14ac:dyDescent="0.4">
      <c r="A16" s="20" t="s">
        <v>17</v>
      </c>
      <c r="B16" s="21">
        <f>B12*B4/(2*PI()*B5*B11^2)*((1+B11^2*B15^2)/(1+B11^2*B13^2)/(1+B11^2*B14^2))^0.5</f>
        <v>2.428262798022509E-10</v>
      </c>
      <c r="C16" s="22" t="s">
        <v>36</v>
      </c>
      <c r="D16" s="9" t="s">
        <v>73</v>
      </c>
      <c r="E16" s="9"/>
      <c r="F16" s="9"/>
      <c r="O16" s="6"/>
    </row>
    <row r="17" spans="1:15" ht="15" customHeight="1" x14ac:dyDescent="0.4">
      <c r="A17" s="20" t="s">
        <v>0</v>
      </c>
      <c r="B17" s="21">
        <f>B16</f>
        <v>2.428262798022509E-10</v>
      </c>
      <c r="C17" s="24"/>
      <c r="D17" s="9"/>
      <c r="E17" s="9"/>
      <c r="F17" s="9"/>
      <c r="O17" s="6"/>
    </row>
    <row r="18" spans="1:15" ht="15" customHeight="1" x14ac:dyDescent="0.4">
      <c r="A18" s="20" t="s">
        <v>1</v>
      </c>
      <c r="B18" s="23">
        <f>B17*(B13+B14)</f>
        <v>1.2185353158716016E-17</v>
      </c>
      <c r="C18" s="24"/>
      <c r="D18" s="9"/>
      <c r="E18" s="9"/>
      <c r="F18" s="9"/>
    </row>
    <row r="19" spans="1:15" ht="15" customHeight="1" x14ac:dyDescent="0.4">
      <c r="A19" s="25" t="s">
        <v>18</v>
      </c>
      <c r="B19" s="36">
        <f>B17*B13*B14</f>
        <v>5.0535339119410476E-26</v>
      </c>
      <c r="C19" s="48"/>
      <c r="D19" s="9"/>
      <c r="E19" s="9"/>
      <c r="F19" s="9"/>
    </row>
    <row r="20" spans="1:15" ht="15.5" x14ac:dyDescent="0.4">
      <c r="A20" s="87" t="s">
        <v>61</v>
      </c>
      <c r="B20" s="88"/>
      <c r="C20" s="89"/>
      <c r="F20" s="9"/>
      <c r="G20" s="9"/>
    </row>
    <row r="21" spans="1:15" ht="15" x14ac:dyDescent="0.35">
      <c r="A21" s="20" t="s">
        <v>2</v>
      </c>
      <c r="B21" s="21">
        <f>B19/B15^2*(1+(1+B15/B19*(B15*B17-B18))^0.5)</f>
        <v>6.7871485725660576E-12</v>
      </c>
      <c r="C21" s="22" t="s">
        <v>34</v>
      </c>
      <c r="D21" s="7">
        <f>B21*10^12</f>
        <v>6.7871485725660579</v>
      </c>
      <c r="E21" s="10" t="s">
        <v>32</v>
      </c>
    </row>
    <row r="22" spans="1:15" ht="15" x14ac:dyDescent="0.35">
      <c r="A22" s="20" t="s">
        <v>4</v>
      </c>
      <c r="B22" s="21">
        <f>B16-B21-B23</f>
        <v>2.2547326019425669E-10</v>
      </c>
      <c r="C22" s="22" t="s">
        <v>34</v>
      </c>
      <c r="D22" s="7">
        <f t="shared" ref="D22:D23" si="0">B22*10^12</f>
        <v>225.47326019425668</v>
      </c>
      <c r="E22" s="10" t="s">
        <v>33</v>
      </c>
      <c r="J22" s="3">
        <f>1400</f>
        <v>1400</v>
      </c>
      <c r="K22" s="3">
        <v>100</v>
      </c>
      <c r="L22" s="3">
        <f>J22*K22</f>
        <v>140000</v>
      </c>
    </row>
    <row r="23" spans="1:15" ht="15" x14ac:dyDescent="0.35">
      <c r="A23" s="20" t="s">
        <v>3</v>
      </c>
      <c r="B23" s="21">
        <f>(-1*B15^2*B21^2+B15*B18*B21-B19*B17)/(B15^2*B21-B19)</f>
        <v>1.0565871035428155E-11</v>
      </c>
      <c r="C23" s="22" t="s">
        <v>35</v>
      </c>
      <c r="D23" s="7">
        <f t="shared" si="0"/>
        <v>10.565871035428156</v>
      </c>
      <c r="E23" s="10" t="s">
        <v>33</v>
      </c>
    </row>
    <row r="24" spans="1:15" ht="15" x14ac:dyDescent="0.35">
      <c r="A24" s="20" t="s">
        <v>19</v>
      </c>
      <c r="B24" s="21">
        <f>B15/B22</f>
        <v>2238.7354928286359</v>
      </c>
      <c r="C24" s="22" t="s">
        <v>20</v>
      </c>
      <c r="D24" s="7">
        <f>B24/1000</f>
        <v>2.2387354928286358</v>
      </c>
      <c r="E24" s="10" t="s">
        <v>21</v>
      </c>
    </row>
    <row r="25" spans="1:15" ht="15" x14ac:dyDescent="0.35">
      <c r="A25" s="25" t="s">
        <v>22</v>
      </c>
      <c r="B25" s="36">
        <f>B19/(B21*B23*B15)</f>
        <v>1396.0619604088752</v>
      </c>
      <c r="C25" s="37" t="s">
        <v>23</v>
      </c>
      <c r="D25" s="7">
        <f>B25/1000</f>
        <v>1.3960619604088751</v>
      </c>
      <c r="E25" s="10" t="s">
        <v>24</v>
      </c>
    </row>
    <row r="29" spans="1:15" x14ac:dyDescent="0.25">
      <c r="A29" s="11"/>
    </row>
    <row r="30" spans="1:15" x14ac:dyDescent="0.25">
      <c r="A30" s="2" t="s">
        <v>29</v>
      </c>
    </row>
    <row r="31" spans="1:15" x14ac:dyDescent="0.25">
      <c r="B31" s="14"/>
      <c r="C31" s="14"/>
      <c r="D31" s="16"/>
      <c r="E31" s="17"/>
      <c r="F31" s="11"/>
    </row>
    <row r="39" spans="15:19" ht="15" x14ac:dyDescent="0.35">
      <c r="O39" s="55" t="s">
        <v>80</v>
      </c>
      <c r="P39" s="54" t="s">
        <v>76</v>
      </c>
      <c r="Q39" s="54" t="s">
        <v>78</v>
      </c>
      <c r="R39" s="54" t="s">
        <v>77</v>
      </c>
      <c r="S39" s="55" t="s">
        <v>79</v>
      </c>
    </row>
    <row r="40" spans="15:19" ht="15" x14ac:dyDescent="0.35">
      <c r="O40" s="55" t="s">
        <v>63</v>
      </c>
      <c r="P40" s="57">
        <f>Q40*(1-S40)</f>
        <v>2700000000</v>
      </c>
      <c r="Q40" s="57">
        <v>4500000000</v>
      </c>
      <c r="R40" s="57">
        <f>Q40*(1+S40)</f>
        <v>6300000000</v>
      </c>
      <c r="S40" s="58">
        <v>0.4</v>
      </c>
    </row>
    <row r="41" spans="15:19" ht="15" x14ac:dyDescent="0.35">
      <c r="O41" s="55" t="s">
        <v>86</v>
      </c>
      <c r="P41" s="57">
        <f t="shared" ref="P41:P45" si="1">Q41*(1-S41)</f>
        <v>5.2</v>
      </c>
      <c r="Q41" s="57">
        <v>8</v>
      </c>
      <c r="R41" s="57">
        <f>Q41*(1+S41)</f>
        <v>10.8</v>
      </c>
      <c r="S41" s="58">
        <v>0.35</v>
      </c>
    </row>
    <row r="42" spans="15:19" ht="15" x14ac:dyDescent="0.35">
      <c r="O42" s="54" t="s">
        <v>81</v>
      </c>
      <c r="P42" s="59">
        <f t="shared" si="1"/>
        <v>3.9039999999999999</v>
      </c>
      <c r="Q42" s="59">
        <v>4.88</v>
      </c>
      <c r="R42" s="59">
        <f>Q42*(1+S42)</f>
        <v>5.8559999999999999</v>
      </c>
      <c r="S42" s="56">
        <v>0.2</v>
      </c>
    </row>
    <row r="43" spans="15:19" ht="15" x14ac:dyDescent="0.35">
      <c r="O43" s="54" t="s">
        <v>84</v>
      </c>
      <c r="P43" s="59">
        <f t="shared" si="1"/>
        <v>88.616</v>
      </c>
      <c r="Q43" s="59">
        <v>110.77</v>
      </c>
      <c r="R43" s="59">
        <f t="shared" ref="R43:R46" si="2">Q43*(1+S43)</f>
        <v>132.92399999999998</v>
      </c>
      <c r="S43" s="56">
        <v>0.2</v>
      </c>
    </row>
    <row r="44" spans="15:19" ht="15" x14ac:dyDescent="0.35">
      <c r="O44" s="54" t="s">
        <v>85</v>
      </c>
      <c r="P44" s="59">
        <f t="shared" si="1"/>
        <v>1.536</v>
      </c>
      <c r="Q44" s="59">
        <v>1.92</v>
      </c>
      <c r="R44" s="59">
        <f t="shared" si="2"/>
        <v>2.3039999999999998</v>
      </c>
      <c r="S44" s="56">
        <v>0.2</v>
      </c>
    </row>
    <row r="45" spans="15:19" ht="15" x14ac:dyDescent="0.35">
      <c r="O45" s="54" t="s">
        <v>82</v>
      </c>
      <c r="P45" s="59">
        <f t="shared" si="1"/>
        <v>3.6479999999999997</v>
      </c>
      <c r="Q45" s="59">
        <v>4.5599999999999996</v>
      </c>
      <c r="R45" s="59">
        <f t="shared" si="2"/>
        <v>5.4719999999999995</v>
      </c>
      <c r="S45" s="56">
        <v>0.2</v>
      </c>
    </row>
    <row r="46" spans="15:19" ht="15" x14ac:dyDescent="0.35">
      <c r="O46" s="54" t="s">
        <v>83</v>
      </c>
      <c r="P46" s="59">
        <f>Q46*(1-S46)</f>
        <v>8.8800000000000008</v>
      </c>
      <c r="Q46" s="59">
        <v>11.1</v>
      </c>
      <c r="R46" s="59">
        <f t="shared" si="2"/>
        <v>13.319999999999999</v>
      </c>
      <c r="S46" s="56">
        <v>0.2</v>
      </c>
    </row>
  </sheetData>
  <mergeCells count="9">
    <mergeCell ref="A2:C2"/>
    <mergeCell ref="A10:C10"/>
    <mergeCell ref="A20:C20"/>
    <mergeCell ref="E10:K10"/>
    <mergeCell ref="E3:L5"/>
    <mergeCell ref="D3:D4"/>
    <mergeCell ref="N3:Q5"/>
    <mergeCell ref="D7:D8"/>
    <mergeCell ref="D11:E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3ordPLL-Tianchi</vt:lpstr>
      <vt:lpstr>4ordPLL-Tianchi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</dc:creator>
  <cp:lastModifiedBy>zhengqing liu（刘政清）</cp:lastModifiedBy>
  <dcterms:created xsi:type="dcterms:W3CDTF">2016-03-08T00:56:00Z</dcterms:created>
  <dcterms:modified xsi:type="dcterms:W3CDTF">2024-01-16T08:47:45Z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