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mc:AlternateContent xmlns:mc="http://schemas.openxmlformats.org/markup-compatibility/2006">
    <mc:Choice Requires="x15">
      <x15ac:absPath xmlns:x15ac="http://schemas.microsoft.com/office/spreadsheetml/2010/11/ac" url="D:\SemesterOneInIreland\Business Analysis\CA\"/>
    </mc:Choice>
  </mc:AlternateContent>
  <xr:revisionPtr revIDLastSave="0" documentId="13_ncr:1_{A282C596-DBAE-4096-99C2-9277359FDC45}" xr6:coauthVersionLast="45" xr6:coauthVersionMax="45" xr10:uidLastSave="{00000000-0000-0000-0000-000000000000}"/>
  <bookViews>
    <workbookView xWindow="-110" yWindow="-110" windowWidth="21820" windowHeight="14020" tabRatio="895" firstSheet="1" xr2:uid="{02329A30-8EB7-4776-AB5C-8FF2956A7743}"/>
  </bookViews>
  <sheets>
    <sheet name="File Index" sheetId="57" r:id="rId1"/>
    <sheet name="DashboardForSupplyAvaComsump" sheetId="25" r:id="rId2"/>
    <sheet name="SupplyPiePivot" sheetId="32" r:id="rId3"/>
    <sheet name="AvailabilityPiePivot" sheetId="33" r:id="rId4"/>
    <sheet name="LinePivot" sheetId="38" r:id="rId5"/>
    <sheet name="BarPivotConsumption" sheetId="42" r:id="rId6"/>
    <sheet name="PivotConsumption" sheetId="24" r:id="rId7"/>
    <sheet name="SupplyAvaility" sheetId="31" r:id="rId8"/>
    <sheet name="Consumption Category" sheetId="2" r:id="rId9"/>
    <sheet name="ForBoxPlot" sheetId="50" state="hidden" r:id="rId10"/>
  </sheets>
  <definedNames>
    <definedName name="_xlcn.WorksheetConnection_供应链.xlsxSupplyAvailability1" hidden="1">SupplyAvailability[]</definedName>
    <definedName name="_xlcn.WorksheetConnection_供应链.xlsx表11" hidden="1">ComsumptionCategory[]</definedName>
    <definedName name="切片器_Year">#N/A</definedName>
    <definedName name="切片器_Year1">#N/A</definedName>
  </definedNames>
  <calcPr calcId="191029"/>
  <pivotCaches>
    <pivotCache cacheId="33" r:id="rId11"/>
    <pivotCache cacheId="36"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表1" name="ElectrivityComsumption" connection="WorksheetConnection_供应链.xlsx!表1"/>
          <x15:modelTable id="SupplyAvailability" name="SupplyAvailability" connection="WorksheetConnection_供应链.xlsx!SupplyAvailability"/>
        </x15:modelTables>
        <x15:modelRelationships>
          <x15:modelRelationship fromTable="ElectrivityComsumption" fromColumn="Year" toTable="SupplyAvailability" toColumn="Year"/>
        </x15:modelRelationships>
      </x15:dataModel>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2" i="31" l="1"/>
  <c r="G2" i="31"/>
  <c r="G5" i="31"/>
  <c r="L4" i="31"/>
  <c r="L35" i="31"/>
  <c r="G35" i="31"/>
  <c r="L34" i="31"/>
  <c r="G34" i="31"/>
  <c r="L33" i="31"/>
  <c r="G33" i="31"/>
  <c r="L32" i="31"/>
  <c r="G32" i="31"/>
  <c r="L31" i="31"/>
  <c r="G31" i="31"/>
  <c r="L30" i="31"/>
  <c r="G30" i="31"/>
  <c r="L29" i="31"/>
  <c r="G29" i="31"/>
  <c r="L28" i="31"/>
  <c r="G28" i="31"/>
  <c r="L27" i="31"/>
  <c r="G27" i="31"/>
  <c r="L26" i="31"/>
  <c r="G26" i="31"/>
  <c r="L25" i="31"/>
  <c r="G25" i="31"/>
  <c r="L24" i="31"/>
  <c r="G24" i="31"/>
  <c r="L23" i="31"/>
  <c r="G23" i="31"/>
  <c r="L22" i="31"/>
  <c r="G22" i="31"/>
  <c r="L21" i="31"/>
  <c r="G21" i="31"/>
  <c r="L20" i="31"/>
  <c r="G20" i="31"/>
  <c r="L19" i="31"/>
  <c r="G19" i="31"/>
  <c r="L18" i="31"/>
  <c r="G18" i="31"/>
  <c r="L17" i="31"/>
  <c r="G17" i="31"/>
  <c r="L16" i="31"/>
  <c r="G16" i="31"/>
  <c r="L15" i="31"/>
  <c r="G15" i="31"/>
  <c r="L14" i="31"/>
  <c r="G14" i="31"/>
  <c r="L13" i="31"/>
  <c r="G13" i="31"/>
  <c r="L12" i="31"/>
  <c r="G12" i="31"/>
  <c r="L11" i="31"/>
  <c r="G11" i="31"/>
  <c r="L10" i="31"/>
  <c r="G10" i="31"/>
  <c r="L9" i="31"/>
  <c r="G9" i="31"/>
  <c r="L8" i="31"/>
  <c r="G8" i="31"/>
  <c r="L7" i="31"/>
  <c r="G7" i="31"/>
  <c r="L6" i="31"/>
  <c r="G6" i="31"/>
  <c r="L5" i="31"/>
  <c r="G4" i="31"/>
  <c r="L3" i="31"/>
  <c r="G3" i="31"/>
  <c r="F16" i="2" l="1"/>
  <c r="E16" i="2"/>
  <c r="E18" i="2"/>
  <c r="D47" i="2"/>
  <c r="B2" i="2"/>
  <c r="C5" i="2"/>
  <c r="C2" i="2"/>
  <c r="C3" i="2"/>
  <c r="F2" i="2" l="1"/>
  <c r="F47" i="2"/>
  <c r="E47" i="2"/>
  <c r="C47" i="2"/>
  <c r="B47" i="2"/>
  <c r="F46" i="2"/>
  <c r="E46" i="2"/>
  <c r="D46" i="2"/>
  <c r="C46" i="2"/>
  <c r="B46" i="2"/>
  <c r="F45" i="2"/>
  <c r="E45" i="2"/>
  <c r="D45" i="2"/>
  <c r="C45" i="2"/>
  <c r="B45" i="2"/>
  <c r="F44" i="2"/>
  <c r="E44" i="2"/>
  <c r="D44" i="2"/>
  <c r="C44" i="2"/>
  <c r="B44" i="2"/>
  <c r="G44" i="2" s="1"/>
  <c r="F43" i="2"/>
  <c r="E43" i="2"/>
  <c r="D43" i="2"/>
  <c r="C43" i="2"/>
  <c r="B43" i="2"/>
  <c r="G43" i="2" s="1"/>
  <c r="F42" i="2"/>
  <c r="E42" i="2"/>
  <c r="D42" i="2"/>
  <c r="C42" i="2"/>
  <c r="B42" i="2"/>
  <c r="F41" i="2"/>
  <c r="E41" i="2"/>
  <c r="D41" i="2"/>
  <c r="C41" i="2"/>
  <c r="B41" i="2"/>
  <c r="G41" i="2" s="1"/>
  <c r="F40" i="2"/>
  <c r="E40" i="2"/>
  <c r="D40" i="2"/>
  <c r="C40" i="2"/>
  <c r="B40" i="2"/>
  <c r="F39" i="2"/>
  <c r="E39" i="2"/>
  <c r="D39" i="2"/>
  <c r="C39" i="2"/>
  <c r="B39" i="2"/>
  <c r="F38" i="2"/>
  <c r="E38" i="2"/>
  <c r="D38" i="2"/>
  <c r="C38" i="2"/>
  <c r="B38" i="2"/>
  <c r="F37" i="2"/>
  <c r="E37" i="2"/>
  <c r="D37" i="2"/>
  <c r="C37" i="2"/>
  <c r="B37" i="2"/>
  <c r="F36" i="2"/>
  <c r="E36" i="2"/>
  <c r="D36" i="2"/>
  <c r="C36" i="2"/>
  <c r="B36" i="2"/>
  <c r="G36" i="2" s="1"/>
  <c r="F35" i="2"/>
  <c r="E35" i="2"/>
  <c r="D35" i="2"/>
  <c r="C35" i="2"/>
  <c r="B35" i="2"/>
  <c r="G35" i="2" s="1"/>
  <c r="F34" i="2"/>
  <c r="E34" i="2"/>
  <c r="D34" i="2"/>
  <c r="C34" i="2"/>
  <c r="B34" i="2"/>
  <c r="F33" i="2"/>
  <c r="E33" i="2"/>
  <c r="D33" i="2"/>
  <c r="C33" i="2"/>
  <c r="B33" i="2"/>
  <c r="G33" i="2" s="1"/>
  <c r="F32" i="2"/>
  <c r="E32" i="2"/>
  <c r="D32" i="2"/>
  <c r="C32" i="2"/>
  <c r="B32" i="2"/>
  <c r="F31" i="2"/>
  <c r="E31" i="2"/>
  <c r="D31" i="2"/>
  <c r="C31" i="2"/>
  <c r="B31" i="2"/>
  <c r="F30" i="2"/>
  <c r="E30" i="2"/>
  <c r="D30" i="2"/>
  <c r="C30" i="2"/>
  <c r="B30" i="2"/>
  <c r="F29" i="2"/>
  <c r="E29" i="2"/>
  <c r="D29" i="2"/>
  <c r="C29" i="2"/>
  <c r="B29" i="2"/>
  <c r="F28" i="2"/>
  <c r="E28" i="2"/>
  <c r="D28" i="2"/>
  <c r="C28" i="2"/>
  <c r="B28" i="2"/>
  <c r="G28" i="2" s="1"/>
  <c r="F27" i="2"/>
  <c r="E27" i="2"/>
  <c r="D27" i="2"/>
  <c r="C27" i="2"/>
  <c r="B27" i="2"/>
  <c r="G27" i="2" s="1"/>
  <c r="F26" i="2"/>
  <c r="E26" i="2"/>
  <c r="D26" i="2"/>
  <c r="C26" i="2"/>
  <c r="B26" i="2"/>
  <c r="F25" i="2"/>
  <c r="E25" i="2"/>
  <c r="D25" i="2"/>
  <c r="C25" i="2"/>
  <c r="B25" i="2"/>
  <c r="G25" i="2" s="1"/>
  <c r="F24" i="2"/>
  <c r="E24" i="2"/>
  <c r="D24" i="2"/>
  <c r="C24" i="2"/>
  <c r="B24" i="2"/>
  <c r="F23" i="2"/>
  <c r="E23" i="2"/>
  <c r="D23" i="2"/>
  <c r="C23" i="2"/>
  <c r="B23" i="2"/>
  <c r="F22" i="2"/>
  <c r="E22" i="2"/>
  <c r="D22" i="2"/>
  <c r="C22" i="2"/>
  <c r="B22" i="2"/>
  <c r="F21" i="2"/>
  <c r="E21" i="2"/>
  <c r="D21" i="2"/>
  <c r="C21" i="2"/>
  <c r="B21" i="2"/>
  <c r="F20" i="2"/>
  <c r="E20" i="2"/>
  <c r="D20" i="2"/>
  <c r="C20" i="2"/>
  <c r="B20" i="2"/>
  <c r="G20" i="2" s="1"/>
  <c r="F19" i="2"/>
  <c r="E19" i="2"/>
  <c r="D19" i="2"/>
  <c r="C19" i="2"/>
  <c r="B19" i="2"/>
  <c r="G19" i="2" s="1"/>
  <c r="F18" i="2"/>
  <c r="D18" i="2"/>
  <c r="C18" i="2"/>
  <c r="B18" i="2"/>
  <c r="F17" i="2"/>
  <c r="E17" i="2"/>
  <c r="D17" i="2"/>
  <c r="C17" i="2"/>
  <c r="B17" i="2"/>
  <c r="D16" i="2"/>
  <c r="C16" i="2"/>
  <c r="B16" i="2"/>
  <c r="F15" i="2"/>
  <c r="E15" i="2"/>
  <c r="D15" i="2"/>
  <c r="C15" i="2"/>
  <c r="B15" i="2"/>
  <c r="F14" i="2"/>
  <c r="E14" i="2"/>
  <c r="D14" i="2"/>
  <c r="C14" i="2"/>
  <c r="B14" i="2"/>
  <c r="F13" i="2"/>
  <c r="E13" i="2"/>
  <c r="D13" i="2"/>
  <c r="C13" i="2"/>
  <c r="B13" i="2"/>
  <c r="G13" i="2" s="1"/>
  <c r="F12" i="2"/>
  <c r="E12" i="2"/>
  <c r="D12" i="2"/>
  <c r="C12" i="2"/>
  <c r="B12" i="2"/>
  <c r="G12" i="2" s="1"/>
  <c r="F11" i="2"/>
  <c r="E11" i="2"/>
  <c r="D11" i="2"/>
  <c r="C11" i="2"/>
  <c r="B11" i="2"/>
  <c r="F10" i="2"/>
  <c r="E10" i="2"/>
  <c r="D10" i="2"/>
  <c r="C10" i="2"/>
  <c r="B10" i="2"/>
  <c r="G10" i="2" s="1"/>
  <c r="F9" i="2"/>
  <c r="E9" i="2"/>
  <c r="D9" i="2"/>
  <c r="C9" i="2"/>
  <c r="B9" i="2"/>
  <c r="F8" i="2"/>
  <c r="E8" i="2"/>
  <c r="D8" i="2"/>
  <c r="C8" i="2"/>
  <c r="B8" i="2"/>
  <c r="F7" i="2"/>
  <c r="E7" i="2"/>
  <c r="D7" i="2"/>
  <c r="C7" i="2"/>
  <c r="B7" i="2"/>
  <c r="F6" i="2"/>
  <c r="E6" i="2"/>
  <c r="D6" i="2"/>
  <c r="C6" i="2"/>
  <c r="B6" i="2"/>
  <c r="F5" i="2"/>
  <c r="E5" i="2"/>
  <c r="D5" i="2"/>
  <c r="B5" i="2"/>
  <c r="G5" i="2" s="1"/>
  <c r="F4" i="2"/>
  <c r="E4" i="2"/>
  <c r="D4" i="2"/>
  <c r="C4" i="2"/>
  <c r="B4" i="2"/>
  <c r="F3" i="2"/>
  <c r="E3" i="2"/>
  <c r="D3" i="2"/>
  <c r="B3" i="2"/>
  <c r="G3" i="2" s="1"/>
  <c r="E2" i="2"/>
  <c r="D2" i="2"/>
  <c r="G2" i="2" s="1"/>
  <c r="L2" i="2" s="1"/>
  <c r="K25" i="2" l="1"/>
  <c r="K5" i="2"/>
  <c r="K20" i="2"/>
  <c r="K12" i="2"/>
  <c r="K28" i="2"/>
  <c r="K36" i="2"/>
  <c r="K44" i="2"/>
  <c r="K3" i="2"/>
  <c r="K33" i="2"/>
  <c r="K41" i="2"/>
  <c r="K13" i="2"/>
  <c r="K10" i="2"/>
  <c r="K19" i="2"/>
  <c r="K27" i="2"/>
  <c r="K35" i="2"/>
  <c r="K43" i="2"/>
  <c r="J27" i="2"/>
  <c r="J25" i="2"/>
  <c r="J2" i="2"/>
  <c r="K2" i="2"/>
  <c r="J3" i="2"/>
  <c r="J19" i="2"/>
  <c r="J13" i="2"/>
  <c r="J20" i="2"/>
  <c r="J28" i="2"/>
  <c r="J36" i="2"/>
  <c r="J44" i="2"/>
  <c r="J5" i="2"/>
  <c r="J33" i="2"/>
  <c r="J41" i="2"/>
  <c r="J10" i="2"/>
  <c r="J12" i="2"/>
  <c r="J35" i="2"/>
  <c r="J43" i="2"/>
  <c r="H27" i="2"/>
  <c r="H3" i="2"/>
  <c r="H19" i="2"/>
  <c r="H12" i="2"/>
  <c r="H20" i="2"/>
  <c r="H28" i="2"/>
  <c r="H36" i="2"/>
  <c r="H44" i="2"/>
  <c r="H13" i="2"/>
  <c r="H25" i="2"/>
  <c r="H33" i="2"/>
  <c r="H41" i="2"/>
  <c r="H10" i="2"/>
  <c r="H5" i="2"/>
  <c r="H35" i="2"/>
  <c r="H43" i="2"/>
  <c r="I2" i="2"/>
  <c r="H2" i="2"/>
  <c r="G7" i="2"/>
  <c r="I10" i="2"/>
  <c r="G15" i="2"/>
  <c r="G17" i="2"/>
  <c r="G22" i="2"/>
  <c r="I25" i="2"/>
  <c r="G30" i="2"/>
  <c r="I33" i="2"/>
  <c r="G38" i="2"/>
  <c r="I41" i="2"/>
  <c r="G46" i="2"/>
  <c r="I36" i="2"/>
  <c r="G4" i="2"/>
  <c r="G9" i="2"/>
  <c r="I12" i="2"/>
  <c r="I19" i="2"/>
  <c r="G24" i="2"/>
  <c r="I27" i="2"/>
  <c r="G32" i="2"/>
  <c r="I35" i="2"/>
  <c r="G40" i="2"/>
  <c r="I43" i="2"/>
  <c r="I13" i="2"/>
  <c r="I44" i="2"/>
  <c r="G6" i="2"/>
  <c r="G14" i="2"/>
  <c r="G21" i="2"/>
  <c r="G29" i="2"/>
  <c r="G37" i="2"/>
  <c r="G45" i="2"/>
  <c r="G11" i="2"/>
  <c r="G26" i="2"/>
  <c r="G34" i="2"/>
  <c r="I37" i="2"/>
  <c r="G42" i="2"/>
  <c r="I5" i="2"/>
  <c r="I20" i="2"/>
  <c r="I28" i="2"/>
  <c r="G8" i="2"/>
  <c r="G16" i="2"/>
  <c r="G18" i="2"/>
  <c r="G23" i="2"/>
  <c r="I26" i="2"/>
  <c r="G31" i="2"/>
  <c r="G39" i="2"/>
  <c r="G47" i="2"/>
  <c r="I3" i="2"/>
  <c r="K31" i="2" l="1"/>
  <c r="K29" i="2"/>
  <c r="K17" i="2"/>
  <c r="K42" i="2"/>
  <c r="K46" i="2"/>
  <c r="K23" i="2"/>
  <c r="K14" i="2"/>
  <c r="K32" i="2"/>
  <c r="K18" i="2"/>
  <c r="K34" i="2"/>
  <c r="K6" i="2"/>
  <c r="K24" i="2"/>
  <c r="K38" i="2"/>
  <c r="K7" i="2"/>
  <c r="K21" i="2"/>
  <c r="K15" i="2"/>
  <c r="K16" i="2"/>
  <c r="K26" i="2"/>
  <c r="K11" i="2"/>
  <c r="K47" i="2"/>
  <c r="K45" i="2"/>
  <c r="K9" i="2"/>
  <c r="K8" i="2"/>
  <c r="K30" i="2"/>
  <c r="K39" i="2"/>
  <c r="K37" i="2"/>
  <c r="K40" i="2"/>
  <c r="K4" i="2"/>
  <c r="K22" i="2"/>
  <c r="J11" i="2"/>
  <c r="J31" i="2"/>
  <c r="I29" i="2"/>
  <c r="J29" i="2"/>
  <c r="J17" i="2"/>
  <c r="J42" i="2"/>
  <c r="J46" i="2"/>
  <c r="J23" i="2"/>
  <c r="J14" i="2"/>
  <c r="J21" i="2"/>
  <c r="I15" i="2"/>
  <c r="J15" i="2"/>
  <c r="J18" i="2"/>
  <c r="J34" i="2"/>
  <c r="I6" i="2"/>
  <c r="J6" i="2"/>
  <c r="J24" i="2"/>
  <c r="J38" i="2"/>
  <c r="H7" i="2"/>
  <c r="J7" i="2"/>
  <c r="J32" i="2"/>
  <c r="I16" i="2"/>
  <c r="J16" i="2"/>
  <c r="J26" i="2"/>
  <c r="I47" i="2"/>
  <c r="J47" i="2"/>
  <c r="J30" i="2"/>
  <c r="J39" i="2"/>
  <c r="J45" i="2"/>
  <c r="J9" i="2"/>
  <c r="J8" i="2"/>
  <c r="I34" i="2"/>
  <c r="J37" i="2"/>
  <c r="J40" i="2"/>
  <c r="J4" i="2"/>
  <c r="J22" i="2"/>
  <c r="H39" i="2"/>
  <c r="H4" i="2"/>
  <c r="H31" i="2"/>
  <c r="H21" i="2"/>
  <c r="H32" i="2"/>
  <c r="H22" i="2"/>
  <c r="H29" i="2"/>
  <c r="H30" i="2"/>
  <c r="H26" i="2"/>
  <c r="H14" i="2"/>
  <c r="H17" i="2"/>
  <c r="H11" i="2"/>
  <c r="H46" i="2"/>
  <c r="H18" i="2"/>
  <c r="H24" i="2"/>
  <c r="H16" i="2"/>
  <c r="H45" i="2"/>
  <c r="H38" i="2"/>
  <c r="H23" i="2"/>
  <c r="H6" i="2"/>
  <c r="H15" i="2"/>
  <c r="H47" i="2"/>
  <c r="I11" i="2"/>
  <c r="H42" i="2"/>
  <c r="H37" i="2"/>
  <c r="H9" i="2"/>
  <c r="I7" i="2"/>
  <c r="H8" i="2"/>
  <c r="H40" i="2"/>
  <c r="I4" i="2"/>
  <c r="H34" i="2"/>
  <c r="I24" i="2"/>
  <c r="I30" i="2"/>
  <c r="I18" i="2"/>
  <c r="I23" i="2"/>
  <c r="I9" i="2"/>
  <c r="I8" i="2"/>
  <c r="I40" i="2"/>
  <c r="I46" i="2"/>
  <c r="I21" i="2"/>
  <c r="I38" i="2"/>
  <c r="I31" i="2"/>
  <c r="I42" i="2"/>
  <c r="I14" i="2"/>
  <c r="I32" i="2"/>
  <c r="I17" i="2"/>
  <c r="I45" i="2"/>
  <c r="I39" i="2"/>
  <c r="I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FDE4CA-B0E6-4B00-980B-F6FF793EE745}" keepAlive="1" name="ThisWorkbookDataModel" description="数据模型"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78EE701-8FB5-40D5-937A-E8D2C4DB028D}" name="WorksheetConnection_供应链.xlsx!SupplyAvailability" type="102" refreshedVersion="6" minRefreshableVersion="5">
    <extLst>
      <ext xmlns:x15="http://schemas.microsoft.com/office/spreadsheetml/2010/11/main" uri="{DE250136-89BD-433C-8126-D09CA5730AF9}">
        <x15:connection id="SupplyAvailability">
          <x15:rangePr sourceName="_xlcn.WorksheetConnection_供应链.xlsxSupplyAvailability1"/>
        </x15:connection>
      </ext>
    </extLst>
  </connection>
  <connection id="3" xr16:uid="{DD78FE03-DBF7-4A0D-818E-87B6D38A42FE}" name="WorksheetConnection_供应链.xlsx!表1" type="102" refreshedVersion="6" minRefreshableVersion="5">
    <extLst>
      <ext xmlns:x15="http://schemas.microsoft.com/office/spreadsheetml/2010/11/main" uri="{DE250136-89BD-433C-8126-D09CA5730AF9}">
        <x15:connection id="表1">
          <x15:rangePr sourceName="_xlcn.WorksheetConnection_供应链.xlsx表11"/>
        </x15:connection>
      </ext>
    </extLst>
  </connection>
</connections>
</file>

<file path=xl/sharedStrings.xml><?xml version="1.0" encoding="utf-8"?>
<sst xmlns="http://schemas.openxmlformats.org/spreadsheetml/2006/main" count="77" uniqueCount="65">
  <si>
    <t>Public lighting</t>
    <phoneticPr fontId="1" type="noConversion"/>
  </si>
  <si>
    <t>Factories and other industrial premises</t>
    <phoneticPr fontId="1" type="noConversion"/>
  </si>
  <si>
    <t xml:space="preserve">Shops offices,and other commercial  premises </t>
    <phoneticPr fontId="1" type="noConversion"/>
  </si>
  <si>
    <t xml:space="preserve">Domestic and farm premises  </t>
    <phoneticPr fontId="1" type="noConversion"/>
  </si>
  <si>
    <t>Year</t>
    <phoneticPr fontId="1" type="noConversion"/>
  </si>
  <si>
    <t>值</t>
  </si>
  <si>
    <t>Year</t>
  </si>
  <si>
    <t>Fuel industries</t>
  </si>
  <si>
    <t>User Industrial</t>
  </si>
  <si>
    <t>User Domestic</t>
  </si>
  <si>
    <t>User Other</t>
  </si>
  <si>
    <t>User Total</t>
  </si>
  <si>
    <t>ConsumptionTotal</t>
    <phoneticPr fontId="1" type="noConversion"/>
  </si>
  <si>
    <t>Availability/SupplyTotal</t>
  </si>
  <si>
    <t>Electricity supplied (net)</t>
  </si>
  <si>
    <t>Purchases from other producers</t>
  </si>
  <si>
    <t>Net Imports</t>
  </si>
  <si>
    <t>Electricity available</t>
  </si>
  <si>
    <t>Losses in transmission</t>
  </si>
  <si>
    <t>Column Labels</t>
  </si>
  <si>
    <t>Grand Total</t>
  </si>
  <si>
    <t>Row Labels</t>
  </si>
  <si>
    <t>Sum of Factories and other industrial premises</t>
  </si>
  <si>
    <t>Sum of Public lighting</t>
  </si>
  <si>
    <t>Sum of Traction</t>
  </si>
  <si>
    <t>Domestic and farm premises  %</t>
    <phoneticPr fontId="1" type="noConversion"/>
  </si>
  <si>
    <t>Shops offices,and other commercial  premises %</t>
    <phoneticPr fontId="1" type="noConversion"/>
  </si>
  <si>
    <t>Factories and other industrial premises %</t>
    <phoneticPr fontId="1" type="noConversion"/>
  </si>
  <si>
    <t>Public lighting%</t>
    <phoneticPr fontId="1" type="noConversion"/>
  </si>
  <si>
    <t>Traction</t>
    <phoneticPr fontId="1" type="noConversion"/>
  </si>
  <si>
    <t>Traction%</t>
    <phoneticPr fontId="1" type="noConversion"/>
  </si>
  <si>
    <t>Sum of Domestic and farm premises  %</t>
  </si>
  <si>
    <t>Sum of Shops offices,and other commercial  premises %</t>
  </si>
  <si>
    <t>Sum of Factories and other industrial premises %</t>
  </si>
  <si>
    <t>Sum of Public lighting%</t>
  </si>
  <si>
    <t>Sum of Traction%</t>
  </si>
  <si>
    <t>Sum of User Domestic</t>
  </si>
  <si>
    <t>Sum of User Other</t>
  </si>
  <si>
    <t>Sum of User Industrial</t>
  </si>
  <si>
    <t>Sum of Losses in transmission</t>
  </si>
  <si>
    <t>Sum of Electricity available</t>
  </si>
  <si>
    <t>Sum of Net Imports</t>
  </si>
  <si>
    <t>Sum of Purchases from other producers</t>
  </si>
  <si>
    <t>Sum of Electricity supplied (net)</t>
  </si>
  <si>
    <t xml:space="preserve">Sum of Domestic and farm premises  </t>
  </si>
  <si>
    <t xml:space="preserve">Sum of Shops offices,and other commercial  premises </t>
  </si>
  <si>
    <t xml:space="preserve">Componence of supply </t>
    <phoneticPr fontId="1" type="noConversion"/>
  </si>
  <si>
    <t>Componence of Availablity</t>
    <phoneticPr fontId="1" type="noConversion"/>
  </si>
  <si>
    <t>Dashboard</t>
  </si>
  <si>
    <t>Excel Dashboards File Index</t>
    <phoneticPr fontId="1" type="noConversion"/>
  </si>
  <si>
    <t>Student Number: 20091574</t>
    <phoneticPr fontId="1" type="noConversion"/>
  </si>
  <si>
    <t>Student Name: Chenyan Jiang</t>
    <phoneticPr fontId="1" type="noConversion"/>
  </si>
  <si>
    <t>Supply Pie Pivot</t>
    <phoneticPr fontId="1" type="noConversion"/>
  </si>
  <si>
    <t>Availability Pie Pivot</t>
    <phoneticPr fontId="1" type="noConversion"/>
  </si>
  <si>
    <t>To make the use have a more Clear view on the electricity change by ‘Year’filter</t>
    <phoneticPr fontId="1" type="noConversion"/>
  </si>
  <si>
    <t>Line Pivot</t>
    <phoneticPr fontId="1" type="noConversion"/>
  </si>
  <si>
    <t>Supply Availity</t>
    <phoneticPr fontId="1" type="noConversion"/>
  </si>
  <si>
    <t>Bar Pivot Consumption</t>
    <phoneticPr fontId="1" type="noConversion"/>
  </si>
  <si>
    <t>Consumption Category</t>
    <phoneticPr fontId="1" type="noConversion"/>
  </si>
  <si>
    <t xml:space="preserve">To finish 2sec component of dashboard in availability chain, </t>
    <phoneticPr fontId="1" type="noConversion"/>
  </si>
  <si>
    <t>To finish 3td component of dashboard target at the trend of supply changeable</t>
    <phoneticPr fontId="1" type="noConversion"/>
  </si>
  <si>
    <t>To finish 4th component of dashboard in Comsuption chain, in order to see the perecntage of  different usage</t>
    <phoneticPr fontId="1" type="noConversion"/>
  </si>
  <si>
    <t>To finish 5th components of dashboard in Comsuption chain. In order the show more detailed percentage information.</t>
    <phoneticPr fontId="1" type="noConversion"/>
  </si>
  <si>
    <t>To finish 1st component of dashboard in supply chain, it show the occupied of each supply methods.</t>
    <phoneticPr fontId="1" type="noConversion"/>
  </si>
  <si>
    <t xml:space="preserve">The original pivot Before integration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</si>
</sst>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 ;\-#,##0.00\ ;&quot;- &quot;"/>
    <numFmt numFmtId="177" formatCode="#,##0.000"/>
    <numFmt numFmtId="178" formatCode="0.00_ "/>
    <numFmt numFmtId="180" formatCode="\▼0.0%;\▼0.0%"/>
  </numFmts>
  <fonts count="9" x14ac:knownFonts="1">
    <font>
      <sz val="11"/>
      <color theme="1"/>
      <name val="华文仿宋"/>
      <family val="2"/>
      <charset val="134"/>
      <scheme val="minor"/>
    </font>
    <font>
      <sz val="9"/>
      <name val="华文仿宋"/>
      <family val="2"/>
      <charset val="134"/>
      <scheme val="minor"/>
    </font>
    <font>
      <b/>
      <sz val="10"/>
      <name val="Arial"/>
      <family val="2"/>
    </font>
    <font>
      <sz val="10"/>
      <name val="Arial"/>
      <family val="2"/>
    </font>
    <font>
      <sz val="10"/>
      <color theme="8"/>
      <name val="Arial"/>
      <family val="2"/>
    </font>
    <font>
      <b/>
      <sz val="10"/>
      <color indexed="12"/>
      <name val="Arial"/>
      <family val="2"/>
    </font>
    <font>
      <sz val="10"/>
      <color indexed="12"/>
      <name val="Arial"/>
      <family val="2"/>
    </font>
    <font>
      <b/>
      <sz val="11"/>
      <color theme="1"/>
      <name val="华文仿宋"/>
      <family val="3"/>
      <charset val="134"/>
      <scheme val="minor"/>
    </font>
    <font>
      <sz val="22"/>
      <color theme="0"/>
      <name val="Segoe UI Light"/>
      <family val="2"/>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rgb="FF336600"/>
        <bgColor indexed="64"/>
      </patternFill>
    </fill>
  </fills>
  <borders count="11">
    <border>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indexed="64"/>
      </bottom>
      <diagonal/>
    </border>
  </borders>
  <cellStyleXfs count="3">
    <xf numFmtId="0" fontId="0" fillId="0" borderId="0">
      <alignment vertical="center"/>
    </xf>
    <xf numFmtId="0" fontId="3" fillId="0" borderId="0"/>
    <xf numFmtId="9" fontId="3" fillId="0" borderId="0" applyFont="0" applyFill="0" applyBorder="0" applyAlignment="0" applyProtection="0"/>
  </cellStyleXfs>
  <cellXfs count="52">
    <xf numFmtId="0" fontId="0" fillId="0" borderId="0" xfId="0">
      <alignment vertical="center"/>
    </xf>
    <xf numFmtId="0" fontId="2" fillId="0" borderId="1" xfId="0" applyFont="1" applyBorder="1" applyAlignment="1">
      <alignment horizontal="right"/>
    </xf>
    <xf numFmtId="0" fontId="2" fillId="0" borderId="0" xfId="0" applyFont="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5" fillId="0" borderId="1" xfId="0" applyFont="1" applyBorder="1" applyAlignment="1">
      <alignment horizontal="center"/>
    </xf>
    <xf numFmtId="176" fontId="3" fillId="0" borderId="0" xfId="0" applyNumberFormat="1" applyFont="1" applyAlignment="1">
      <alignment horizontal="right"/>
    </xf>
    <xf numFmtId="0" fontId="5" fillId="0" borderId="4" xfId="0" applyFont="1" applyBorder="1" applyAlignment="1">
      <alignment horizontal="center"/>
    </xf>
    <xf numFmtId="176" fontId="3" fillId="0" borderId="4" xfId="0" applyNumberFormat="1" applyFont="1" applyBorder="1" applyAlignment="1">
      <alignment horizontal="right"/>
    </xf>
    <xf numFmtId="0" fontId="5" fillId="0" borderId="5" xfId="0" applyFont="1" applyBorder="1" applyAlignment="1">
      <alignment horizontal="center"/>
    </xf>
    <xf numFmtId="176" fontId="3" fillId="0" borderId="3" xfId="0" applyNumberFormat="1" applyFont="1" applyBorder="1" applyAlignment="1">
      <alignment horizontal="right"/>
    </xf>
    <xf numFmtId="4" fontId="3" fillId="0" borderId="4" xfId="0" applyNumberFormat="1" applyFont="1" applyBorder="1" applyAlignment="1">
      <alignment horizontal="right"/>
    </xf>
    <xf numFmtId="4" fontId="3" fillId="0" borderId="7" xfId="0" applyNumberFormat="1" applyFont="1" applyBorder="1" applyAlignment="1">
      <alignment horizontal="right"/>
    </xf>
    <xf numFmtId="177" fontId="3" fillId="0" borderId="7" xfId="0" applyNumberFormat="1" applyFont="1" applyBorder="1" applyAlignment="1">
      <alignment horizontal="right"/>
    </xf>
    <xf numFmtId="4" fontId="3" fillId="0" borderId="0" xfId="0" applyNumberFormat="1" applyFont="1" applyAlignment="1">
      <alignment horizontal="right"/>
    </xf>
    <xf numFmtId="177" fontId="3" fillId="0" borderId="0" xfId="0" applyNumberFormat="1" applyFont="1" applyAlignment="1">
      <alignment horizontal="right"/>
    </xf>
    <xf numFmtId="4" fontId="3" fillId="0" borderId="2" xfId="0" applyNumberFormat="1" applyFont="1" applyBorder="1" applyAlignment="1">
      <alignment horizontal="right"/>
    </xf>
    <xf numFmtId="4" fontId="3" fillId="0" borderId="3" xfId="0" applyNumberFormat="1" applyFont="1" applyBorder="1" applyAlignment="1">
      <alignment horizontal="right"/>
    </xf>
    <xf numFmtId="177" fontId="3" fillId="0" borderId="3" xfId="0" applyNumberFormat="1" applyFont="1" applyBorder="1" applyAlignment="1">
      <alignment horizontal="right"/>
    </xf>
    <xf numFmtId="4" fontId="3" fillId="0" borderId="6" xfId="0" applyNumberFormat="1" applyFont="1" applyBorder="1" applyAlignment="1">
      <alignment horizontal="right"/>
    </xf>
    <xf numFmtId="176" fontId="3" fillId="0" borderId="0" xfId="0" applyNumberFormat="1" applyFont="1" applyBorder="1" applyAlignment="1">
      <alignment horizontal="right"/>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78" fontId="0" fillId="0" borderId="0" xfId="0" applyNumberFormat="1">
      <alignment vertical="center"/>
    </xf>
    <xf numFmtId="0" fontId="6" fillId="2" borderId="5" xfId="0" applyFont="1" applyFill="1" applyBorder="1" applyAlignment="1">
      <alignment horizontal="right"/>
    </xf>
    <xf numFmtId="0" fontId="6" fillId="3" borderId="5" xfId="0" applyFont="1" applyFill="1" applyBorder="1" applyAlignment="1">
      <alignment horizontal="right"/>
    </xf>
    <xf numFmtId="0" fontId="6" fillId="4" borderId="5" xfId="0" applyFont="1" applyFill="1" applyBorder="1" applyAlignment="1">
      <alignment horizontal="right"/>
    </xf>
    <xf numFmtId="0" fontId="6" fillId="0" borderId="5" xfId="0" applyFont="1" applyBorder="1" applyAlignment="1">
      <alignment horizontal="right"/>
    </xf>
    <xf numFmtId="4" fontId="3" fillId="0" borderId="0" xfId="0" applyNumberFormat="1" applyFont="1" applyBorder="1" applyAlignment="1">
      <alignment horizontal="right"/>
    </xf>
    <xf numFmtId="4" fontId="2" fillId="0" borderId="0" xfId="0" applyNumberFormat="1" applyFont="1" applyBorder="1" applyAlignment="1">
      <alignment horizontal="right"/>
    </xf>
    <xf numFmtId="4" fontId="2" fillId="0" borderId="4" xfId="0" applyNumberFormat="1" applyFont="1" applyBorder="1" applyAlignment="1">
      <alignment horizontal="right"/>
    </xf>
    <xf numFmtId="0" fontId="2" fillId="0" borderId="0" xfId="0" applyFont="1" applyBorder="1" applyAlignment="1">
      <alignment horizontal="right"/>
    </xf>
    <xf numFmtId="176" fontId="3" fillId="0" borderId="8" xfId="0" applyNumberFormat="1" applyFont="1" applyBorder="1" applyAlignment="1">
      <alignment horizontal="right"/>
    </xf>
    <xf numFmtId="176" fontId="3" fillId="5" borderId="8" xfId="0" applyNumberFormat="1" applyFont="1" applyFill="1" applyBorder="1" applyAlignment="1">
      <alignment horizontal="right"/>
    </xf>
    <xf numFmtId="176" fontId="4" fillId="0" borderId="8" xfId="0" applyNumberFormat="1" applyFont="1" applyBorder="1" applyAlignment="1">
      <alignment horizontal="right"/>
    </xf>
    <xf numFmtId="176" fontId="4" fillId="0" borderId="9" xfId="0" applyNumberFormat="1" applyFont="1" applyBorder="1" applyAlignment="1">
      <alignment horizontal="right"/>
    </xf>
    <xf numFmtId="176" fontId="4" fillId="5" borderId="9" xfId="0" applyNumberFormat="1" applyFont="1" applyFill="1" applyBorder="1" applyAlignment="1">
      <alignment horizontal="right"/>
    </xf>
    <xf numFmtId="176" fontId="3" fillId="5" borderId="10" xfId="0" applyNumberFormat="1" applyFont="1" applyFill="1" applyBorder="1" applyAlignment="1">
      <alignment horizontal="right"/>
    </xf>
    <xf numFmtId="0" fontId="0" fillId="6" borderId="0" xfId="0" applyFill="1" applyAlignment="1">
      <alignment vertical="center"/>
    </xf>
    <xf numFmtId="0" fontId="0" fillId="0" borderId="4" xfId="0" applyBorder="1">
      <alignment vertical="center"/>
    </xf>
    <xf numFmtId="10" fontId="0" fillId="0" borderId="0" xfId="0" applyNumberFormat="1">
      <alignment vertical="center"/>
    </xf>
    <xf numFmtId="10" fontId="2" fillId="0" borderId="0" xfId="0" applyNumberFormat="1" applyFont="1" applyAlignment="1">
      <alignment horizontal="right"/>
    </xf>
    <xf numFmtId="10" fontId="3" fillId="0" borderId="0" xfId="0" applyNumberFormat="1" applyFont="1" applyAlignment="1">
      <alignment horizontal="right"/>
    </xf>
    <xf numFmtId="10" fontId="0" fillId="0" borderId="0" xfId="0" pivotButton="1" applyNumberFormat="1">
      <alignment vertical="center"/>
    </xf>
    <xf numFmtId="10" fontId="0" fillId="0" borderId="0" xfId="0" applyNumberFormat="1" applyAlignment="1">
      <alignment horizontal="left" vertical="center"/>
    </xf>
    <xf numFmtId="0" fontId="7" fillId="0" borderId="0" xfId="0" applyFont="1">
      <alignment vertical="center"/>
    </xf>
    <xf numFmtId="0" fontId="0" fillId="6" borderId="4" xfId="0" applyFill="1" applyBorder="1" applyAlignment="1">
      <alignment vertical="center"/>
    </xf>
    <xf numFmtId="0" fontId="8" fillId="7" borderId="0" xfId="0" applyFont="1" applyFill="1">
      <alignment vertical="center"/>
    </xf>
    <xf numFmtId="0" fontId="0" fillId="0" borderId="0" xfId="0" applyAlignment="1"/>
    <xf numFmtId="180" fontId="0" fillId="0" borderId="0" xfId="0" applyNumberFormat="1" applyAlignment="1"/>
    <xf numFmtId="0" fontId="7" fillId="0" borderId="0" xfId="0" applyFont="1" applyAlignment="1"/>
  </cellXfs>
  <cellStyles count="3">
    <cellStyle name="Normal" xfId="0" builtinId="0"/>
    <cellStyle name="Normal 2" xfId="1" xr:uid="{D3EFF303-21A4-4CE5-B13E-8BA226846FDB}"/>
    <cellStyle name="Percent 2" xfId="2" xr:uid="{7600A989-56E3-426E-A9ED-8D0CB16DA287}"/>
  </cellStyles>
  <dxfs count="36">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indexed="12"/>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8"/>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i val="0"/>
        <strike val="0"/>
        <condense val="0"/>
        <extend val="0"/>
        <outline val="0"/>
        <shadow val="0"/>
        <u val="none"/>
        <vertAlign val="baseline"/>
        <sz val="10"/>
        <color indexed="12"/>
        <name val="Arial"/>
        <family val="2"/>
        <scheme val="none"/>
      </font>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[供应链.xlsx]SupplyPiePivot!SupplyPiePivot</c:name>
    <c:fmtId val="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1986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1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1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1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2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2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2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2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2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2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3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3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3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3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3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3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4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4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4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4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4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4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5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5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5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5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5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5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6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6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6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6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6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6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6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7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7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7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7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7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7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7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7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8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8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8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8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8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8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8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8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9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9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9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9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9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9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79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79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0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0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0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0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0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0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0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0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1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1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1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1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1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1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2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2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2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2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2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2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3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3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3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3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3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3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4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4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4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4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4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4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5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5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5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5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5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5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6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6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6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6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6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6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6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7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7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73"/>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7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7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7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7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87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8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8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8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883"/>
        <c:spPr>
          <a:gradFill>
            <a:gsLst>
              <a:gs pos="100000">
                <a:schemeClr val="accent4">
                  <a:lumMod val="60000"/>
                  <a:lumOff val="40000"/>
                </a:schemeClr>
              </a:gs>
              <a:gs pos="0">
                <a:schemeClr val="accent4"/>
              </a:gs>
            </a:gsLst>
            <a:lin ang="5400000" scaled="0"/>
          </a:gra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FC9-4884-BCB7-D5563D19B8B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FC9-4884-BCB7-D5563D19B8B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FC9-4884-BCB7-D5563D19B8B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FC9-4884-BCB7-D5563D19B8BF}"/>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08-DFC9-4884-BCB7-D5563D19B8BF}"/>
            </c:ext>
          </c:extLst>
        </c:ser>
        <c:ser>
          <c:idx val="1"/>
          <c:order val="1"/>
          <c:tx>
            <c:strRef>
              <c:f>SupplyPiePivot!$C$3:$C$4</c:f>
              <c:strCache>
                <c:ptCount val="1"/>
                <c:pt idx="0">
                  <c:v>1987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11-39AC-4905-B13F-79D379D5F3FF}"/>
            </c:ext>
          </c:extLst>
        </c:ser>
        <c:ser>
          <c:idx val="2"/>
          <c:order val="2"/>
          <c:tx>
            <c:strRef>
              <c:f>SupplyPiePivot!$D$3:$D$4</c:f>
              <c:strCache>
                <c:ptCount val="1"/>
                <c:pt idx="0">
                  <c:v>1988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12-39AC-4905-B13F-79D379D5F3FF}"/>
            </c:ext>
          </c:extLst>
        </c:ser>
        <c:ser>
          <c:idx val="3"/>
          <c:order val="3"/>
          <c:tx>
            <c:strRef>
              <c:f>SupplyPiePivot!$E$3:$E$4</c:f>
              <c:strCache>
                <c:ptCount val="1"/>
                <c:pt idx="0">
                  <c:v>1989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13-39AC-4905-B13F-79D379D5F3FF}"/>
            </c:ext>
          </c:extLst>
        </c:ser>
        <c:ser>
          <c:idx val="4"/>
          <c:order val="4"/>
          <c:tx>
            <c:strRef>
              <c:f>SupplyPiePivot!$F$3:$F$4</c:f>
              <c:strCache>
                <c:ptCount val="1"/>
                <c:pt idx="0">
                  <c:v>1990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14-39AC-4905-B13F-79D379D5F3FF}"/>
            </c:ext>
          </c:extLst>
        </c:ser>
        <c:ser>
          <c:idx val="5"/>
          <c:order val="5"/>
          <c:tx>
            <c:strRef>
              <c:f>SupplyPiePivot!$G$3:$G$4</c:f>
              <c:strCache>
                <c:ptCount val="1"/>
                <c:pt idx="0">
                  <c:v>1991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15-39AC-4905-B13F-79D379D5F3FF}"/>
            </c:ext>
          </c:extLst>
        </c:ser>
        <c:ser>
          <c:idx val="6"/>
          <c:order val="6"/>
          <c:tx>
            <c:strRef>
              <c:f>SupplyPiePivot!$H$3:$H$4</c:f>
              <c:strCache>
                <c:ptCount val="1"/>
                <c:pt idx="0">
                  <c:v>1992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16-39AC-4905-B13F-79D379D5F3FF}"/>
            </c:ext>
          </c:extLst>
        </c:ser>
        <c:ser>
          <c:idx val="7"/>
          <c:order val="7"/>
          <c:tx>
            <c:strRef>
              <c:f>SupplyPiePivot!$I$3:$I$4</c:f>
              <c:strCache>
                <c:ptCount val="1"/>
                <c:pt idx="0">
                  <c:v>1993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17-39AC-4905-B13F-79D379D5F3FF}"/>
            </c:ext>
          </c:extLst>
        </c:ser>
        <c:ser>
          <c:idx val="8"/>
          <c:order val="8"/>
          <c:tx>
            <c:strRef>
              <c:f>SupplyPiePivot!$J$3:$J$4</c:f>
              <c:strCache>
                <c:ptCount val="1"/>
                <c:pt idx="0">
                  <c:v>1994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18-39AC-4905-B13F-79D379D5F3FF}"/>
            </c:ext>
          </c:extLst>
        </c:ser>
        <c:ser>
          <c:idx val="9"/>
          <c:order val="9"/>
          <c:tx>
            <c:strRef>
              <c:f>SupplyPiePivot!$K$3:$K$4</c:f>
              <c:strCache>
                <c:ptCount val="1"/>
                <c:pt idx="0">
                  <c:v>1995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19-39AC-4905-B13F-79D379D5F3FF}"/>
            </c:ext>
          </c:extLst>
        </c:ser>
        <c:ser>
          <c:idx val="10"/>
          <c:order val="10"/>
          <c:tx>
            <c:strRef>
              <c:f>SupplyPiePivot!$L$3:$L$4</c:f>
              <c:strCache>
                <c:ptCount val="1"/>
                <c:pt idx="0">
                  <c:v>1996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1A-39AC-4905-B13F-79D379D5F3FF}"/>
            </c:ext>
          </c:extLst>
        </c:ser>
        <c:ser>
          <c:idx val="11"/>
          <c:order val="11"/>
          <c:tx>
            <c:strRef>
              <c:f>SupplyPiePivot!$M$3:$M$4</c:f>
              <c:strCache>
                <c:ptCount val="1"/>
                <c:pt idx="0">
                  <c:v>1997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1B-39AC-4905-B13F-79D379D5F3FF}"/>
            </c:ext>
          </c:extLst>
        </c:ser>
        <c:ser>
          <c:idx val="12"/>
          <c:order val="12"/>
          <c:tx>
            <c:strRef>
              <c:f>SupplyPiePivot!$N$3:$N$4</c:f>
              <c:strCache>
                <c:ptCount val="1"/>
                <c:pt idx="0">
                  <c:v>1998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1C-39AC-4905-B13F-79D379D5F3FF}"/>
            </c:ext>
          </c:extLst>
        </c:ser>
        <c:ser>
          <c:idx val="13"/>
          <c:order val="13"/>
          <c:tx>
            <c:strRef>
              <c:f>SupplyPiePivot!$O$3:$O$4</c:f>
              <c:strCache>
                <c:ptCount val="1"/>
                <c:pt idx="0">
                  <c:v>1999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1D-39AC-4905-B13F-79D379D5F3FF}"/>
            </c:ext>
          </c:extLst>
        </c:ser>
        <c:ser>
          <c:idx val="14"/>
          <c:order val="14"/>
          <c:tx>
            <c:strRef>
              <c:f>SupplyPiePivot!$P$3:$P$4</c:f>
              <c:strCache>
                <c:ptCount val="1"/>
                <c:pt idx="0">
                  <c:v>2000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1E-39AC-4905-B13F-79D379D5F3FF}"/>
            </c:ext>
          </c:extLst>
        </c:ser>
        <c:ser>
          <c:idx val="15"/>
          <c:order val="15"/>
          <c:tx>
            <c:strRef>
              <c:f>SupplyPiePivot!$Q$3:$Q$4</c:f>
              <c:strCache>
                <c:ptCount val="1"/>
                <c:pt idx="0">
                  <c:v>2001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1F-39AC-4905-B13F-79D379D5F3FF}"/>
            </c:ext>
          </c:extLst>
        </c:ser>
        <c:ser>
          <c:idx val="16"/>
          <c:order val="16"/>
          <c:tx>
            <c:strRef>
              <c:f>SupplyPiePivot!$R$3:$R$4</c:f>
              <c:strCache>
                <c:ptCount val="1"/>
                <c:pt idx="0">
                  <c:v>2002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20-39AC-4905-B13F-79D379D5F3FF}"/>
            </c:ext>
          </c:extLst>
        </c:ser>
        <c:ser>
          <c:idx val="17"/>
          <c:order val="17"/>
          <c:tx>
            <c:strRef>
              <c:f>SupplyPiePivot!$S$3:$S$4</c:f>
              <c:strCache>
                <c:ptCount val="1"/>
                <c:pt idx="0">
                  <c:v>2003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21-39AC-4905-B13F-79D379D5F3FF}"/>
            </c:ext>
          </c:extLst>
        </c:ser>
        <c:ser>
          <c:idx val="18"/>
          <c:order val="18"/>
          <c:tx>
            <c:strRef>
              <c:f>SupplyPiePivot!$T$3:$T$4</c:f>
              <c:strCache>
                <c:ptCount val="1"/>
                <c:pt idx="0">
                  <c:v>2004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22-39AC-4905-B13F-79D379D5F3FF}"/>
            </c:ext>
          </c:extLst>
        </c:ser>
        <c:ser>
          <c:idx val="19"/>
          <c:order val="19"/>
          <c:tx>
            <c:strRef>
              <c:f>SupplyPiePivot!$U$3:$U$4</c:f>
              <c:strCache>
                <c:ptCount val="1"/>
                <c:pt idx="0">
                  <c:v>2005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23-39AC-4905-B13F-79D379D5F3FF}"/>
            </c:ext>
          </c:extLst>
        </c:ser>
        <c:ser>
          <c:idx val="20"/>
          <c:order val="20"/>
          <c:tx>
            <c:strRef>
              <c:f>SupplyPiePivot!$V$3:$V$4</c:f>
              <c:strCache>
                <c:ptCount val="1"/>
                <c:pt idx="0">
                  <c:v>2006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24-39AC-4905-B13F-79D379D5F3FF}"/>
            </c:ext>
          </c:extLst>
        </c:ser>
        <c:ser>
          <c:idx val="21"/>
          <c:order val="21"/>
          <c:tx>
            <c:strRef>
              <c:f>SupplyPiePivot!$W$3:$W$4</c:f>
              <c:strCache>
                <c:ptCount val="1"/>
                <c:pt idx="0">
                  <c:v>2007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25-39AC-4905-B13F-79D379D5F3FF}"/>
            </c:ext>
          </c:extLst>
        </c:ser>
        <c:ser>
          <c:idx val="22"/>
          <c:order val="22"/>
          <c:tx>
            <c:strRef>
              <c:f>SupplyPiePivot!$X$3:$X$4</c:f>
              <c:strCache>
                <c:ptCount val="1"/>
                <c:pt idx="0">
                  <c:v>2008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26-39AC-4905-B13F-79D379D5F3FF}"/>
            </c:ext>
          </c:extLst>
        </c:ser>
        <c:ser>
          <c:idx val="23"/>
          <c:order val="23"/>
          <c:tx>
            <c:strRef>
              <c:f>SupplyPiePivot!$Y$3:$Y$4</c:f>
              <c:strCache>
                <c:ptCount val="1"/>
                <c:pt idx="0">
                  <c:v>2009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27-39AC-4905-B13F-79D379D5F3FF}"/>
            </c:ext>
          </c:extLst>
        </c:ser>
        <c:ser>
          <c:idx val="24"/>
          <c:order val="24"/>
          <c:tx>
            <c:strRef>
              <c:f>SupplyPiePivot!$Z$3:$Z$4</c:f>
              <c:strCache>
                <c:ptCount val="1"/>
                <c:pt idx="0">
                  <c:v>2010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28-39AC-4905-B13F-79D379D5F3FF}"/>
            </c:ext>
          </c:extLst>
        </c:ser>
        <c:ser>
          <c:idx val="25"/>
          <c:order val="25"/>
          <c:tx>
            <c:strRef>
              <c:f>SupplyPiePivot!$AA$3:$AA$4</c:f>
              <c:strCache>
                <c:ptCount val="1"/>
                <c:pt idx="0">
                  <c:v>2011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29-39AC-4905-B13F-79D379D5F3FF}"/>
            </c:ext>
          </c:extLst>
        </c:ser>
        <c:ser>
          <c:idx val="26"/>
          <c:order val="26"/>
          <c:tx>
            <c:strRef>
              <c:f>SupplyPiePivot!$AB$3:$AB$4</c:f>
              <c:strCache>
                <c:ptCount val="1"/>
                <c:pt idx="0">
                  <c:v>2012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2A-39AC-4905-B13F-79D379D5F3FF}"/>
            </c:ext>
          </c:extLst>
        </c:ser>
        <c:ser>
          <c:idx val="27"/>
          <c:order val="27"/>
          <c:tx>
            <c:strRef>
              <c:f>SupplyPiePivot!$AC$3:$AC$4</c:f>
              <c:strCache>
                <c:ptCount val="1"/>
                <c:pt idx="0">
                  <c:v>2013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2B-39AC-4905-B13F-79D379D5F3FF}"/>
            </c:ext>
          </c:extLst>
        </c:ser>
        <c:ser>
          <c:idx val="28"/>
          <c:order val="28"/>
          <c:tx>
            <c:strRef>
              <c:f>SupplyPiePivot!$AD$3:$AD$4</c:f>
              <c:strCache>
                <c:ptCount val="1"/>
                <c:pt idx="0">
                  <c:v>2014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2C-39AC-4905-B13F-79D379D5F3FF}"/>
            </c:ext>
          </c:extLst>
        </c:ser>
        <c:ser>
          <c:idx val="29"/>
          <c:order val="29"/>
          <c:tx>
            <c:strRef>
              <c:f>SupplyPiePivot!$AE$3:$AE$4</c:f>
              <c:strCache>
                <c:ptCount val="1"/>
                <c:pt idx="0">
                  <c:v>2015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2D-39AC-4905-B13F-79D379D5F3FF}"/>
            </c:ext>
          </c:extLst>
        </c:ser>
        <c:ser>
          <c:idx val="30"/>
          <c:order val="30"/>
          <c:tx>
            <c:strRef>
              <c:f>SupplyPiePivot!$AF$3:$AF$4</c:f>
              <c:strCache>
                <c:ptCount val="1"/>
                <c:pt idx="0">
                  <c:v>2016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2E-39AC-4905-B13F-79D379D5F3FF}"/>
            </c:ext>
          </c:extLst>
        </c:ser>
        <c:ser>
          <c:idx val="31"/>
          <c:order val="31"/>
          <c:tx>
            <c:strRef>
              <c:f>SupplyPiePivot!$AG$3:$AG$4</c:f>
              <c:strCache>
                <c:ptCount val="1"/>
                <c:pt idx="0">
                  <c:v>2017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2F-39AC-4905-B13F-79D379D5F3FF}"/>
            </c:ext>
          </c:extLst>
        </c:ser>
        <c:ser>
          <c:idx val="32"/>
          <c:order val="32"/>
          <c:tx>
            <c:strRef>
              <c:f>SupplyPiePivot!$AH$3:$AH$4</c:f>
              <c:strCache>
                <c:ptCount val="1"/>
                <c:pt idx="0">
                  <c:v>2018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30-39AC-4905-B13F-79D379D5F3FF}"/>
            </c:ext>
          </c:extLst>
        </c:ser>
        <c:ser>
          <c:idx val="33"/>
          <c:order val="33"/>
          <c:tx>
            <c:strRef>
              <c:f>SupplyPiePivot!$AI$3:$AI$4</c:f>
              <c:strCache>
                <c:ptCount val="1"/>
                <c:pt idx="0">
                  <c:v>2019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31-39AC-4905-B13F-79D379D5F3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[供应链.xlsx]PivotConsumption!数据透视表20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PivotConsumption!$A$7:$A$8</c:f>
              <c:strCache>
                <c:ptCount val="1"/>
                <c:pt idx="0">
                  <c:v>1923</c:v>
                </c:pt>
              </c:strCache>
            </c:strRef>
          </c:cat>
          <c:val>
            <c:numRef>
              <c:f>PivotConsumption!$B$7:$B$8</c:f>
              <c:numCache>
                <c:formatCode>General</c:formatCode>
                <c:ptCount val="1"/>
                <c:pt idx="0">
                  <c:v>0.45300000000000001</c:v>
                </c:pt>
              </c:numCache>
            </c:numRef>
          </c:val>
          <c:extLst>
            <c:ext xmlns:c16="http://schemas.microsoft.com/office/drawing/2014/chart" uri="{C3380CC4-5D6E-409C-BE32-E72D297353CC}">
              <c16:uniqueId val="{00000000-C07A-4960-9EBE-72F9CF165888}"/>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PivotConsumption!$A$7:$A$8</c:f>
              <c:strCache>
                <c:ptCount val="1"/>
                <c:pt idx="0">
                  <c:v>1923</c:v>
                </c:pt>
              </c:strCache>
            </c:strRef>
          </c:cat>
          <c:val>
            <c:numRef>
              <c:f>PivotConsumption!$C$7:$C$8</c:f>
              <c:numCache>
                <c:formatCode>General</c:formatCode>
                <c:ptCount val="1"/>
                <c:pt idx="0">
                  <c:v>0.54300000000000004</c:v>
                </c:pt>
              </c:numCache>
            </c:numRef>
          </c:val>
          <c:extLst>
            <c:ext xmlns:c16="http://schemas.microsoft.com/office/drawing/2014/chart" uri="{C3380CC4-5D6E-409C-BE32-E72D297353CC}">
              <c16:uniqueId val="{00000001-C07A-4960-9EBE-72F9CF165888}"/>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PivotConsumption!$A$7:$A$8</c:f>
              <c:strCache>
                <c:ptCount val="1"/>
                <c:pt idx="0">
                  <c:v>1923</c:v>
                </c:pt>
              </c:strCache>
            </c:strRef>
          </c:cat>
          <c:val>
            <c:numRef>
              <c:f>PivotConsumption!$D$7:$D$8</c:f>
              <c:numCache>
                <c:formatCode>General</c:formatCode>
                <c:ptCount val="1"/>
                <c:pt idx="0">
                  <c:v>2.9889999999999999</c:v>
                </c:pt>
              </c:numCache>
            </c:numRef>
          </c:val>
          <c:extLst>
            <c:ext xmlns:c16="http://schemas.microsoft.com/office/drawing/2014/chart" uri="{C3380CC4-5D6E-409C-BE32-E72D297353CC}">
              <c16:uniqueId val="{00000002-C07A-4960-9EBE-72F9CF165888}"/>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PivotConsumption!$A$7:$A$8</c:f>
              <c:strCache>
                <c:ptCount val="1"/>
                <c:pt idx="0">
                  <c:v>1923</c:v>
                </c:pt>
              </c:strCache>
            </c:strRef>
          </c:cat>
          <c:val>
            <c:numRef>
              <c:f>PivotConsumption!$E$7:$E$8</c:f>
              <c:numCache>
                <c:formatCode>General</c:formatCode>
                <c:ptCount val="1"/>
                <c:pt idx="0">
                  <c:v>0.443</c:v>
                </c:pt>
              </c:numCache>
            </c:numRef>
          </c:val>
          <c:extLst>
            <c:ext xmlns:c16="http://schemas.microsoft.com/office/drawing/2014/chart" uri="{C3380CC4-5D6E-409C-BE32-E72D297353CC}">
              <c16:uniqueId val="{00000003-C07A-4960-9EBE-72F9CF165888}"/>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PivotConsumption!$A$7:$A$8</c:f>
              <c:strCache>
                <c:ptCount val="1"/>
                <c:pt idx="0">
                  <c:v>1923</c:v>
                </c:pt>
              </c:strCache>
            </c:strRef>
          </c:cat>
          <c:val>
            <c:numRef>
              <c:f>PivotConsumption!$F$7:$F$8</c:f>
              <c:numCache>
                <c:formatCode>General</c:formatCode>
                <c:ptCount val="1"/>
                <c:pt idx="0">
                  <c:v>6.7000000000000004E-2</c:v>
                </c:pt>
              </c:numCache>
            </c:numRef>
          </c:val>
          <c:extLst>
            <c:ext xmlns:c16="http://schemas.microsoft.com/office/drawing/2014/chart" uri="{C3380CC4-5D6E-409C-BE32-E72D297353CC}">
              <c16:uniqueId val="{00000004-C07A-4960-9EBE-72F9CF165888}"/>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[供应链.xlsx]AvailabilityPiePivot!SupplyPiePivot</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1986</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dLbl>
          <c:idx val="0"/>
          <c:showLegendKey val="0"/>
          <c:showVal val="0"/>
          <c:showCatName val="0"/>
          <c:showSerName val="0"/>
          <c:showPercent val="0"/>
          <c:showBubbleSize val="0"/>
          <c:extLst>
            <c:ext xmlns:c15="http://schemas.microsoft.com/office/drawing/2012/chart" uri="{CE6537A1-D6FC-4f65-9D91-7224C49458BB}"/>
          </c:extLst>
        </c:dLbl>
      </c:pivotFmt>
      <c:pivotFmt>
        <c:idx val="715"/>
        <c:dLbl>
          <c:idx val="0"/>
          <c:showLegendKey val="0"/>
          <c:showVal val="0"/>
          <c:showCatName val="0"/>
          <c:showSerName val="0"/>
          <c:showPercent val="0"/>
          <c:showBubbleSize val="0"/>
          <c:extLst>
            <c:ext xmlns:c15="http://schemas.microsoft.com/office/drawing/2012/chart" uri="{CE6537A1-D6FC-4f65-9D91-7224C49458BB}"/>
          </c:extLst>
        </c:dLbl>
      </c:pivotFmt>
      <c:pivotFmt>
        <c:idx val="716"/>
        <c:dLbl>
          <c:idx val="0"/>
          <c:showLegendKey val="0"/>
          <c:showVal val="0"/>
          <c:showCatName val="0"/>
          <c:showSerName val="0"/>
          <c:showPercent val="0"/>
          <c:showBubbleSize val="0"/>
          <c:extLst>
            <c:ext xmlns:c15="http://schemas.microsoft.com/office/drawing/2012/chart" uri="{CE6537A1-D6FC-4f65-9D91-7224C49458BB}"/>
          </c:extLst>
        </c:dLbl>
      </c:pivotFmt>
      <c:pivotFmt>
        <c:idx val="717"/>
        <c:dLbl>
          <c:idx val="0"/>
          <c:showLegendKey val="0"/>
          <c:showVal val="0"/>
          <c:showCatName val="0"/>
          <c:showSerName val="0"/>
          <c:showPercent val="0"/>
          <c:showBubbleSize val="0"/>
          <c:extLst>
            <c:ext xmlns:c15="http://schemas.microsoft.com/office/drawing/2012/chart" uri="{CE6537A1-D6FC-4f65-9D91-7224C49458BB}"/>
          </c:extLst>
        </c:dLbl>
      </c:pivotFmt>
      <c:pivotFmt>
        <c:idx val="718"/>
        <c:dLbl>
          <c:idx val="0"/>
          <c:showLegendKey val="0"/>
          <c:showVal val="0"/>
          <c:showCatName val="0"/>
          <c:showSerName val="0"/>
          <c:showPercent val="0"/>
          <c:showBubbleSize val="0"/>
          <c:extLst>
            <c:ext xmlns:c15="http://schemas.microsoft.com/office/drawing/2012/chart" uri="{CE6537A1-D6FC-4f65-9D91-7224C49458BB}"/>
          </c:extLst>
        </c:dLbl>
      </c:pivotFmt>
      <c:pivotFmt>
        <c:idx val="719"/>
        <c:dLbl>
          <c:idx val="0"/>
          <c:showLegendKey val="0"/>
          <c:showVal val="0"/>
          <c:showCatName val="0"/>
          <c:showSerName val="0"/>
          <c:showPercent val="0"/>
          <c:showBubbleSize val="0"/>
          <c:extLst>
            <c:ext xmlns:c15="http://schemas.microsoft.com/office/drawing/2012/chart" uri="{CE6537A1-D6FC-4f65-9D91-7224C49458BB}"/>
          </c:extLst>
        </c:dLbl>
      </c:pivotFmt>
      <c:pivotFmt>
        <c:idx val="720"/>
        <c:dLbl>
          <c:idx val="0"/>
          <c:showLegendKey val="0"/>
          <c:showVal val="0"/>
          <c:showCatName val="0"/>
          <c:showSerName val="0"/>
          <c:showPercent val="0"/>
          <c:showBubbleSize val="0"/>
          <c:extLst>
            <c:ext xmlns:c15="http://schemas.microsoft.com/office/drawing/2012/chart" uri="{CE6537A1-D6FC-4f65-9D91-7224C49458BB}"/>
          </c:extLst>
        </c:dLbl>
      </c:pivotFmt>
      <c:pivotFmt>
        <c:idx val="721"/>
        <c:dLbl>
          <c:idx val="0"/>
          <c:showLegendKey val="0"/>
          <c:showVal val="0"/>
          <c:showCatName val="0"/>
          <c:showSerName val="0"/>
          <c:showPercent val="0"/>
          <c:showBubbleSize val="0"/>
          <c:extLst>
            <c:ext xmlns:c15="http://schemas.microsoft.com/office/drawing/2012/chart" uri="{CE6537A1-D6FC-4f65-9D91-7224C49458BB}"/>
          </c:extLst>
        </c:dLbl>
      </c:pivotFmt>
      <c:pivotFmt>
        <c:idx val="722"/>
        <c:dLbl>
          <c:idx val="0"/>
          <c:showLegendKey val="0"/>
          <c:showVal val="0"/>
          <c:showCatName val="0"/>
          <c:showSerName val="0"/>
          <c:showPercent val="0"/>
          <c:showBubbleSize val="0"/>
          <c:extLst>
            <c:ext xmlns:c15="http://schemas.microsoft.com/office/drawing/2012/chart" uri="{CE6537A1-D6FC-4f65-9D91-7224C49458BB}"/>
          </c:extLst>
        </c:dLbl>
      </c:pivotFmt>
      <c:pivotFmt>
        <c:idx val="723"/>
        <c:dLbl>
          <c:idx val="0"/>
          <c:showLegendKey val="0"/>
          <c:showVal val="0"/>
          <c:showCatName val="0"/>
          <c:showSerName val="0"/>
          <c:showPercent val="0"/>
          <c:showBubbleSize val="0"/>
          <c:extLst>
            <c:ext xmlns:c15="http://schemas.microsoft.com/office/drawing/2012/chart" uri="{CE6537A1-D6FC-4f65-9D91-7224C49458BB}"/>
          </c:extLst>
        </c:dLbl>
      </c:pivotFmt>
      <c:pivotFmt>
        <c:idx val="724"/>
        <c:dLbl>
          <c:idx val="0"/>
          <c:showLegendKey val="0"/>
          <c:showVal val="0"/>
          <c:showCatName val="0"/>
          <c:showSerName val="0"/>
          <c:showPercent val="0"/>
          <c:showBubbleSize val="0"/>
          <c:extLst>
            <c:ext xmlns:c15="http://schemas.microsoft.com/office/drawing/2012/chart" uri="{CE6537A1-D6FC-4f65-9D91-7224C49458BB}"/>
          </c:extLst>
        </c:dLbl>
      </c:pivotFmt>
      <c:pivotFmt>
        <c:idx val="725"/>
        <c:dLbl>
          <c:idx val="0"/>
          <c:showLegendKey val="0"/>
          <c:showVal val="0"/>
          <c:showCatName val="0"/>
          <c:showSerName val="0"/>
          <c:showPercent val="0"/>
          <c:showBubbleSize val="0"/>
          <c:extLst>
            <c:ext xmlns:c15="http://schemas.microsoft.com/office/drawing/2012/chart" uri="{CE6537A1-D6FC-4f65-9D91-7224C49458BB}"/>
          </c:extLst>
        </c:dLbl>
      </c:pivotFmt>
      <c:pivotFmt>
        <c:idx val="726"/>
        <c:dLbl>
          <c:idx val="0"/>
          <c:showLegendKey val="0"/>
          <c:showVal val="0"/>
          <c:showCatName val="0"/>
          <c:showSerName val="0"/>
          <c:showPercent val="0"/>
          <c:showBubbleSize val="0"/>
          <c:extLst>
            <c:ext xmlns:c15="http://schemas.microsoft.com/office/drawing/2012/chart" uri="{CE6537A1-D6FC-4f65-9D91-7224C49458BB}"/>
          </c:extLst>
        </c:dLbl>
      </c:pivotFmt>
      <c:pivotFmt>
        <c:idx val="727"/>
        <c:dLbl>
          <c:idx val="0"/>
          <c:showLegendKey val="0"/>
          <c:showVal val="0"/>
          <c:showCatName val="0"/>
          <c:showSerName val="0"/>
          <c:showPercent val="0"/>
          <c:showBubbleSize val="0"/>
          <c:extLst>
            <c:ext xmlns:c15="http://schemas.microsoft.com/office/drawing/2012/chart" uri="{CE6537A1-D6FC-4f65-9D91-7224C49458BB}"/>
          </c:extLst>
        </c:dLbl>
      </c:pivotFmt>
      <c:pivotFmt>
        <c:idx val="728"/>
        <c:dLbl>
          <c:idx val="0"/>
          <c:showLegendKey val="0"/>
          <c:showVal val="0"/>
          <c:showCatName val="0"/>
          <c:showSerName val="0"/>
          <c:showPercent val="0"/>
          <c:showBubbleSize val="0"/>
          <c:extLst>
            <c:ext xmlns:c15="http://schemas.microsoft.com/office/drawing/2012/chart" uri="{CE6537A1-D6FC-4f65-9D91-7224C49458BB}"/>
          </c:extLst>
        </c:dLbl>
      </c:pivotFmt>
      <c:pivotFmt>
        <c:idx val="729"/>
        <c:dLbl>
          <c:idx val="0"/>
          <c:showLegendKey val="0"/>
          <c:showVal val="0"/>
          <c:showCatName val="0"/>
          <c:showSerName val="0"/>
          <c:showPercent val="0"/>
          <c:showBubbleSize val="0"/>
          <c:extLst>
            <c:ext xmlns:c15="http://schemas.microsoft.com/office/drawing/2012/chart" uri="{CE6537A1-D6FC-4f65-9D91-7224C49458BB}"/>
          </c:extLst>
        </c:dLbl>
      </c:pivotFmt>
      <c:pivotFmt>
        <c:idx val="730"/>
        <c:dLbl>
          <c:idx val="0"/>
          <c:showLegendKey val="0"/>
          <c:showVal val="0"/>
          <c:showCatName val="0"/>
          <c:showSerName val="0"/>
          <c:showPercent val="0"/>
          <c:showBubbleSize val="0"/>
          <c:extLst>
            <c:ext xmlns:c15="http://schemas.microsoft.com/office/drawing/2012/chart" uri="{CE6537A1-D6FC-4f65-9D91-7224C49458BB}"/>
          </c:extLst>
        </c:dLbl>
      </c:pivotFmt>
      <c:pivotFmt>
        <c:idx val="731"/>
        <c:dLbl>
          <c:idx val="0"/>
          <c:showLegendKey val="0"/>
          <c:showVal val="0"/>
          <c:showCatName val="0"/>
          <c:showSerName val="0"/>
          <c:showPercent val="0"/>
          <c:showBubbleSize val="0"/>
          <c:extLst>
            <c:ext xmlns:c15="http://schemas.microsoft.com/office/drawing/2012/chart" uri="{CE6537A1-D6FC-4f65-9D91-7224C49458BB}"/>
          </c:extLst>
        </c:dLbl>
      </c:pivotFmt>
      <c:pivotFmt>
        <c:idx val="732"/>
        <c:dLbl>
          <c:idx val="0"/>
          <c:showLegendKey val="0"/>
          <c:showVal val="0"/>
          <c:showCatName val="0"/>
          <c:showSerName val="0"/>
          <c:showPercent val="0"/>
          <c:showBubbleSize val="0"/>
          <c:extLst>
            <c:ext xmlns:c15="http://schemas.microsoft.com/office/drawing/2012/chart" uri="{CE6537A1-D6FC-4f65-9D91-7224C49458BB}"/>
          </c:extLst>
        </c:dLbl>
      </c:pivotFmt>
      <c:pivotFmt>
        <c:idx val="733"/>
        <c:dLbl>
          <c:idx val="0"/>
          <c:showLegendKey val="0"/>
          <c:showVal val="0"/>
          <c:showCatName val="0"/>
          <c:showSerName val="0"/>
          <c:showPercent val="0"/>
          <c:showBubbleSize val="0"/>
          <c:extLst>
            <c:ext xmlns:c15="http://schemas.microsoft.com/office/drawing/2012/chart" uri="{CE6537A1-D6FC-4f65-9D91-7224C49458BB}"/>
          </c:extLst>
        </c:dLbl>
      </c:pivotFmt>
      <c:pivotFmt>
        <c:idx val="734"/>
        <c:dLbl>
          <c:idx val="0"/>
          <c:showLegendKey val="0"/>
          <c:showVal val="0"/>
          <c:showCatName val="0"/>
          <c:showSerName val="0"/>
          <c:showPercent val="0"/>
          <c:showBubbleSize val="0"/>
          <c:extLst>
            <c:ext xmlns:c15="http://schemas.microsoft.com/office/drawing/2012/chart" uri="{CE6537A1-D6FC-4f65-9D91-7224C49458BB}"/>
          </c:extLst>
        </c:dLbl>
      </c:pivotFmt>
      <c:pivotFmt>
        <c:idx val="735"/>
        <c:dLbl>
          <c:idx val="0"/>
          <c:showLegendKey val="0"/>
          <c:showVal val="0"/>
          <c:showCatName val="0"/>
          <c:showSerName val="0"/>
          <c:showPercent val="0"/>
          <c:showBubbleSize val="0"/>
          <c:extLst>
            <c:ext xmlns:c15="http://schemas.microsoft.com/office/drawing/2012/chart" uri="{CE6537A1-D6FC-4f65-9D91-7224C49458BB}"/>
          </c:extLst>
        </c:dLbl>
      </c:pivotFmt>
      <c:pivotFmt>
        <c:idx val="736"/>
        <c:dLbl>
          <c:idx val="0"/>
          <c:showLegendKey val="0"/>
          <c:showVal val="0"/>
          <c:showCatName val="0"/>
          <c:showSerName val="0"/>
          <c:showPercent val="0"/>
          <c:showBubbleSize val="0"/>
          <c:extLst>
            <c:ext xmlns:c15="http://schemas.microsoft.com/office/drawing/2012/chart" uri="{CE6537A1-D6FC-4f65-9D91-7224C49458BB}"/>
          </c:extLst>
        </c:dLbl>
      </c:pivotFmt>
      <c:pivotFmt>
        <c:idx val="737"/>
        <c:dLbl>
          <c:idx val="0"/>
          <c:showLegendKey val="0"/>
          <c:showVal val="0"/>
          <c:showCatName val="0"/>
          <c:showSerName val="0"/>
          <c:showPercent val="0"/>
          <c:showBubbleSize val="0"/>
          <c:extLst>
            <c:ext xmlns:c15="http://schemas.microsoft.com/office/drawing/2012/chart" uri="{CE6537A1-D6FC-4f65-9D91-7224C49458BB}"/>
          </c:extLst>
        </c:dLbl>
      </c:pivotFmt>
      <c:pivotFmt>
        <c:idx val="738"/>
        <c:dLbl>
          <c:idx val="0"/>
          <c:showLegendKey val="0"/>
          <c:showVal val="0"/>
          <c:showCatName val="0"/>
          <c:showSerName val="0"/>
          <c:showPercent val="0"/>
          <c:showBubbleSize val="0"/>
          <c:extLst>
            <c:ext xmlns:c15="http://schemas.microsoft.com/office/drawing/2012/chart" uri="{CE6537A1-D6FC-4f65-9D91-7224C49458BB}"/>
          </c:extLst>
        </c:dLbl>
      </c:pivotFmt>
      <c:pivotFmt>
        <c:idx val="739"/>
        <c:dLbl>
          <c:idx val="0"/>
          <c:showLegendKey val="0"/>
          <c:showVal val="0"/>
          <c:showCatName val="0"/>
          <c:showSerName val="0"/>
          <c:showPercent val="0"/>
          <c:showBubbleSize val="0"/>
          <c:extLst>
            <c:ext xmlns:c15="http://schemas.microsoft.com/office/drawing/2012/chart" uri="{CE6537A1-D6FC-4f65-9D91-7224C49458BB}"/>
          </c:extLst>
        </c:dLbl>
      </c:pivotFmt>
      <c:pivotFmt>
        <c:idx val="740"/>
        <c:dLbl>
          <c:idx val="0"/>
          <c:showLegendKey val="0"/>
          <c:showVal val="0"/>
          <c:showCatName val="0"/>
          <c:showSerName val="0"/>
          <c:showPercent val="0"/>
          <c:showBubbleSize val="0"/>
          <c:extLst>
            <c:ext xmlns:c15="http://schemas.microsoft.com/office/drawing/2012/chart" uri="{CE6537A1-D6FC-4f65-9D91-7224C49458BB}"/>
          </c:extLst>
        </c:dLbl>
      </c:pivotFmt>
      <c:pivotFmt>
        <c:idx val="741"/>
        <c:dLbl>
          <c:idx val="0"/>
          <c:showLegendKey val="0"/>
          <c:showVal val="0"/>
          <c:showCatName val="0"/>
          <c:showSerName val="0"/>
          <c:showPercent val="0"/>
          <c:showBubbleSize val="0"/>
          <c:extLst>
            <c:ext xmlns:c15="http://schemas.microsoft.com/office/drawing/2012/chart" uri="{CE6537A1-D6FC-4f65-9D91-7224C49458BB}"/>
          </c:extLst>
        </c:dLbl>
      </c:pivotFmt>
      <c:pivotFmt>
        <c:idx val="742"/>
        <c:dLbl>
          <c:idx val="0"/>
          <c:showLegendKey val="0"/>
          <c:showVal val="0"/>
          <c:showCatName val="0"/>
          <c:showSerName val="0"/>
          <c:showPercent val="0"/>
          <c:showBubbleSize val="0"/>
          <c:extLst>
            <c:ext xmlns:c15="http://schemas.microsoft.com/office/drawing/2012/chart" uri="{CE6537A1-D6FC-4f65-9D91-7224C49458BB}"/>
          </c:extLst>
        </c:dLbl>
      </c:pivotFmt>
      <c:pivotFmt>
        <c:idx val="743"/>
        <c:dLbl>
          <c:idx val="0"/>
          <c:showLegendKey val="0"/>
          <c:showVal val="0"/>
          <c:showCatName val="0"/>
          <c:showSerName val="0"/>
          <c:showPercent val="0"/>
          <c:showBubbleSize val="0"/>
          <c:extLst>
            <c:ext xmlns:c15="http://schemas.microsoft.com/office/drawing/2012/chart" uri="{CE6537A1-D6FC-4f65-9D91-7224C49458BB}"/>
          </c:extLst>
        </c:dLbl>
      </c:pivotFmt>
      <c:pivotFmt>
        <c:idx val="744"/>
        <c:dLbl>
          <c:idx val="0"/>
          <c:showLegendKey val="0"/>
          <c:showVal val="0"/>
          <c:showCatName val="0"/>
          <c:showSerName val="0"/>
          <c:showPercent val="0"/>
          <c:showBubbleSize val="0"/>
          <c:extLst>
            <c:ext xmlns:c15="http://schemas.microsoft.com/office/drawing/2012/chart" uri="{CE6537A1-D6FC-4f65-9D91-7224C49458BB}"/>
          </c:extLst>
        </c:dLbl>
      </c:pivotFmt>
      <c:pivotFmt>
        <c:idx val="745"/>
        <c:dLbl>
          <c:idx val="0"/>
          <c:showLegendKey val="0"/>
          <c:showVal val="0"/>
          <c:showCatName val="0"/>
          <c:showSerName val="0"/>
          <c:showPercent val="0"/>
          <c:showBubbleSize val="0"/>
          <c:extLst>
            <c:ext xmlns:c15="http://schemas.microsoft.com/office/drawing/2012/chart" uri="{CE6537A1-D6FC-4f65-9D91-7224C49458BB}"/>
          </c:extLst>
        </c:dLbl>
      </c:pivotFmt>
      <c:pivotFmt>
        <c:idx val="746"/>
        <c:dLbl>
          <c:idx val="0"/>
          <c:showLegendKey val="0"/>
          <c:showVal val="0"/>
          <c:showCatName val="0"/>
          <c:showSerName val="0"/>
          <c:showPercent val="0"/>
          <c:showBubbleSize val="0"/>
          <c:extLst>
            <c:ext xmlns:c15="http://schemas.microsoft.com/office/drawing/2012/chart" uri="{CE6537A1-D6FC-4f65-9D91-7224C49458BB}"/>
          </c:extLst>
        </c:dLbl>
      </c:pivotFmt>
      <c:pivotFmt>
        <c:idx val="747"/>
        <c:dLbl>
          <c:idx val="0"/>
          <c:showLegendKey val="0"/>
          <c:showVal val="0"/>
          <c:showCatName val="0"/>
          <c:showSerName val="0"/>
          <c:showPercent val="0"/>
          <c:showBubbleSize val="0"/>
          <c:extLst>
            <c:ext xmlns:c15="http://schemas.microsoft.com/office/drawing/2012/chart" uri="{CE6537A1-D6FC-4f65-9D91-7224C49458BB}"/>
          </c:extLst>
        </c:dLbl>
      </c:pivotFmt>
      <c:pivotFmt>
        <c:idx val="748"/>
        <c:dLbl>
          <c:idx val="0"/>
          <c:showLegendKey val="0"/>
          <c:showVal val="0"/>
          <c:showCatName val="0"/>
          <c:showSerName val="0"/>
          <c:showPercent val="0"/>
          <c:showBubbleSize val="0"/>
          <c:extLst>
            <c:ext xmlns:c15="http://schemas.microsoft.com/office/drawing/2012/chart" uri="{CE6537A1-D6FC-4f65-9D91-7224C49458BB}"/>
          </c:extLst>
        </c:dLbl>
      </c:pivotFmt>
      <c:pivotFmt>
        <c:idx val="749"/>
        <c:dLbl>
          <c:idx val="0"/>
          <c:showLegendKey val="0"/>
          <c:showVal val="0"/>
          <c:showCatName val="0"/>
          <c:showSerName val="0"/>
          <c:showPercent val="0"/>
          <c:showBubbleSize val="0"/>
          <c:extLst>
            <c:ext xmlns:c15="http://schemas.microsoft.com/office/drawing/2012/chart" uri="{CE6537A1-D6FC-4f65-9D91-7224C49458BB}"/>
          </c:extLst>
        </c:dLbl>
      </c:pivotFmt>
      <c:pivotFmt>
        <c:idx val="750"/>
        <c:dLbl>
          <c:idx val="0"/>
          <c:showLegendKey val="0"/>
          <c:showVal val="0"/>
          <c:showCatName val="0"/>
          <c:showSerName val="0"/>
          <c:showPercent val="0"/>
          <c:showBubbleSize val="0"/>
          <c:extLst>
            <c:ext xmlns:c15="http://schemas.microsoft.com/office/drawing/2012/chart" uri="{CE6537A1-D6FC-4f65-9D91-7224C49458BB}"/>
          </c:extLst>
        </c:dLbl>
      </c:pivotFmt>
      <c:pivotFmt>
        <c:idx val="751"/>
        <c:dLbl>
          <c:idx val="0"/>
          <c:showLegendKey val="0"/>
          <c:showVal val="0"/>
          <c:showCatName val="0"/>
          <c:showSerName val="0"/>
          <c:showPercent val="0"/>
          <c:showBubbleSize val="0"/>
          <c:extLst>
            <c:ext xmlns:c15="http://schemas.microsoft.com/office/drawing/2012/chart" uri="{CE6537A1-D6FC-4f65-9D91-7224C49458BB}"/>
          </c:extLst>
        </c:dLbl>
      </c:pivotFmt>
      <c:pivotFmt>
        <c:idx val="752"/>
        <c:dLbl>
          <c:idx val="0"/>
          <c:showLegendKey val="0"/>
          <c:showVal val="0"/>
          <c:showCatName val="0"/>
          <c:showSerName val="0"/>
          <c:showPercent val="0"/>
          <c:showBubbleSize val="0"/>
          <c:extLst>
            <c:ext xmlns:c15="http://schemas.microsoft.com/office/drawing/2012/chart" uri="{CE6537A1-D6FC-4f65-9D91-7224C49458BB}"/>
          </c:extLst>
        </c:dLbl>
      </c:pivotFmt>
      <c:pivotFmt>
        <c:idx val="753"/>
        <c:dLbl>
          <c:idx val="0"/>
          <c:showLegendKey val="0"/>
          <c:showVal val="0"/>
          <c:showCatName val="0"/>
          <c:showSerName val="0"/>
          <c:showPercent val="0"/>
          <c:showBubbleSize val="0"/>
          <c:extLst>
            <c:ext xmlns:c15="http://schemas.microsoft.com/office/drawing/2012/chart" uri="{CE6537A1-D6FC-4f65-9D91-7224C49458BB}"/>
          </c:extLst>
        </c:dLbl>
      </c:pivotFmt>
      <c:pivotFmt>
        <c:idx val="754"/>
        <c:dLbl>
          <c:idx val="0"/>
          <c:showLegendKey val="0"/>
          <c:showVal val="0"/>
          <c:showCatName val="0"/>
          <c:showSerName val="0"/>
          <c:showPercent val="0"/>
          <c:showBubbleSize val="0"/>
          <c:extLst>
            <c:ext xmlns:c15="http://schemas.microsoft.com/office/drawing/2012/chart" uri="{CE6537A1-D6FC-4f65-9D91-7224C49458BB}"/>
          </c:extLst>
        </c:dLbl>
      </c:pivotFmt>
      <c:pivotFmt>
        <c:idx val="755"/>
        <c:dLbl>
          <c:idx val="0"/>
          <c:showLegendKey val="0"/>
          <c:showVal val="0"/>
          <c:showCatName val="0"/>
          <c:showSerName val="0"/>
          <c:showPercent val="0"/>
          <c:showBubbleSize val="0"/>
          <c:extLst>
            <c:ext xmlns:c15="http://schemas.microsoft.com/office/drawing/2012/chart" uri="{CE6537A1-D6FC-4f65-9D91-7224C49458BB}"/>
          </c:extLst>
        </c:dLbl>
      </c:pivotFmt>
      <c:pivotFmt>
        <c:idx val="756"/>
        <c:dLbl>
          <c:idx val="0"/>
          <c:showLegendKey val="0"/>
          <c:showVal val="0"/>
          <c:showCatName val="0"/>
          <c:showSerName val="0"/>
          <c:showPercent val="0"/>
          <c:showBubbleSize val="0"/>
          <c:extLst>
            <c:ext xmlns:c15="http://schemas.microsoft.com/office/drawing/2012/chart" uri="{CE6537A1-D6FC-4f65-9D91-7224C49458BB}"/>
          </c:extLst>
        </c:dLbl>
      </c:pivotFmt>
      <c:pivotFmt>
        <c:idx val="757"/>
        <c:dLbl>
          <c:idx val="0"/>
          <c:showLegendKey val="0"/>
          <c:showVal val="0"/>
          <c:showCatName val="0"/>
          <c:showSerName val="0"/>
          <c:showPercent val="0"/>
          <c:showBubbleSize val="0"/>
          <c:extLst>
            <c:ext xmlns:c15="http://schemas.microsoft.com/office/drawing/2012/chart" uri="{CE6537A1-D6FC-4f65-9D91-7224C49458BB}"/>
          </c:extLst>
        </c:dLbl>
      </c:pivotFmt>
      <c:pivotFmt>
        <c:idx val="758"/>
        <c:dLbl>
          <c:idx val="0"/>
          <c:showLegendKey val="0"/>
          <c:showVal val="0"/>
          <c:showCatName val="0"/>
          <c:showSerName val="0"/>
          <c:showPercent val="0"/>
          <c:showBubbleSize val="0"/>
          <c:extLst>
            <c:ext xmlns:c15="http://schemas.microsoft.com/office/drawing/2012/chart" uri="{CE6537A1-D6FC-4f65-9D91-7224C49458BB}"/>
          </c:extLst>
        </c:dLbl>
      </c:pivotFmt>
      <c:pivotFmt>
        <c:idx val="759"/>
        <c:dLbl>
          <c:idx val="0"/>
          <c:showLegendKey val="0"/>
          <c:showVal val="0"/>
          <c:showCatName val="0"/>
          <c:showSerName val="0"/>
          <c:showPercent val="0"/>
          <c:showBubbleSize val="0"/>
          <c:extLst>
            <c:ext xmlns:c15="http://schemas.microsoft.com/office/drawing/2012/chart" uri="{CE6537A1-D6FC-4f65-9D91-7224C49458BB}"/>
          </c:extLst>
        </c:dLbl>
      </c:pivotFmt>
      <c:pivotFmt>
        <c:idx val="760"/>
        <c:dLbl>
          <c:idx val="0"/>
          <c:showLegendKey val="0"/>
          <c:showVal val="0"/>
          <c:showCatName val="0"/>
          <c:showSerName val="0"/>
          <c:showPercent val="0"/>
          <c:showBubbleSize val="0"/>
          <c:extLst>
            <c:ext xmlns:c15="http://schemas.microsoft.com/office/drawing/2012/chart" uri="{CE6537A1-D6FC-4f65-9D91-7224C49458BB}"/>
          </c:extLst>
        </c:dLbl>
      </c:pivotFmt>
      <c:pivotFmt>
        <c:idx val="761"/>
        <c:dLbl>
          <c:idx val="0"/>
          <c:showLegendKey val="0"/>
          <c:showVal val="0"/>
          <c:showCatName val="0"/>
          <c:showSerName val="0"/>
          <c:showPercent val="0"/>
          <c:showBubbleSize val="0"/>
          <c:extLst>
            <c:ext xmlns:c15="http://schemas.microsoft.com/office/drawing/2012/chart" uri="{CE6537A1-D6FC-4f65-9D91-7224C49458BB}"/>
          </c:extLst>
        </c:dLbl>
      </c:pivotFmt>
      <c:pivotFmt>
        <c:idx val="762"/>
        <c:dLbl>
          <c:idx val="0"/>
          <c:showLegendKey val="0"/>
          <c:showVal val="0"/>
          <c:showCatName val="0"/>
          <c:showSerName val="0"/>
          <c:showPercent val="0"/>
          <c:showBubbleSize val="0"/>
          <c:extLst>
            <c:ext xmlns:c15="http://schemas.microsoft.com/office/drawing/2012/chart" uri="{CE6537A1-D6FC-4f65-9D91-7224C49458BB}"/>
          </c:extLst>
        </c:dLbl>
      </c:pivotFmt>
      <c:pivotFmt>
        <c:idx val="763"/>
        <c:dLbl>
          <c:idx val="0"/>
          <c:showLegendKey val="0"/>
          <c:showVal val="0"/>
          <c:showCatName val="0"/>
          <c:showSerName val="0"/>
          <c:showPercent val="0"/>
          <c:showBubbleSize val="0"/>
          <c:extLst>
            <c:ext xmlns:c15="http://schemas.microsoft.com/office/drawing/2012/chart" uri="{CE6537A1-D6FC-4f65-9D91-7224C49458BB}"/>
          </c:extLst>
        </c:dLbl>
      </c:pivotFmt>
      <c:pivotFmt>
        <c:idx val="764"/>
        <c:dLbl>
          <c:idx val="0"/>
          <c:showLegendKey val="0"/>
          <c:showVal val="0"/>
          <c:showCatName val="0"/>
          <c:showSerName val="0"/>
          <c:showPercent val="0"/>
          <c:showBubbleSize val="0"/>
          <c:extLst>
            <c:ext xmlns:c15="http://schemas.microsoft.com/office/drawing/2012/chart" uri="{CE6537A1-D6FC-4f65-9D91-7224C49458BB}"/>
          </c:extLst>
        </c:dLbl>
      </c:pivotFmt>
      <c:pivotFmt>
        <c:idx val="765"/>
        <c:dLbl>
          <c:idx val="0"/>
          <c:showLegendKey val="0"/>
          <c:showVal val="0"/>
          <c:showCatName val="0"/>
          <c:showSerName val="0"/>
          <c:showPercent val="0"/>
          <c:showBubbleSize val="0"/>
          <c:extLst>
            <c:ext xmlns:c15="http://schemas.microsoft.com/office/drawing/2012/chart" uri="{CE6537A1-D6FC-4f65-9D91-7224C49458BB}"/>
          </c:extLst>
        </c:dLbl>
      </c:pivotFmt>
      <c:pivotFmt>
        <c:idx val="766"/>
        <c:dLbl>
          <c:idx val="0"/>
          <c:showLegendKey val="0"/>
          <c:showVal val="0"/>
          <c:showCatName val="0"/>
          <c:showSerName val="0"/>
          <c:showPercent val="0"/>
          <c:showBubbleSize val="0"/>
          <c:extLst>
            <c:ext xmlns:c15="http://schemas.microsoft.com/office/drawing/2012/chart" uri="{CE6537A1-D6FC-4f65-9D91-7224C49458BB}"/>
          </c:extLst>
        </c:dLbl>
      </c:pivotFmt>
      <c:pivotFmt>
        <c:idx val="767"/>
        <c:dLbl>
          <c:idx val="0"/>
          <c:showLegendKey val="0"/>
          <c:showVal val="0"/>
          <c:showCatName val="0"/>
          <c:showSerName val="0"/>
          <c:showPercent val="0"/>
          <c:showBubbleSize val="0"/>
          <c:extLst>
            <c:ext xmlns:c15="http://schemas.microsoft.com/office/drawing/2012/chart" uri="{CE6537A1-D6FC-4f65-9D91-7224C49458BB}"/>
          </c:extLst>
        </c:dLbl>
      </c:pivotFmt>
      <c:pivotFmt>
        <c:idx val="768"/>
        <c:dLbl>
          <c:idx val="0"/>
          <c:showLegendKey val="0"/>
          <c:showVal val="0"/>
          <c:showCatName val="0"/>
          <c:showSerName val="0"/>
          <c:showPercent val="0"/>
          <c:showBubbleSize val="0"/>
          <c:extLst>
            <c:ext xmlns:c15="http://schemas.microsoft.com/office/drawing/2012/chart" uri="{CE6537A1-D6FC-4f65-9D91-7224C49458BB}"/>
          </c:extLst>
        </c:dLbl>
      </c:pivotFmt>
      <c:pivotFmt>
        <c:idx val="769"/>
        <c:dLbl>
          <c:idx val="0"/>
          <c:showLegendKey val="0"/>
          <c:showVal val="0"/>
          <c:showCatName val="0"/>
          <c:showSerName val="0"/>
          <c:showPercent val="0"/>
          <c:showBubbleSize val="0"/>
          <c:extLst>
            <c:ext xmlns:c15="http://schemas.microsoft.com/office/drawing/2012/chart" uri="{CE6537A1-D6FC-4f65-9D91-7224C49458BB}"/>
          </c:extLst>
        </c:dLbl>
      </c:pivotFmt>
      <c:pivotFmt>
        <c:idx val="770"/>
        <c:dLbl>
          <c:idx val="0"/>
          <c:showLegendKey val="0"/>
          <c:showVal val="0"/>
          <c:showCatName val="0"/>
          <c:showSerName val="0"/>
          <c:showPercent val="0"/>
          <c:showBubbleSize val="0"/>
          <c:extLst>
            <c:ext xmlns:c15="http://schemas.microsoft.com/office/drawing/2012/chart" uri="{CE6537A1-D6FC-4f65-9D91-7224C49458BB}"/>
          </c:extLst>
        </c:dLbl>
      </c:pivotFmt>
      <c:pivotFmt>
        <c:idx val="771"/>
        <c:dLbl>
          <c:idx val="0"/>
          <c:showLegendKey val="0"/>
          <c:showVal val="0"/>
          <c:showCatName val="0"/>
          <c:showSerName val="0"/>
          <c:showPercent val="0"/>
          <c:showBubbleSize val="0"/>
          <c:extLst>
            <c:ext xmlns:c15="http://schemas.microsoft.com/office/drawing/2012/chart" uri="{CE6537A1-D6FC-4f65-9D91-7224C49458BB}"/>
          </c:extLst>
        </c:dLbl>
      </c:pivotFmt>
      <c:pivotFmt>
        <c:idx val="772"/>
        <c:dLbl>
          <c:idx val="0"/>
          <c:showLegendKey val="0"/>
          <c:showVal val="0"/>
          <c:showCatName val="0"/>
          <c:showSerName val="0"/>
          <c:showPercent val="0"/>
          <c:showBubbleSize val="0"/>
          <c:extLst>
            <c:ext xmlns:c15="http://schemas.microsoft.com/office/drawing/2012/chart" uri="{CE6537A1-D6FC-4f65-9D91-7224C49458BB}"/>
          </c:extLst>
        </c:dLbl>
      </c:pivotFmt>
      <c:pivotFmt>
        <c:idx val="773"/>
        <c:dLbl>
          <c:idx val="0"/>
          <c:showLegendKey val="0"/>
          <c:showVal val="0"/>
          <c:showCatName val="0"/>
          <c:showSerName val="0"/>
          <c:showPercent val="0"/>
          <c:showBubbleSize val="0"/>
          <c:extLst>
            <c:ext xmlns:c15="http://schemas.microsoft.com/office/drawing/2012/chart" uri="{CE6537A1-D6FC-4f65-9D91-7224C49458BB}"/>
          </c:extLst>
        </c:dLbl>
      </c:pivotFmt>
      <c:pivotFmt>
        <c:idx val="774"/>
        <c:dLbl>
          <c:idx val="0"/>
          <c:showLegendKey val="0"/>
          <c:showVal val="0"/>
          <c:showCatName val="0"/>
          <c:showSerName val="0"/>
          <c:showPercent val="0"/>
          <c:showBubbleSize val="0"/>
          <c:extLst>
            <c:ext xmlns:c15="http://schemas.microsoft.com/office/drawing/2012/chart" uri="{CE6537A1-D6FC-4f65-9D91-7224C49458BB}"/>
          </c:extLst>
        </c:dLbl>
      </c:pivotFmt>
      <c:pivotFmt>
        <c:idx val="775"/>
        <c:dLbl>
          <c:idx val="0"/>
          <c:showLegendKey val="0"/>
          <c:showVal val="0"/>
          <c:showCatName val="0"/>
          <c:showSerName val="0"/>
          <c:showPercent val="0"/>
          <c:showBubbleSize val="0"/>
          <c:extLst>
            <c:ext xmlns:c15="http://schemas.microsoft.com/office/drawing/2012/chart" uri="{CE6537A1-D6FC-4f65-9D91-7224C49458BB}"/>
          </c:extLst>
        </c:dLbl>
      </c:pivotFmt>
      <c:pivotFmt>
        <c:idx val="776"/>
        <c:dLbl>
          <c:idx val="0"/>
          <c:showLegendKey val="0"/>
          <c:showVal val="0"/>
          <c:showCatName val="0"/>
          <c:showSerName val="0"/>
          <c:showPercent val="0"/>
          <c:showBubbleSize val="0"/>
          <c:extLst>
            <c:ext xmlns:c15="http://schemas.microsoft.com/office/drawing/2012/chart" uri="{CE6537A1-D6FC-4f65-9D91-7224C49458BB}"/>
          </c:extLst>
        </c:dLbl>
      </c:pivotFmt>
      <c:pivotFmt>
        <c:idx val="777"/>
        <c:dLbl>
          <c:idx val="0"/>
          <c:showLegendKey val="0"/>
          <c:showVal val="0"/>
          <c:showCatName val="0"/>
          <c:showSerName val="0"/>
          <c:showPercent val="0"/>
          <c:showBubbleSize val="0"/>
          <c:extLst>
            <c:ext xmlns:c15="http://schemas.microsoft.com/office/drawing/2012/chart" uri="{CE6537A1-D6FC-4f65-9D91-7224C49458BB}"/>
          </c:extLst>
        </c:dLbl>
      </c:pivotFmt>
      <c:pivotFmt>
        <c:idx val="778"/>
        <c:dLbl>
          <c:idx val="0"/>
          <c:showLegendKey val="0"/>
          <c:showVal val="0"/>
          <c:showCatName val="0"/>
          <c:showSerName val="0"/>
          <c:showPercent val="0"/>
          <c:showBubbleSize val="0"/>
          <c:extLst>
            <c:ext xmlns:c15="http://schemas.microsoft.com/office/drawing/2012/chart" uri="{CE6537A1-D6FC-4f65-9D91-7224C49458BB}"/>
          </c:extLst>
        </c:dLbl>
      </c:pivotFmt>
      <c:pivotFmt>
        <c:idx val="779"/>
        <c:dLbl>
          <c:idx val="0"/>
          <c:showLegendKey val="0"/>
          <c:showVal val="0"/>
          <c:showCatName val="0"/>
          <c:showSerName val="0"/>
          <c:showPercent val="0"/>
          <c:showBubbleSize val="0"/>
          <c:extLst>
            <c:ext xmlns:c15="http://schemas.microsoft.com/office/drawing/2012/chart" uri="{CE6537A1-D6FC-4f65-9D91-7224C49458BB}"/>
          </c:extLst>
        </c:dLbl>
      </c:pivotFmt>
      <c:pivotFmt>
        <c:idx val="780"/>
        <c:dLbl>
          <c:idx val="0"/>
          <c:showLegendKey val="0"/>
          <c:showVal val="0"/>
          <c:showCatName val="0"/>
          <c:showSerName val="0"/>
          <c:showPercent val="0"/>
          <c:showBubbleSize val="0"/>
          <c:extLst>
            <c:ext xmlns:c15="http://schemas.microsoft.com/office/drawing/2012/chart" uri="{CE6537A1-D6FC-4f65-9D91-7224C49458BB}"/>
          </c:extLst>
        </c:dLbl>
      </c:pivotFmt>
      <c:pivotFmt>
        <c:idx val="781"/>
        <c:dLbl>
          <c:idx val="0"/>
          <c:showLegendKey val="0"/>
          <c:showVal val="0"/>
          <c:showCatName val="0"/>
          <c:showSerName val="0"/>
          <c:showPercent val="0"/>
          <c:showBubbleSize val="0"/>
          <c:extLst>
            <c:ext xmlns:c15="http://schemas.microsoft.com/office/drawing/2012/chart" uri="{CE6537A1-D6FC-4f65-9D91-7224C49458BB}"/>
          </c:extLst>
        </c:dLbl>
      </c:pivotFmt>
      <c:pivotFmt>
        <c:idx val="782"/>
        <c:dLbl>
          <c:idx val="0"/>
          <c:showLegendKey val="0"/>
          <c:showVal val="0"/>
          <c:showCatName val="0"/>
          <c:showSerName val="0"/>
          <c:showPercent val="0"/>
          <c:showBubbleSize val="0"/>
          <c:extLst>
            <c:ext xmlns:c15="http://schemas.microsoft.com/office/drawing/2012/chart" uri="{CE6537A1-D6FC-4f65-9D91-7224C49458BB}"/>
          </c:extLst>
        </c:dLbl>
      </c:pivotFmt>
      <c:pivotFmt>
        <c:idx val="783"/>
        <c:dLbl>
          <c:idx val="0"/>
          <c:showLegendKey val="0"/>
          <c:showVal val="0"/>
          <c:showCatName val="0"/>
          <c:showSerName val="0"/>
          <c:showPercent val="0"/>
          <c:showBubbleSize val="0"/>
          <c:extLst>
            <c:ext xmlns:c15="http://schemas.microsoft.com/office/drawing/2012/chart" uri="{CE6537A1-D6FC-4f65-9D91-7224C49458BB}"/>
          </c:extLst>
        </c:dLbl>
      </c:pivotFmt>
      <c:pivotFmt>
        <c:idx val="784"/>
        <c:dLbl>
          <c:idx val="0"/>
          <c:showLegendKey val="0"/>
          <c:showVal val="0"/>
          <c:showCatName val="0"/>
          <c:showSerName val="0"/>
          <c:showPercent val="0"/>
          <c:showBubbleSize val="0"/>
          <c:extLst>
            <c:ext xmlns:c15="http://schemas.microsoft.com/office/drawing/2012/chart" uri="{CE6537A1-D6FC-4f65-9D91-7224C49458BB}"/>
          </c:extLst>
        </c:dLbl>
      </c:pivotFmt>
      <c:pivotFmt>
        <c:idx val="785"/>
        <c:dLbl>
          <c:idx val="0"/>
          <c:showLegendKey val="0"/>
          <c:showVal val="0"/>
          <c:showCatName val="0"/>
          <c:showSerName val="0"/>
          <c:showPercent val="0"/>
          <c:showBubbleSize val="0"/>
          <c:extLst>
            <c:ext xmlns:c15="http://schemas.microsoft.com/office/drawing/2012/chart" uri="{CE6537A1-D6FC-4f65-9D91-7224C49458BB}"/>
          </c:extLst>
        </c:dLbl>
      </c:pivotFmt>
      <c:pivotFmt>
        <c:idx val="786"/>
      </c:pivotFmt>
      <c:pivotFmt>
        <c:idx val="787"/>
      </c:pivotFmt>
      <c:pivotFmt>
        <c:idx val="788"/>
        <c:dLbl>
          <c:idx val="0"/>
          <c:showLegendKey val="0"/>
          <c:showVal val="0"/>
          <c:showCatName val="0"/>
          <c:showSerName val="0"/>
          <c:showPercent val="0"/>
          <c:showBubbleSize val="0"/>
          <c:extLst>
            <c:ext xmlns:c15="http://schemas.microsoft.com/office/drawing/2012/chart" uri="{CE6537A1-D6FC-4f65-9D91-7224C49458BB}"/>
          </c:extLst>
        </c:dLbl>
      </c:pivotFmt>
      <c:pivotFmt>
        <c:idx val="789"/>
        <c:dLbl>
          <c:idx val="0"/>
          <c:showLegendKey val="0"/>
          <c:showVal val="0"/>
          <c:showCatName val="0"/>
          <c:showSerName val="0"/>
          <c:showPercent val="0"/>
          <c:showBubbleSize val="0"/>
          <c:extLst>
            <c:ext xmlns:c15="http://schemas.microsoft.com/office/drawing/2012/chart" uri="{CE6537A1-D6FC-4f65-9D91-7224C49458BB}"/>
          </c:extLst>
        </c:dLbl>
      </c:pivotFmt>
      <c:pivotFmt>
        <c:idx val="790"/>
        <c:dLbl>
          <c:idx val="0"/>
          <c:showLegendKey val="0"/>
          <c:showVal val="0"/>
          <c:showCatName val="0"/>
          <c:showSerName val="0"/>
          <c:showPercent val="0"/>
          <c:showBubbleSize val="0"/>
          <c:extLst>
            <c:ext xmlns:c15="http://schemas.microsoft.com/office/drawing/2012/chart" uri="{CE6537A1-D6FC-4f65-9D91-7224C49458BB}"/>
          </c:extLst>
        </c:dLbl>
      </c:pivotFmt>
      <c:pivotFmt>
        <c:idx val="791"/>
        <c:dLbl>
          <c:idx val="0"/>
          <c:showLegendKey val="0"/>
          <c:showVal val="0"/>
          <c:showCatName val="0"/>
          <c:showSerName val="0"/>
          <c:showPercent val="0"/>
          <c:showBubbleSize val="0"/>
          <c:extLst>
            <c:ext xmlns:c15="http://schemas.microsoft.com/office/drawing/2012/chart" uri="{CE6537A1-D6FC-4f65-9D91-7224C49458BB}"/>
          </c:extLst>
        </c:dLbl>
      </c:pivotFmt>
      <c:pivotFmt>
        <c:idx val="792"/>
        <c:dLbl>
          <c:idx val="0"/>
          <c:showLegendKey val="0"/>
          <c:showVal val="0"/>
          <c:showCatName val="0"/>
          <c:showSerName val="0"/>
          <c:showPercent val="0"/>
          <c:showBubbleSize val="0"/>
          <c:extLst>
            <c:ext xmlns:c15="http://schemas.microsoft.com/office/drawing/2012/chart" uri="{CE6537A1-D6FC-4f65-9D91-7224C49458BB}"/>
          </c:extLst>
        </c:dLbl>
      </c:pivotFmt>
      <c:pivotFmt>
        <c:idx val="793"/>
        <c:dLbl>
          <c:idx val="0"/>
          <c:showLegendKey val="0"/>
          <c:showVal val="0"/>
          <c:showCatName val="0"/>
          <c:showSerName val="0"/>
          <c:showPercent val="0"/>
          <c:showBubbleSize val="0"/>
          <c:extLst>
            <c:ext xmlns:c15="http://schemas.microsoft.com/office/drawing/2012/chart" uri="{CE6537A1-D6FC-4f65-9D91-7224C49458BB}"/>
          </c:extLst>
        </c:dLbl>
      </c:pivotFmt>
      <c:pivotFmt>
        <c:idx val="794"/>
        <c:dLbl>
          <c:idx val="0"/>
          <c:showLegendKey val="0"/>
          <c:showVal val="0"/>
          <c:showCatName val="0"/>
          <c:showSerName val="0"/>
          <c:showPercent val="0"/>
          <c:showBubbleSize val="0"/>
          <c:extLst>
            <c:ext xmlns:c15="http://schemas.microsoft.com/office/drawing/2012/chart" uri="{CE6537A1-D6FC-4f65-9D91-7224C49458BB}"/>
          </c:extLst>
        </c:dLbl>
      </c:pivotFmt>
      <c:pivotFmt>
        <c:idx val="795"/>
      </c:pivotFmt>
      <c:pivotFmt>
        <c:idx val="796"/>
        <c:dLbl>
          <c:idx val="0"/>
          <c:showLegendKey val="0"/>
          <c:showVal val="0"/>
          <c:showCatName val="0"/>
          <c:showSerName val="0"/>
          <c:showPercent val="0"/>
          <c:showBubbleSize val="0"/>
          <c:extLst>
            <c:ext xmlns:c15="http://schemas.microsoft.com/office/drawing/2012/chart" uri="{CE6537A1-D6FC-4f65-9D91-7224C49458BB}"/>
          </c:extLst>
        </c:dLbl>
      </c:pivotFmt>
      <c:pivotFmt>
        <c:idx val="797"/>
        <c:dLbl>
          <c:idx val="0"/>
          <c:showLegendKey val="0"/>
          <c:showVal val="0"/>
          <c:showCatName val="0"/>
          <c:showSerName val="0"/>
          <c:showPercent val="0"/>
          <c:showBubbleSize val="0"/>
          <c:extLst>
            <c:ext xmlns:c15="http://schemas.microsoft.com/office/drawing/2012/chart" uri="{CE6537A1-D6FC-4f65-9D91-7224C49458BB}"/>
          </c:extLst>
        </c:dLbl>
      </c:pivotFmt>
      <c:pivotFmt>
        <c:idx val="798"/>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3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3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4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4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4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5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5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5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6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6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6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6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7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7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7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8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8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8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8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9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9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9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9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9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9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9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0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0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0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0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0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0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0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1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1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1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2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2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2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2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3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3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3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35"/>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AvailabilityPiePivot!$B$3:$B$4</c:f>
              <c:strCache>
                <c:ptCount val="1"/>
                <c:pt idx="0">
                  <c:v>1986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0-4B72-4699-AA9E-B63CA9DC096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47-484F-BBEF-383D7AC32CC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47-484F-BBEF-383D7AC32C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001-4B72-4699-AA9E-B63CA9DC096F}"/>
            </c:ext>
          </c:extLst>
        </c:ser>
        <c:ser>
          <c:idx val="1"/>
          <c:order val="1"/>
          <c:tx>
            <c:strRef>
              <c:f>AvailabilityPiePivot!$C$3:$C$4</c:f>
              <c:strCache>
                <c:ptCount val="1"/>
                <c:pt idx="0">
                  <c:v>1987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CD-5347-484F-BBEF-383D7AC32CCE}"/>
            </c:ext>
          </c:extLst>
        </c:ser>
        <c:ser>
          <c:idx val="2"/>
          <c:order val="2"/>
          <c:tx>
            <c:strRef>
              <c:f>AvailabilityPiePivot!$D$3:$D$4</c:f>
              <c:strCache>
                <c:ptCount val="1"/>
                <c:pt idx="0">
                  <c:v>1988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CE-5347-484F-BBEF-383D7AC32CCE}"/>
            </c:ext>
          </c:extLst>
        </c:ser>
        <c:ser>
          <c:idx val="3"/>
          <c:order val="3"/>
          <c:tx>
            <c:strRef>
              <c:f>AvailabilityPiePivot!$E$3:$E$4</c:f>
              <c:strCache>
                <c:ptCount val="1"/>
                <c:pt idx="0">
                  <c:v>1989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CF-5347-484F-BBEF-383D7AC32CCE}"/>
            </c:ext>
          </c:extLst>
        </c:ser>
        <c:ser>
          <c:idx val="4"/>
          <c:order val="4"/>
          <c:tx>
            <c:strRef>
              <c:f>AvailabilityPiePivot!$F$3:$F$4</c:f>
              <c:strCache>
                <c:ptCount val="1"/>
                <c:pt idx="0">
                  <c:v>1990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D0-5347-484F-BBEF-383D7AC32CCE}"/>
            </c:ext>
          </c:extLst>
        </c:ser>
        <c:ser>
          <c:idx val="5"/>
          <c:order val="5"/>
          <c:tx>
            <c:strRef>
              <c:f>AvailabilityPiePivot!$G$3:$G$4</c:f>
              <c:strCache>
                <c:ptCount val="1"/>
                <c:pt idx="0">
                  <c:v>1991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D1-5347-484F-BBEF-383D7AC32CCE}"/>
            </c:ext>
          </c:extLst>
        </c:ser>
        <c:ser>
          <c:idx val="6"/>
          <c:order val="6"/>
          <c:tx>
            <c:strRef>
              <c:f>AvailabilityPiePivot!$H$3:$H$4</c:f>
              <c:strCache>
                <c:ptCount val="1"/>
                <c:pt idx="0">
                  <c:v>1992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D2-5347-484F-BBEF-383D7AC32CCE}"/>
            </c:ext>
          </c:extLst>
        </c:ser>
        <c:ser>
          <c:idx val="7"/>
          <c:order val="7"/>
          <c:tx>
            <c:strRef>
              <c:f>AvailabilityPiePivot!$I$3:$I$4</c:f>
              <c:strCache>
                <c:ptCount val="1"/>
                <c:pt idx="0">
                  <c:v>1993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D3-5347-484F-BBEF-383D7AC32CCE}"/>
            </c:ext>
          </c:extLst>
        </c:ser>
        <c:ser>
          <c:idx val="8"/>
          <c:order val="8"/>
          <c:tx>
            <c:strRef>
              <c:f>AvailabilityPiePivot!$J$3:$J$4</c:f>
              <c:strCache>
                <c:ptCount val="1"/>
                <c:pt idx="0">
                  <c:v>1994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D4-5347-484F-BBEF-383D7AC32CCE}"/>
            </c:ext>
          </c:extLst>
        </c:ser>
        <c:ser>
          <c:idx val="9"/>
          <c:order val="9"/>
          <c:tx>
            <c:strRef>
              <c:f>AvailabilityPiePivot!$K$3:$K$4</c:f>
              <c:strCache>
                <c:ptCount val="1"/>
                <c:pt idx="0">
                  <c:v>1995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D5-5347-484F-BBEF-383D7AC32CCE}"/>
            </c:ext>
          </c:extLst>
        </c:ser>
        <c:ser>
          <c:idx val="10"/>
          <c:order val="10"/>
          <c:tx>
            <c:strRef>
              <c:f>AvailabilityPiePivot!$L$3:$L$4</c:f>
              <c:strCache>
                <c:ptCount val="1"/>
                <c:pt idx="0">
                  <c:v>1996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D6-5347-484F-BBEF-383D7AC32CCE}"/>
            </c:ext>
          </c:extLst>
        </c:ser>
        <c:ser>
          <c:idx val="11"/>
          <c:order val="11"/>
          <c:tx>
            <c:strRef>
              <c:f>AvailabilityPiePivot!$M$3:$M$4</c:f>
              <c:strCache>
                <c:ptCount val="1"/>
                <c:pt idx="0">
                  <c:v>1997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D7-5347-484F-BBEF-383D7AC32CCE}"/>
            </c:ext>
          </c:extLst>
        </c:ser>
        <c:ser>
          <c:idx val="12"/>
          <c:order val="12"/>
          <c:tx>
            <c:strRef>
              <c:f>AvailabilityPiePivot!$N$3:$N$4</c:f>
              <c:strCache>
                <c:ptCount val="1"/>
                <c:pt idx="0">
                  <c:v>1998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D8-5347-484F-BBEF-383D7AC32CCE}"/>
            </c:ext>
          </c:extLst>
        </c:ser>
        <c:ser>
          <c:idx val="13"/>
          <c:order val="13"/>
          <c:tx>
            <c:strRef>
              <c:f>AvailabilityPiePivot!$O$3:$O$4</c:f>
              <c:strCache>
                <c:ptCount val="1"/>
                <c:pt idx="0">
                  <c:v>1999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D9-5347-484F-BBEF-383D7AC32CCE}"/>
            </c:ext>
          </c:extLst>
        </c:ser>
        <c:ser>
          <c:idx val="14"/>
          <c:order val="14"/>
          <c:tx>
            <c:strRef>
              <c:f>AvailabilityPiePivot!$P$3:$P$4</c:f>
              <c:strCache>
                <c:ptCount val="1"/>
                <c:pt idx="0">
                  <c:v>2000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DA-5347-484F-BBEF-383D7AC32CCE}"/>
            </c:ext>
          </c:extLst>
        </c:ser>
        <c:ser>
          <c:idx val="15"/>
          <c:order val="15"/>
          <c:tx>
            <c:strRef>
              <c:f>AvailabilityPiePivot!$Q$3:$Q$4</c:f>
              <c:strCache>
                <c:ptCount val="1"/>
                <c:pt idx="0">
                  <c:v>2001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DB-5347-484F-BBEF-383D7AC32CCE}"/>
            </c:ext>
          </c:extLst>
        </c:ser>
        <c:ser>
          <c:idx val="16"/>
          <c:order val="16"/>
          <c:tx>
            <c:strRef>
              <c:f>AvailabilityPiePivot!$R$3:$R$4</c:f>
              <c:strCache>
                <c:ptCount val="1"/>
                <c:pt idx="0">
                  <c:v>2002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DC-5347-484F-BBEF-383D7AC32CCE}"/>
            </c:ext>
          </c:extLst>
        </c:ser>
        <c:ser>
          <c:idx val="17"/>
          <c:order val="17"/>
          <c:tx>
            <c:strRef>
              <c:f>AvailabilityPiePivot!$S$3:$S$4</c:f>
              <c:strCache>
                <c:ptCount val="1"/>
                <c:pt idx="0">
                  <c:v>2003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DD-5347-484F-BBEF-383D7AC32CCE}"/>
            </c:ext>
          </c:extLst>
        </c:ser>
        <c:ser>
          <c:idx val="18"/>
          <c:order val="18"/>
          <c:tx>
            <c:strRef>
              <c:f>AvailabilityPiePivot!$T$3:$T$4</c:f>
              <c:strCache>
                <c:ptCount val="1"/>
                <c:pt idx="0">
                  <c:v>2004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DE-5347-484F-BBEF-383D7AC32CCE}"/>
            </c:ext>
          </c:extLst>
        </c:ser>
        <c:ser>
          <c:idx val="19"/>
          <c:order val="19"/>
          <c:tx>
            <c:strRef>
              <c:f>AvailabilityPiePivot!$U$3:$U$4</c:f>
              <c:strCache>
                <c:ptCount val="1"/>
                <c:pt idx="0">
                  <c:v>2005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0DF-5347-484F-BBEF-383D7AC32CCE}"/>
            </c:ext>
          </c:extLst>
        </c:ser>
        <c:ser>
          <c:idx val="20"/>
          <c:order val="20"/>
          <c:tx>
            <c:strRef>
              <c:f>AvailabilityPiePivot!$V$3:$V$4</c:f>
              <c:strCache>
                <c:ptCount val="1"/>
                <c:pt idx="0">
                  <c:v>2006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0E0-5347-484F-BBEF-383D7AC32CCE}"/>
            </c:ext>
          </c:extLst>
        </c:ser>
        <c:ser>
          <c:idx val="21"/>
          <c:order val="21"/>
          <c:tx>
            <c:strRef>
              <c:f>AvailabilityPiePivot!$W$3:$W$4</c:f>
              <c:strCache>
                <c:ptCount val="1"/>
                <c:pt idx="0">
                  <c:v>2007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0E1-5347-484F-BBEF-383D7AC32CCE}"/>
            </c:ext>
          </c:extLst>
        </c:ser>
        <c:ser>
          <c:idx val="22"/>
          <c:order val="22"/>
          <c:tx>
            <c:strRef>
              <c:f>AvailabilityPiePivot!$X$3:$X$4</c:f>
              <c:strCache>
                <c:ptCount val="1"/>
                <c:pt idx="0">
                  <c:v>2008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0E2-5347-484F-BBEF-383D7AC32CCE}"/>
            </c:ext>
          </c:extLst>
        </c:ser>
        <c:ser>
          <c:idx val="23"/>
          <c:order val="23"/>
          <c:tx>
            <c:strRef>
              <c:f>AvailabilityPiePivot!$Y$3:$Y$4</c:f>
              <c:strCache>
                <c:ptCount val="1"/>
                <c:pt idx="0">
                  <c:v>2009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0E3-5347-484F-BBEF-383D7AC32CCE}"/>
            </c:ext>
          </c:extLst>
        </c:ser>
        <c:ser>
          <c:idx val="24"/>
          <c:order val="24"/>
          <c:tx>
            <c:strRef>
              <c:f>AvailabilityPiePivot!$Z$3:$Z$4</c:f>
              <c:strCache>
                <c:ptCount val="1"/>
                <c:pt idx="0">
                  <c:v>2010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0E4-5347-484F-BBEF-383D7AC32CCE}"/>
            </c:ext>
          </c:extLst>
        </c:ser>
        <c:ser>
          <c:idx val="25"/>
          <c:order val="25"/>
          <c:tx>
            <c:strRef>
              <c:f>AvailabilityPiePivot!$AA$3:$AA$4</c:f>
              <c:strCache>
                <c:ptCount val="1"/>
                <c:pt idx="0">
                  <c:v>2011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0E5-5347-484F-BBEF-383D7AC32CCE}"/>
            </c:ext>
          </c:extLst>
        </c:ser>
        <c:ser>
          <c:idx val="26"/>
          <c:order val="26"/>
          <c:tx>
            <c:strRef>
              <c:f>AvailabilityPiePivot!$AB$3:$AB$4</c:f>
              <c:strCache>
                <c:ptCount val="1"/>
                <c:pt idx="0">
                  <c:v>2012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0E6-5347-484F-BBEF-383D7AC32CCE}"/>
            </c:ext>
          </c:extLst>
        </c:ser>
        <c:ser>
          <c:idx val="27"/>
          <c:order val="27"/>
          <c:tx>
            <c:strRef>
              <c:f>AvailabilityPiePivot!$AC$3:$AC$4</c:f>
              <c:strCache>
                <c:ptCount val="1"/>
                <c:pt idx="0">
                  <c:v>2013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0E7-5347-484F-BBEF-383D7AC32CCE}"/>
            </c:ext>
          </c:extLst>
        </c:ser>
        <c:ser>
          <c:idx val="28"/>
          <c:order val="28"/>
          <c:tx>
            <c:strRef>
              <c:f>AvailabilityPiePivot!$AD$3:$AD$4</c:f>
              <c:strCache>
                <c:ptCount val="1"/>
                <c:pt idx="0">
                  <c:v>2014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0E8-5347-484F-BBEF-383D7AC32CCE}"/>
            </c:ext>
          </c:extLst>
        </c:ser>
        <c:ser>
          <c:idx val="29"/>
          <c:order val="29"/>
          <c:tx>
            <c:strRef>
              <c:f>AvailabilityPiePivot!$AE$3:$AE$4</c:f>
              <c:strCache>
                <c:ptCount val="1"/>
                <c:pt idx="0">
                  <c:v>2015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0E9-5347-484F-BBEF-383D7AC32CCE}"/>
            </c:ext>
          </c:extLst>
        </c:ser>
        <c:ser>
          <c:idx val="30"/>
          <c:order val="30"/>
          <c:tx>
            <c:strRef>
              <c:f>AvailabilityPiePivot!$AF$3:$AF$4</c:f>
              <c:strCache>
                <c:ptCount val="1"/>
                <c:pt idx="0">
                  <c:v>2016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0EA-5347-484F-BBEF-383D7AC32CCE}"/>
            </c:ext>
          </c:extLst>
        </c:ser>
        <c:ser>
          <c:idx val="31"/>
          <c:order val="31"/>
          <c:tx>
            <c:strRef>
              <c:f>AvailabilityPiePivot!$AG$3:$AG$4</c:f>
              <c:strCache>
                <c:ptCount val="1"/>
                <c:pt idx="0">
                  <c:v>2017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0EB-5347-484F-BBEF-383D7AC32CCE}"/>
            </c:ext>
          </c:extLst>
        </c:ser>
        <c:ser>
          <c:idx val="32"/>
          <c:order val="32"/>
          <c:tx>
            <c:strRef>
              <c:f>AvailabilityPiePivot!$AH$3:$AH$4</c:f>
              <c:strCache>
                <c:ptCount val="1"/>
                <c:pt idx="0">
                  <c:v>2018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0EC-5347-484F-BBEF-383D7AC32CCE}"/>
            </c:ext>
          </c:extLst>
        </c:ser>
        <c:ser>
          <c:idx val="33"/>
          <c:order val="33"/>
          <c:tx>
            <c:strRef>
              <c:f>AvailabilityPiePivot!$AI$3:$AI$4</c:f>
              <c:strCache>
                <c:ptCount val="1"/>
                <c:pt idx="0">
                  <c:v>2019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0ED-5347-484F-BBEF-383D7AC32C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[供应链.xlsx]LinePivot!数据透视表6</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Available and supplied </a:t>
            </a:r>
          </a:p>
        </c:rich>
      </c:tx>
      <c:layout>
        <c:manualLayout>
          <c:xMode val="edge"/>
          <c:yMode val="edge"/>
          <c:x val="0.37949862760785624"/>
          <c:y val="7.61004388829585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1964500878121"/>
          <c:y val="0.15953106155657576"/>
          <c:w val="0.80254448157194525"/>
          <c:h val="0.63232117233180207"/>
        </c:manualLayout>
      </c:layout>
      <c:lineChart>
        <c:grouping val="stacked"/>
        <c:varyColors val="0"/>
        <c:ser>
          <c:idx val="0"/>
          <c:order val="0"/>
          <c:tx>
            <c:strRef>
              <c:f>LinePivot!$B$3</c:f>
              <c:strCache>
                <c:ptCount val="1"/>
                <c:pt idx="0">
                  <c:v>Sum of Electricity supplied (net)</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0-0E33-4DCF-BC7D-E65AB15C64A7}"/>
            </c:ext>
          </c:extLst>
        </c:ser>
        <c:ser>
          <c:idx val="1"/>
          <c:order val="1"/>
          <c:tx>
            <c:strRef>
              <c:f>LinePivot!$C$3</c:f>
              <c:strCache>
                <c:ptCount val="1"/>
                <c:pt idx="0">
                  <c:v>Sum of Electricity available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1-0E33-4DCF-BC7D-E65AB15C64A7}"/>
            </c:ext>
          </c:extLst>
        </c:ser>
        <c:ser>
          <c:idx val="2"/>
          <c:order val="2"/>
          <c:tx>
            <c:strRef>
              <c:f>LinePivot!$D$3</c:f>
              <c:strCache>
                <c:ptCount val="1"/>
                <c:pt idx="0">
                  <c:v>Sum of Net Imports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77A7-4D1F-954A-963D10D81132}"/>
            </c:ext>
          </c:extLst>
        </c:ser>
        <c:ser>
          <c:idx val="3"/>
          <c:order val="3"/>
          <c:tx>
            <c:strRef>
              <c:f>LinePivot!$E$3</c:f>
              <c:strCache>
                <c:ptCount val="1"/>
                <c:pt idx="0">
                  <c:v>Sum of Purchases from other producers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77A7-4D1F-954A-963D10D81132}"/>
            </c:ext>
          </c:extLst>
        </c:ser>
        <c:ser>
          <c:idx val="4"/>
          <c:order val="4"/>
          <c:tx>
            <c:strRef>
              <c:f>LinePivot!$F$3</c:f>
              <c:strCache>
                <c:ptCount val="1"/>
                <c:pt idx="0">
                  <c:v>Sum of Losses in transmission</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77A7-4D1F-954A-963D10D81132}"/>
            </c:ext>
          </c:extLst>
        </c:ser>
        <c:dLbls>
          <c:showLegendKey val="0"/>
          <c:showVal val="0"/>
          <c:showCatName val="0"/>
          <c:showSerName val="0"/>
          <c:showPercent val="0"/>
          <c:showBubbleSize val="0"/>
        </c:dLbls>
        <c:marker val="1"/>
        <c:smooth val="0"/>
        <c:axId val="312037711"/>
        <c:axId val="312036879"/>
      </c:lineChart>
      <c:catAx>
        <c:axId val="3120377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crossAx val="312037711"/>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5.7191375756142068E-2"/>
          <c:y val="0.87628931114149644"/>
          <c:w val="0.83626012897003954"/>
          <c:h val="0.10196773991968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[供应链.xlsx]BarPivotConsumption!BarPivotConsumption</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ltLang="zh-CN"/>
              <a:t>Details of Comsumption Perectage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alpha val="70000"/>
              </a:schemeClr>
            </a:solidFill>
            <a:ln>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alpha val="70000"/>
              </a:schemeClr>
            </a:solidFill>
            <a:ln>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BarPivotConsumption!$A$4</c:f>
              <c:numCache>
                <c:formatCode>0.00%</c:formatCode>
                <c:ptCount val="1"/>
                <c:pt idx="0">
                  <c:v>1.4905450500556177E-2</c:v>
                </c:pt>
              </c:numCache>
            </c:numRef>
          </c:val>
          <c:extLst>
            <c:ext xmlns:c16="http://schemas.microsoft.com/office/drawing/2014/chart" uri="{C3380CC4-5D6E-409C-BE32-E72D297353CC}">
              <c16:uniqueId val="{00000000-8189-4209-B14B-8241FEB76E9D}"/>
            </c:ext>
          </c:extLst>
        </c:ser>
        <c:ser>
          <c:idx val="1"/>
          <c:order val="1"/>
          <c:tx>
            <c:strRef>
              <c:f>BarPivotConsumption!$B$3</c:f>
              <c:strCache>
                <c:ptCount val="1"/>
                <c:pt idx="0">
                  <c:v>Sum of Shops offices,and other commercial  premises %</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BarPivotConsumption!$B$4</c:f>
              <c:numCache>
                <c:formatCode>0.00%</c:formatCode>
                <c:ptCount val="1"/>
                <c:pt idx="0">
                  <c:v>0.12080088987764186</c:v>
                </c:pt>
              </c:numCache>
            </c:numRef>
          </c:val>
          <c:extLst>
            <c:ext xmlns:c16="http://schemas.microsoft.com/office/drawing/2014/chart" uri="{C3380CC4-5D6E-409C-BE32-E72D297353CC}">
              <c16:uniqueId val="{00000001-8189-4209-B14B-8241FEB76E9D}"/>
            </c:ext>
          </c:extLst>
        </c:ser>
        <c:ser>
          <c:idx val="2"/>
          <c:order val="2"/>
          <c:tx>
            <c:strRef>
              <c:f>BarPivotConsumption!$C$3</c:f>
              <c:strCache>
                <c:ptCount val="1"/>
                <c:pt idx="0">
                  <c:v>Sum of Factories and other industrial premises %</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BarPivotConsumption!$C$4</c:f>
              <c:numCache>
                <c:formatCode>0.00%</c:formatCode>
                <c:ptCount val="1"/>
                <c:pt idx="0">
                  <c:v>0.66496106785317033</c:v>
                </c:pt>
              </c:numCache>
            </c:numRef>
          </c:val>
          <c:extLst>
            <c:ext xmlns:c16="http://schemas.microsoft.com/office/drawing/2014/chart" uri="{C3380CC4-5D6E-409C-BE32-E72D297353CC}">
              <c16:uniqueId val="{00000002-8189-4209-B14B-8241FEB76E9D}"/>
            </c:ext>
          </c:extLst>
        </c:ser>
        <c:ser>
          <c:idx val="3"/>
          <c:order val="3"/>
          <c:tx>
            <c:strRef>
              <c:f>BarPivotConsumption!$D$3</c:f>
              <c:strCache>
                <c:ptCount val="1"/>
                <c:pt idx="0">
                  <c:v>Sum of Domestic and farm premises  %</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BarPivotConsumption!$D$4</c:f>
              <c:numCache>
                <c:formatCode>0.00%</c:formatCode>
                <c:ptCount val="1"/>
                <c:pt idx="0">
                  <c:v>0.10077864293659623</c:v>
                </c:pt>
              </c:numCache>
            </c:numRef>
          </c:val>
          <c:extLst>
            <c:ext xmlns:c16="http://schemas.microsoft.com/office/drawing/2014/chart" uri="{C3380CC4-5D6E-409C-BE32-E72D297353CC}">
              <c16:uniqueId val="{00000003-8189-4209-B14B-8241FEB76E9D}"/>
            </c:ext>
          </c:extLst>
        </c:ser>
        <c:ser>
          <c:idx val="4"/>
          <c:order val="4"/>
          <c:tx>
            <c:strRef>
              <c:f>BarPivotConsumption!$E$3</c:f>
              <c:strCache>
                <c:ptCount val="1"/>
                <c:pt idx="0">
                  <c:v>Sum of Traction%</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BarPivotConsumption!$E$4</c:f>
              <c:numCache>
                <c:formatCode>0.00%</c:formatCode>
                <c:ptCount val="1"/>
                <c:pt idx="0">
                  <c:v>9.8553948832035609E-2</c:v>
                </c:pt>
              </c:numCache>
            </c:numRef>
          </c:val>
          <c:extLst>
            <c:ext xmlns:c16="http://schemas.microsoft.com/office/drawing/2014/chart" uri="{C3380CC4-5D6E-409C-BE32-E72D297353CC}">
              <c16:uniqueId val="{00000004-8189-4209-B14B-8241FEB76E9D}"/>
            </c:ext>
          </c:extLst>
        </c:ser>
        <c:dLbls>
          <c:showLegendKey val="0"/>
          <c:showVal val="1"/>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[供应链.xlsx]PivotConsumption!数据透视表20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trend for </a:t>
            </a:r>
            <a:r>
              <a:rPr lang="en-US" altLang="zh-CN"/>
              <a:t>Comsumption</a:t>
            </a:r>
            <a:r>
              <a:rPr lang="en-US" altLang="zh-CN" baseline="0"/>
              <a:t> of Electricity in different Area</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PivotConsumption!$A$7:$A$8</c:f>
              <c:strCache>
                <c:ptCount val="1"/>
                <c:pt idx="0">
                  <c:v>1923</c:v>
                </c:pt>
              </c:strCache>
            </c:strRef>
          </c:cat>
          <c:val>
            <c:numRef>
              <c:f>PivotConsumption!$B$7:$B$8</c:f>
              <c:numCache>
                <c:formatCode>General</c:formatCode>
                <c:ptCount val="1"/>
                <c:pt idx="0">
                  <c:v>0.45300000000000001</c:v>
                </c:pt>
              </c:numCache>
            </c:numRef>
          </c:val>
          <c:extLst>
            <c:ext xmlns:c16="http://schemas.microsoft.com/office/drawing/2014/chart" uri="{C3380CC4-5D6E-409C-BE32-E72D297353CC}">
              <c16:uniqueId val="{00000000-CFA5-44DB-8106-185261714656}"/>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PivotConsumption!$A$7:$A$8</c:f>
              <c:strCache>
                <c:ptCount val="1"/>
                <c:pt idx="0">
                  <c:v>1923</c:v>
                </c:pt>
              </c:strCache>
            </c:strRef>
          </c:cat>
          <c:val>
            <c:numRef>
              <c:f>PivotConsumption!$C$7:$C$8</c:f>
              <c:numCache>
                <c:formatCode>General</c:formatCode>
                <c:ptCount val="1"/>
                <c:pt idx="0">
                  <c:v>0.54300000000000004</c:v>
                </c:pt>
              </c:numCache>
            </c:numRef>
          </c:val>
          <c:extLst>
            <c:ext xmlns:c16="http://schemas.microsoft.com/office/drawing/2014/chart" uri="{C3380CC4-5D6E-409C-BE32-E72D297353CC}">
              <c16:uniqueId val="{00000001-CFA5-44DB-8106-185261714656}"/>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PivotConsumption!$A$7:$A$8</c:f>
              <c:strCache>
                <c:ptCount val="1"/>
                <c:pt idx="0">
                  <c:v>1923</c:v>
                </c:pt>
              </c:strCache>
            </c:strRef>
          </c:cat>
          <c:val>
            <c:numRef>
              <c:f>PivotConsumption!$D$7:$D$8</c:f>
              <c:numCache>
                <c:formatCode>General</c:formatCode>
                <c:ptCount val="1"/>
                <c:pt idx="0">
                  <c:v>2.9889999999999999</c:v>
                </c:pt>
              </c:numCache>
            </c:numRef>
          </c:val>
          <c:extLst>
            <c:ext xmlns:c16="http://schemas.microsoft.com/office/drawing/2014/chart" uri="{C3380CC4-5D6E-409C-BE32-E72D297353CC}">
              <c16:uniqueId val="{00000002-CFA5-44DB-8106-185261714656}"/>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PivotConsumption!$A$7:$A$8</c:f>
              <c:strCache>
                <c:ptCount val="1"/>
                <c:pt idx="0">
                  <c:v>1923</c:v>
                </c:pt>
              </c:strCache>
            </c:strRef>
          </c:cat>
          <c:val>
            <c:numRef>
              <c:f>PivotConsumption!$E$7:$E$8</c:f>
              <c:numCache>
                <c:formatCode>General</c:formatCode>
                <c:ptCount val="1"/>
                <c:pt idx="0">
                  <c:v>0.443</c:v>
                </c:pt>
              </c:numCache>
            </c:numRef>
          </c:val>
          <c:extLst>
            <c:ext xmlns:c16="http://schemas.microsoft.com/office/drawing/2014/chart" uri="{C3380CC4-5D6E-409C-BE32-E72D297353CC}">
              <c16:uniqueId val="{00000003-CFA5-44DB-8106-185261714656}"/>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PivotConsumption!$A$7:$A$8</c:f>
              <c:strCache>
                <c:ptCount val="1"/>
                <c:pt idx="0">
                  <c:v>1923</c:v>
                </c:pt>
              </c:strCache>
            </c:strRef>
          </c:cat>
          <c:val>
            <c:numRef>
              <c:f>PivotConsumption!$F$7:$F$8</c:f>
              <c:numCache>
                <c:formatCode>General</c:formatCode>
                <c:ptCount val="1"/>
                <c:pt idx="0">
                  <c:v>6.7000000000000004E-2</c:v>
                </c:pt>
              </c:numCache>
            </c:numRef>
          </c:val>
          <c:extLst>
            <c:ext xmlns:c16="http://schemas.microsoft.com/office/drawing/2014/chart" uri="{C3380CC4-5D6E-409C-BE32-E72D297353CC}">
              <c16:uniqueId val="{00000004-CFA5-44DB-8106-185261714656}"/>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[供应链.xlsx]SupplyPiePivot!SupplyPiePivot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43CA-4CDC-8B38-F1E7D62D1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43CA-4CDC-8B38-F1E7D62D12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43CA-4CDC-8B38-F1E7D62D12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43CA-4CDC-8B38-F1E7D62D12E3}"/>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2C-43CA-4CDC-8B38-F1E7D62D12E3}"/>
            </c:ext>
          </c:extLst>
        </c:ser>
        <c:ser>
          <c:idx val="1"/>
          <c:order val="1"/>
          <c:tx>
            <c:strRef>
              <c:f>SupplyPiePivot!$C$3:$C$4</c:f>
              <c:strCache>
                <c:ptCount val="1"/>
                <c:pt idx="0">
                  <c:v>1987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11-41D6-451C-B03A-4873B77EEF2D}"/>
            </c:ext>
          </c:extLst>
        </c:ser>
        <c:ser>
          <c:idx val="2"/>
          <c:order val="2"/>
          <c:tx>
            <c:strRef>
              <c:f>SupplyPiePivot!$D$3:$D$4</c:f>
              <c:strCache>
                <c:ptCount val="1"/>
                <c:pt idx="0">
                  <c:v>1988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12-41D6-451C-B03A-4873B77EEF2D}"/>
            </c:ext>
          </c:extLst>
        </c:ser>
        <c:ser>
          <c:idx val="3"/>
          <c:order val="3"/>
          <c:tx>
            <c:strRef>
              <c:f>SupplyPiePivot!$E$3:$E$4</c:f>
              <c:strCache>
                <c:ptCount val="1"/>
                <c:pt idx="0">
                  <c:v>1989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13-41D6-451C-B03A-4873B77EEF2D}"/>
            </c:ext>
          </c:extLst>
        </c:ser>
        <c:ser>
          <c:idx val="4"/>
          <c:order val="4"/>
          <c:tx>
            <c:strRef>
              <c:f>SupplyPiePivot!$F$3:$F$4</c:f>
              <c:strCache>
                <c:ptCount val="1"/>
                <c:pt idx="0">
                  <c:v>1990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14-41D6-451C-B03A-4873B77EEF2D}"/>
            </c:ext>
          </c:extLst>
        </c:ser>
        <c:ser>
          <c:idx val="5"/>
          <c:order val="5"/>
          <c:tx>
            <c:strRef>
              <c:f>SupplyPiePivot!$G$3:$G$4</c:f>
              <c:strCache>
                <c:ptCount val="1"/>
                <c:pt idx="0">
                  <c:v>1991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15-41D6-451C-B03A-4873B77EEF2D}"/>
            </c:ext>
          </c:extLst>
        </c:ser>
        <c:ser>
          <c:idx val="6"/>
          <c:order val="6"/>
          <c:tx>
            <c:strRef>
              <c:f>SupplyPiePivot!$H$3:$H$4</c:f>
              <c:strCache>
                <c:ptCount val="1"/>
                <c:pt idx="0">
                  <c:v>1992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16-41D6-451C-B03A-4873B77EEF2D}"/>
            </c:ext>
          </c:extLst>
        </c:ser>
        <c:ser>
          <c:idx val="7"/>
          <c:order val="7"/>
          <c:tx>
            <c:strRef>
              <c:f>SupplyPiePivot!$I$3:$I$4</c:f>
              <c:strCache>
                <c:ptCount val="1"/>
                <c:pt idx="0">
                  <c:v>1993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17-41D6-451C-B03A-4873B77EEF2D}"/>
            </c:ext>
          </c:extLst>
        </c:ser>
        <c:ser>
          <c:idx val="8"/>
          <c:order val="8"/>
          <c:tx>
            <c:strRef>
              <c:f>SupplyPiePivot!$J$3:$J$4</c:f>
              <c:strCache>
                <c:ptCount val="1"/>
                <c:pt idx="0">
                  <c:v>1994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18-41D6-451C-B03A-4873B77EEF2D}"/>
            </c:ext>
          </c:extLst>
        </c:ser>
        <c:ser>
          <c:idx val="9"/>
          <c:order val="9"/>
          <c:tx>
            <c:strRef>
              <c:f>SupplyPiePivot!$K$3:$K$4</c:f>
              <c:strCache>
                <c:ptCount val="1"/>
                <c:pt idx="0">
                  <c:v>1995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19-41D6-451C-B03A-4873B77EEF2D}"/>
            </c:ext>
          </c:extLst>
        </c:ser>
        <c:ser>
          <c:idx val="10"/>
          <c:order val="10"/>
          <c:tx>
            <c:strRef>
              <c:f>SupplyPiePivot!$L$3:$L$4</c:f>
              <c:strCache>
                <c:ptCount val="1"/>
                <c:pt idx="0">
                  <c:v>1996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1A-41D6-451C-B03A-4873B77EEF2D}"/>
            </c:ext>
          </c:extLst>
        </c:ser>
        <c:ser>
          <c:idx val="11"/>
          <c:order val="11"/>
          <c:tx>
            <c:strRef>
              <c:f>SupplyPiePivot!$M$3:$M$4</c:f>
              <c:strCache>
                <c:ptCount val="1"/>
                <c:pt idx="0">
                  <c:v>1997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1B-41D6-451C-B03A-4873B77EEF2D}"/>
            </c:ext>
          </c:extLst>
        </c:ser>
        <c:ser>
          <c:idx val="12"/>
          <c:order val="12"/>
          <c:tx>
            <c:strRef>
              <c:f>SupplyPiePivot!$N$3:$N$4</c:f>
              <c:strCache>
                <c:ptCount val="1"/>
                <c:pt idx="0">
                  <c:v>1998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1C-41D6-451C-B03A-4873B77EEF2D}"/>
            </c:ext>
          </c:extLst>
        </c:ser>
        <c:ser>
          <c:idx val="13"/>
          <c:order val="13"/>
          <c:tx>
            <c:strRef>
              <c:f>SupplyPiePivot!$O$3:$O$4</c:f>
              <c:strCache>
                <c:ptCount val="1"/>
                <c:pt idx="0">
                  <c:v>1999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1D-41D6-451C-B03A-4873B77EEF2D}"/>
            </c:ext>
          </c:extLst>
        </c:ser>
        <c:ser>
          <c:idx val="14"/>
          <c:order val="14"/>
          <c:tx>
            <c:strRef>
              <c:f>SupplyPiePivot!$P$3:$P$4</c:f>
              <c:strCache>
                <c:ptCount val="1"/>
                <c:pt idx="0">
                  <c:v>2000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1E-41D6-451C-B03A-4873B77EEF2D}"/>
            </c:ext>
          </c:extLst>
        </c:ser>
        <c:ser>
          <c:idx val="15"/>
          <c:order val="15"/>
          <c:tx>
            <c:strRef>
              <c:f>SupplyPiePivot!$Q$3:$Q$4</c:f>
              <c:strCache>
                <c:ptCount val="1"/>
                <c:pt idx="0">
                  <c:v>2001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1F-41D6-451C-B03A-4873B77EEF2D}"/>
            </c:ext>
          </c:extLst>
        </c:ser>
        <c:ser>
          <c:idx val="16"/>
          <c:order val="16"/>
          <c:tx>
            <c:strRef>
              <c:f>SupplyPiePivot!$R$3:$R$4</c:f>
              <c:strCache>
                <c:ptCount val="1"/>
                <c:pt idx="0">
                  <c:v>2002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20-41D6-451C-B03A-4873B77EEF2D}"/>
            </c:ext>
          </c:extLst>
        </c:ser>
        <c:ser>
          <c:idx val="17"/>
          <c:order val="17"/>
          <c:tx>
            <c:strRef>
              <c:f>SupplyPiePivot!$S$3:$S$4</c:f>
              <c:strCache>
                <c:ptCount val="1"/>
                <c:pt idx="0">
                  <c:v>2003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21-41D6-451C-B03A-4873B77EEF2D}"/>
            </c:ext>
          </c:extLst>
        </c:ser>
        <c:ser>
          <c:idx val="18"/>
          <c:order val="18"/>
          <c:tx>
            <c:strRef>
              <c:f>SupplyPiePivot!$T$3:$T$4</c:f>
              <c:strCache>
                <c:ptCount val="1"/>
                <c:pt idx="0">
                  <c:v>2004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22-41D6-451C-B03A-4873B77EEF2D}"/>
            </c:ext>
          </c:extLst>
        </c:ser>
        <c:ser>
          <c:idx val="19"/>
          <c:order val="19"/>
          <c:tx>
            <c:strRef>
              <c:f>SupplyPiePivot!$U$3:$U$4</c:f>
              <c:strCache>
                <c:ptCount val="1"/>
                <c:pt idx="0">
                  <c:v>2005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23-41D6-451C-B03A-4873B77EEF2D}"/>
            </c:ext>
          </c:extLst>
        </c:ser>
        <c:ser>
          <c:idx val="20"/>
          <c:order val="20"/>
          <c:tx>
            <c:strRef>
              <c:f>SupplyPiePivot!$V$3:$V$4</c:f>
              <c:strCache>
                <c:ptCount val="1"/>
                <c:pt idx="0">
                  <c:v>2006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24-41D6-451C-B03A-4873B77EEF2D}"/>
            </c:ext>
          </c:extLst>
        </c:ser>
        <c:ser>
          <c:idx val="21"/>
          <c:order val="21"/>
          <c:tx>
            <c:strRef>
              <c:f>SupplyPiePivot!$W$3:$W$4</c:f>
              <c:strCache>
                <c:ptCount val="1"/>
                <c:pt idx="0">
                  <c:v>2007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25-41D6-451C-B03A-4873B77EEF2D}"/>
            </c:ext>
          </c:extLst>
        </c:ser>
        <c:ser>
          <c:idx val="22"/>
          <c:order val="22"/>
          <c:tx>
            <c:strRef>
              <c:f>SupplyPiePivot!$X$3:$X$4</c:f>
              <c:strCache>
                <c:ptCount val="1"/>
                <c:pt idx="0">
                  <c:v>2008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26-41D6-451C-B03A-4873B77EEF2D}"/>
            </c:ext>
          </c:extLst>
        </c:ser>
        <c:ser>
          <c:idx val="23"/>
          <c:order val="23"/>
          <c:tx>
            <c:strRef>
              <c:f>SupplyPiePivot!$Y$3:$Y$4</c:f>
              <c:strCache>
                <c:ptCount val="1"/>
                <c:pt idx="0">
                  <c:v>2009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27-41D6-451C-B03A-4873B77EEF2D}"/>
            </c:ext>
          </c:extLst>
        </c:ser>
        <c:ser>
          <c:idx val="24"/>
          <c:order val="24"/>
          <c:tx>
            <c:strRef>
              <c:f>SupplyPiePivot!$Z$3:$Z$4</c:f>
              <c:strCache>
                <c:ptCount val="1"/>
                <c:pt idx="0">
                  <c:v>2010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28-41D6-451C-B03A-4873B77EEF2D}"/>
            </c:ext>
          </c:extLst>
        </c:ser>
        <c:ser>
          <c:idx val="25"/>
          <c:order val="25"/>
          <c:tx>
            <c:strRef>
              <c:f>SupplyPiePivot!$AA$3:$AA$4</c:f>
              <c:strCache>
                <c:ptCount val="1"/>
                <c:pt idx="0">
                  <c:v>2011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29-41D6-451C-B03A-4873B77EEF2D}"/>
            </c:ext>
          </c:extLst>
        </c:ser>
        <c:ser>
          <c:idx val="26"/>
          <c:order val="26"/>
          <c:tx>
            <c:strRef>
              <c:f>SupplyPiePivot!$AB$3:$AB$4</c:f>
              <c:strCache>
                <c:ptCount val="1"/>
                <c:pt idx="0">
                  <c:v>2012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2A-41D6-451C-B03A-4873B77EEF2D}"/>
            </c:ext>
          </c:extLst>
        </c:ser>
        <c:ser>
          <c:idx val="27"/>
          <c:order val="27"/>
          <c:tx>
            <c:strRef>
              <c:f>SupplyPiePivot!$AC$3:$AC$4</c:f>
              <c:strCache>
                <c:ptCount val="1"/>
                <c:pt idx="0">
                  <c:v>2013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2B-41D6-451C-B03A-4873B77EEF2D}"/>
            </c:ext>
          </c:extLst>
        </c:ser>
        <c:ser>
          <c:idx val="28"/>
          <c:order val="28"/>
          <c:tx>
            <c:strRef>
              <c:f>SupplyPiePivot!$AD$3:$AD$4</c:f>
              <c:strCache>
                <c:ptCount val="1"/>
                <c:pt idx="0">
                  <c:v>2014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2C-41D6-451C-B03A-4873B77EEF2D}"/>
            </c:ext>
          </c:extLst>
        </c:ser>
        <c:ser>
          <c:idx val="29"/>
          <c:order val="29"/>
          <c:tx>
            <c:strRef>
              <c:f>SupplyPiePivot!$AE$3:$AE$4</c:f>
              <c:strCache>
                <c:ptCount val="1"/>
                <c:pt idx="0">
                  <c:v>2015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2D-41D6-451C-B03A-4873B77EEF2D}"/>
            </c:ext>
          </c:extLst>
        </c:ser>
        <c:ser>
          <c:idx val="30"/>
          <c:order val="30"/>
          <c:tx>
            <c:strRef>
              <c:f>SupplyPiePivot!$AF$3:$AF$4</c:f>
              <c:strCache>
                <c:ptCount val="1"/>
                <c:pt idx="0">
                  <c:v>2016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2E-41D6-451C-B03A-4873B77EEF2D}"/>
            </c:ext>
          </c:extLst>
        </c:ser>
        <c:ser>
          <c:idx val="31"/>
          <c:order val="31"/>
          <c:tx>
            <c:strRef>
              <c:f>SupplyPiePivot!$AG$3:$AG$4</c:f>
              <c:strCache>
                <c:ptCount val="1"/>
                <c:pt idx="0">
                  <c:v>2017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2F-41D6-451C-B03A-4873B77EEF2D}"/>
            </c:ext>
          </c:extLst>
        </c:ser>
        <c:ser>
          <c:idx val="32"/>
          <c:order val="32"/>
          <c:tx>
            <c:strRef>
              <c:f>SupplyPiePivot!$AH$3:$AH$4</c:f>
              <c:strCache>
                <c:ptCount val="1"/>
                <c:pt idx="0">
                  <c:v>2018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30-41D6-451C-B03A-4873B77EEF2D}"/>
            </c:ext>
          </c:extLst>
        </c:ser>
        <c:ser>
          <c:idx val="33"/>
          <c:order val="33"/>
          <c:tx>
            <c:strRef>
              <c:f>SupplyPiePivot!$AI$3:$AI$4</c:f>
              <c:strCache>
                <c:ptCount val="1"/>
                <c:pt idx="0">
                  <c:v>2019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31-41D6-451C-B03A-4873B77EEF2D}"/>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[供应链.xlsx]AvailabilityPiePivot!SupplyPiePivot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
        <c:idx val="544"/>
        <c:marker>
          <c:symbol val="none"/>
        </c:marker>
        <c:dLbl>
          <c:idx val="0"/>
          <c:delete val="1"/>
          <c:extLst>
            <c:ext xmlns:c15="http://schemas.microsoft.com/office/drawing/2012/chart" uri="{CE6537A1-D6FC-4f65-9D91-7224C49458BB}"/>
          </c:extLst>
        </c:dLbl>
      </c:pivotFmt>
      <c:pivotFmt>
        <c:idx val="545"/>
        <c:spPr>
          <a:solidFill>
            <a:schemeClr val="accent1"/>
          </a:solidFill>
          <a:ln w="19050">
            <a:solidFill>
              <a:schemeClr val="lt1"/>
            </a:solidFill>
          </a:ln>
          <a:effectLst/>
        </c:spPr>
      </c:pivotFmt>
      <c:pivotFmt>
        <c:idx val="546"/>
        <c:spPr>
          <a:solidFill>
            <a:schemeClr val="accent2"/>
          </a:solidFill>
          <a:ln w="19050">
            <a:solidFill>
              <a:schemeClr val="lt1"/>
            </a:solidFill>
          </a:ln>
          <a:effectLst/>
        </c:spPr>
      </c:pivotFmt>
      <c:pivotFmt>
        <c:idx val="547"/>
        <c:spPr>
          <a:solidFill>
            <a:schemeClr val="accent3"/>
          </a:solidFill>
          <a:ln w="19050">
            <a:solidFill>
              <a:schemeClr val="lt1"/>
            </a:solidFill>
          </a:ln>
          <a:effectLst/>
        </c:spPr>
      </c:pivotFmt>
      <c:pivotFmt>
        <c:idx val="548"/>
        <c:spPr>
          <a:solidFill>
            <a:schemeClr val="accent4"/>
          </a:solidFill>
          <a:ln w="19050">
            <a:solidFill>
              <a:schemeClr val="lt1"/>
            </a:solidFill>
          </a:ln>
          <a:effectLst/>
        </c:spPr>
      </c:pivotFmt>
      <c:pivotFmt>
        <c:idx val="549"/>
        <c:marker>
          <c:symbol val="none"/>
        </c:marker>
        <c:dLbl>
          <c:idx val="0"/>
          <c:delete val="1"/>
          <c:extLst>
            <c:ext xmlns:c15="http://schemas.microsoft.com/office/drawing/2012/chart" uri="{CE6537A1-D6FC-4f65-9D91-7224C49458BB}"/>
          </c:extLst>
        </c:dLbl>
      </c:pivotFmt>
      <c:pivotFmt>
        <c:idx val="550"/>
        <c:spPr>
          <a:solidFill>
            <a:schemeClr val="accent1"/>
          </a:solidFill>
          <a:ln w="19050">
            <a:solidFill>
              <a:schemeClr val="lt1"/>
            </a:solidFill>
          </a:ln>
          <a:effectLst/>
        </c:spPr>
      </c:pivotFmt>
      <c:pivotFmt>
        <c:idx val="551"/>
        <c:spPr>
          <a:solidFill>
            <a:schemeClr val="accent2"/>
          </a:solidFill>
          <a:ln w="19050">
            <a:solidFill>
              <a:schemeClr val="lt1"/>
            </a:solidFill>
          </a:ln>
          <a:effectLst/>
        </c:spPr>
      </c:pivotFmt>
      <c:pivotFmt>
        <c:idx val="552"/>
        <c:spPr>
          <a:solidFill>
            <a:schemeClr val="accent3"/>
          </a:solidFill>
          <a:ln w="19050">
            <a:solidFill>
              <a:schemeClr val="lt1"/>
            </a:solidFill>
          </a:ln>
          <a:effectLst/>
        </c:spPr>
      </c:pivotFmt>
      <c:pivotFmt>
        <c:idx val="553"/>
        <c:spPr>
          <a:solidFill>
            <a:schemeClr val="accent4"/>
          </a:solidFill>
          <a:ln w="19050">
            <a:solidFill>
              <a:schemeClr val="lt1"/>
            </a:solidFill>
          </a:ln>
          <a:effectLst/>
        </c:spPr>
      </c:pivotFmt>
      <c:pivotFmt>
        <c:idx val="554"/>
        <c:marker>
          <c:symbol val="none"/>
        </c:marker>
        <c:dLbl>
          <c:idx val="0"/>
          <c:delete val="1"/>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2"/>
          </a:solidFill>
          <a:ln w="19050">
            <a:solidFill>
              <a:schemeClr val="lt1"/>
            </a:solidFill>
          </a:ln>
          <a:effectLst/>
        </c:spPr>
      </c:pivotFmt>
      <c:pivotFmt>
        <c:idx val="557"/>
        <c:spPr>
          <a:solidFill>
            <a:schemeClr val="accent3"/>
          </a:solidFill>
          <a:ln w="19050">
            <a:solidFill>
              <a:schemeClr val="lt1"/>
            </a:solidFill>
          </a:ln>
          <a:effectLst/>
        </c:spPr>
      </c:pivotFmt>
      <c:pivotFmt>
        <c:idx val="558"/>
        <c:spPr>
          <a:solidFill>
            <a:schemeClr val="accent4"/>
          </a:solidFill>
          <a:ln w="19050">
            <a:solidFill>
              <a:schemeClr val="lt1"/>
            </a:solidFill>
          </a:ln>
          <a:effectLst/>
        </c:spPr>
      </c:pivotFmt>
      <c:pivotFmt>
        <c:idx val="559"/>
        <c:marker>
          <c:symbol val="none"/>
        </c:marker>
        <c:dLbl>
          <c:idx val="0"/>
          <c:delete val="1"/>
          <c:extLst>
            <c:ext xmlns:c15="http://schemas.microsoft.com/office/drawing/2012/chart" uri="{CE6537A1-D6FC-4f65-9D91-7224C49458BB}"/>
          </c:extLst>
        </c:dLbl>
      </c:pivotFmt>
      <c:pivotFmt>
        <c:idx val="560"/>
        <c:spPr>
          <a:solidFill>
            <a:schemeClr val="accent1"/>
          </a:solidFill>
          <a:ln w="19050">
            <a:solidFill>
              <a:schemeClr val="lt1"/>
            </a:solidFill>
          </a:ln>
          <a:effectLst/>
        </c:spPr>
      </c:pivotFmt>
      <c:pivotFmt>
        <c:idx val="561"/>
        <c:spPr>
          <a:solidFill>
            <a:schemeClr val="accent2"/>
          </a:solidFill>
          <a:ln w="19050">
            <a:solidFill>
              <a:schemeClr val="lt1"/>
            </a:solidFill>
          </a:ln>
          <a:effectLst/>
        </c:spPr>
      </c:pivotFmt>
      <c:pivotFmt>
        <c:idx val="562"/>
        <c:spPr>
          <a:solidFill>
            <a:schemeClr val="accent3"/>
          </a:solidFill>
          <a:ln w="19050">
            <a:solidFill>
              <a:schemeClr val="lt1"/>
            </a:solidFill>
          </a:ln>
          <a:effectLst/>
        </c:spPr>
      </c:pivotFmt>
      <c:pivotFmt>
        <c:idx val="563"/>
        <c:spPr>
          <a:solidFill>
            <a:schemeClr val="accent4"/>
          </a:solidFill>
          <a:ln w="19050">
            <a:solidFill>
              <a:schemeClr val="lt1"/>
            </a:solidFill>
          </a:ln>
          <a:effectLst/>
        </c:spPr>
      </c:pivotFmt>
      <c:pivotFmt>
        <c:idx val="564"/>
        <c:marker>
          <c:symbol val="none"/>
        </c:marker>
        <c:dLbl>
          <c:idx val="0"/>
          <c:delete val="1"/>
          <c:extLst>
            <c:ext xmlns:c15="http://schemas.microsoft.com/office/drawing/2012/chart" uri="{CE6537A1-D6FC-4f65-9D91-7224C49458BB}"/>
          </c:extLst>
        </c:dLbl>
      </c:pivotFmt>
      <c:pivotFmt>
        <c:idx val="565"/>
        <c:spPr>
          <a:solidFill>
            <a:schemeClr val="accent1"/>
          </a:solidFill>
          <a:ln w="19050">
            <a:solidFill>
              <a:schemeClr val="lt1"/>
            </a:solidFill>
          </a:ln>
          <a:effectLst/>
        </c:spPr>
      </c:pivotFmt>
      <c:pivotFmt>
        <c:idx val="566"/>
        <c:spPr>
          <a:solidFill>
            <a:schemeClr val="accent2"/>
          </a:solidFill>
          <a:ln w="19050">
            <a:solidFill>
              <a:schemeClr val="lt1"/>
            </a:solidFill>
          </a:ln>
          <a:effectLst/>
        </c:spPr>
      </c:pivotFmt>
      <c:pivotFmt>
        <c:idx val="567"/>
        <c:spPr>
          <a:solidFill>
            <a:schemeClr val="accent3"/>
          </a:solidFill>
          <a:ln w="19050">
            <a:solidFill>
              <a:schemeClr val="lt1"/>
            </a:solidFill>
          </a:ln>
          <a:effectLst/>
        </c:spPr>
      </c:pivotFmt>
      <c:pivotFmt>
        <c:idx val="568"/>
        <c:spPr>
          <a:solidFill>
            <a:schemeClr val="accent4"/>
          </a:solidFill>
          <a:ln w="19050">
            <a:solidFill>
              <a:schemeClr val="lt1"/>
            </a:solidFill>
          </a:ln>
          <a:effectLst/>
        </c:spPr>
      </c:pivotFmt>
      <c:pivotFmt>
        <c:idx val="569"/>
        <c:marker>
          <c:symbol val="none"/>
        </c:marker>
        <c:dLbl>
          <c:idx val="0"/>
          <c:delete val="1"/>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2"/>
          </a:solidFill>
          <a:ln w="19050">
            <a:solidFill>
              <a:schemeClr val="lt1"/>
            </a:solidFill>
          </a:ln>
          <a:effectLst/>
        </c:spPr>
      </c:pivotFmt>
      <c:pivotFmt>
        <c:idx val="572"/>
        <c:spPr>
          <a:solidFill>
            <a:schemeClr val="accent3"/>
          </a:solidFill>
          <a:ln w="19050">
            <a:solidFill>
              <a:schemeClr val="lt1"/>
            </a:solidFill>
          </a:ln>
          <a:effectLst/>
        </c:spPr>
      </c:pivotFmt>
      <c:pivotFmt>
        <c:idx val="573"/>
        <c:spPr>
          <a:solidFill>
            <a:schemeClr val="accent4"/>
          </a:solidFill>
          <a:ln w="19050">
            <a:solidFill>
              <a:schemeClr val="lt1"/>
            </a:solidFill>
          </a:ln>
          <a:effectLst/>
        </c:spPr>
      </c:pivotFmt>
      <c:pivotFmt>
        <c:idx val="574"/>
        <c:marker>
          <c:symbol val="none"/>
        </c:marker>
        <c:dLbl>
          <c:idx val="0"/>
          <c:delete val="1"/>
          <c:extLst>
            <c:ext xmlns:c15="http://schemas.microsoft.com/office/drawing/2012/chart" uri="{CE6537A1-D6FC-4f65-9D91-7224C49458BB}"/>
          </c:extLst>
        </c:dLbl>
      </c:pivotFmt>
      <c:pivotFmt>
        <c:idx val="575"/>
        <c:spPr>
          <a:solidFill>
            <a:schemeClr val="accent1"/>
          </a:solidFill>
          <a:ln w="19050">
            <a:solidFill>
              <a:schemeClr val="lt1"/>
            </a:solidFill>
          </a:ln>
          <a:effectLst/>
        </c:spPr>
      </c:pivotFmt>
      <c:pivotFmt>
        <c:idx val="576"/>
        <c:spPr>
          <a:solidFill>
            <a:schemeClr val="accent2"/>
          </a:solidFill>
          <a:ln w="19050">
            <a:solidFill>
              <a:schemeClr val="lt1"/>
            </a:solidFill>
          </a:ln>
          <a:effectLst/>
        </c:spPr>
      </c:pivotFmt>
      <c:pivotFmt>
        <c:idx val="577"/>
        <c:spPr>
          <a:solidFill>
            <a:schemeClr val="accent3"/>
          </a:solidFill>
          <a:ln w="19050">
            <a:solidFill>
              <a:schemeClr val="lt1"/>
            </a:solidFill>
          </a:ln>
          <a:effectLst/>
        </c:spPr>
      </c:pivotFmt>
      <c:pivotFmt>
        <c:idx val="578"/>
        <c:spPr>
          <a:solidFill>
            <a:schemeClr val="accent4"/>
          </a:solidFill>
          <a:ln w="19050">
            <a:solidFill>
              <a:schemeClr val="lt1"/>
            </a:solidFill>
          </a:ln>
          <a:effectLst/>
        </c:spPr>
      </c:pivotFmt>
      <c:pivotFmt>
        <c:idx val="579"/>
        <c:marker>
          <c:symbol val="none"/>
        </c:marker>
        <c:dLbl>
          <c:idx val="0"/>
          <c:delete val="1"/>
          <c:extLst>
            <c:ext xmlns:c15="http://schemas.microsoft.com/office/drawing/2012/chart" uri="{CE6537A1-D6FC-4f65-9D91-7224C49458BB}"/>
          </c:extLst>
        </c:dLbl>
      </c:pivotFmt>
      <c:pivotFmt>
        <c:idx val="580"/>
        <c:spPr>
          <a:solidFill>
            <a:schemeClr val="accent1"/>
          </a:solidFill>
          <a:ln w="19050">
            <a:solidFill>
              <a:schemeClr val="lt1"/>
            </a:solidFill>
          </a:ln>
          <a:effectLst/>
        </c:spPr>
      </c:pivotFmt>
      <c:pivotFmt>
        <c:idx val="581"/>
        <c:spPr>
          <a:solidFill>
            <a:schemeClr val="accent2"/>
          </a:solidFill>
          <a:ln w="19050">
            <a:solidFill>
              <a:schemeClr val="lt1"/>
            </a:solidFill>
          </a:ln>
          <a:effectLst/>
        </c:spPr>
      </c:pivotFmt>
      <c:pivotFmt>
        <c:idx val="582"/>
        <c:spPr>
          <a:solidFill>
            <a:schemeClr val="accent3"/>
          </a:solidFill>
          <a:ln w="19050">
            <a:solidFill>
              <a:schemeClr val="lt1"/>
            </a:solidFill>
          </a:ln>
          <a:effectLst/>
        </c:spPr>
      </c:pivotFmt>
      <c:pivotFmt>
        <c:idx val="583"/>
        <c:spPr>
          <a:solidFill>
            <a:schemeClr val="accent4"/>
          </a:solidFill>
          <a:ln w="19050">
            <a:solidFill>
              <a:schemeClr val="lt1"/>
            </a:solidFill>
          </a:ln>
          <a:effectLst/>
        </c:spPr>
      </c:pivotFmt>
      <c:pivotFmt>
        <c:idx val="584"/>
        <c:marker>
          <c:symbol val="none"/>
        </c:marker>
        <c:dLbl>
          <c:idx val="0"/>
          <c:delete val="1"/>
          <c:extLst>
            <c:ext xmlns:c15="http://schemas.microsoft.com/office/drawing/2012/chart" uri="{CE6537A1-D6FC-4f65-9D91-7224C49458BB}"/>
          </c:extLst>
        </c:dLbl>
      </c:pivotFmt>
      <c:pivotFmt>
        <c:idx val="585"/>
        <c:spPr>
          <a:solidFill>
            <a:schemeClr val="accent1"/>
          </a:solidFill>
          <a:ln w="19050">
            <a:solidFill>
              <a:schemeClr val="lt1"/>
            </a:solidFill>
          </a:ln>
          <a:effectLst/>
        </c:spPr>
      </c:pivotFmt>
      <c:pivotFmt>
        <c:idx val="586"/>
        <c:spPr>
          <a:solidFill>
            <a:schemeClr val="accent2"/>
          </a:solidFill>
          <a:ln w="19050">
            <a:solidFill>
              <a:schemeClr val="lt1"/>
            </a:solidFill>
          </a:ln>
          <a:effectLst/>
        </c:spPr>
      </c:pivotFmt>
      <c:pivotFmt>
        <c:idx val="587"/>
        <c:spPr>
          <a:solidFill>
            <a:schemeClr val="accent3"/>
          </a:solidFill>
          <a:ln w="19050">
            <a:solidFill>
              <a:schemeClr val="lt1"/>
            </a:solidFill>
          </a:ln>
          <a:effectLst/>
        </c:spPr>
      </c:pivotFmt>
      <c:pivotFmt>
        <c:idx val="588"/>
        <c:spPr>
          <a:solidFill>
            <a:schemeClr val="accent4"/>
          </a:solidFill>
          <a:ln w="19050">
            <a:solidFill>
              <a:schemeClr val="lt1"/>
            </a:solidFill>
          </a:ln>
          <a:effectLst/>
        </c:spPr>
      </c:pivotFmt>
      <c:pivotFmt>
        <c:idx val="589"/>
        <c:marker>
          <c:symbol val="none"/>
        </c:marker>
        <c:dLbl>
          <c:idx val="0"/>
          <c:delete val="1"/>
          <c:extLst>
            <c:ext xmlns:c15="http://schemas.microsoft.com/office/drawing/2012/chart" uri="{CE6537A1-D6FC-4f65-9D91-7224C49458BB}"/>
          </c:extLst>
        </c:dLbl>
      </c:pivotFmt>
      <c:pivotFmt>
        <c:idx val="590"/>
        <c:spPr>
          <a:solidFill>
            <a:schemeClr val="accent1"/>
          </a:solidFill>
          <a:ln w="19050">
            <a:solidFill>
              <a:schemeClr val="lt1"/>
            </a:solidFill>
          </a:ln>
          <a:effectLst/>
        </c:spPr>
      </c:pivotFmt>
      <c:pivotFmt>
        <c:idx val="591"/>
        <c:spPr>
          <a:solidFill>
            <a:schemeClr val="accent2"/>
          </a:solidFill>
          <a:ln w="19050">
            <a:solidFill>
              <a:schemeClr val="lt1"/>
            </a:solidFill>
          </a:ln>
          <a:effectLst/>
        </c:spPr>
      </c:pivotFmt>
      <c:pivotFmt>
        <c:idx val="592"/>
        <c:spPr>
          <a:solidFill>
            <a:schemeClr val="accent3"/>
          </a:solidFill>
          <a:ln w="19050">
            <a:solidFill>
              <a:schemeClr val="lt1"/>
            </a:solidFill>
          </a:ln>
          <a:effectLst/>
        </c:spPr>
      </c:pivotFmt>
      <c:pivotFmt>
        <c:idx val="593"/>
        <c:spPr>
          <a:solidFill>
            <a:schemeClr val="accent4"/>
          </a:solidFill>
          <a:ln w="19050">
            <a:solidFill>
              <a:schemeClr val="lt1"/>
            </a:solidFill>
          </a:ln>
          <a:effectLst/>
        </c:spPr>
      </c:pivotFmt>
      <c:pivotFmt>
        <c:idx val="594"/>
        <c:marker>
          <c:symbol val="none"/>
        </c:marker>
        <c:dLbl>
          <c:idx val="0"/>
          <c:delete val="1"/>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2"/>
          </a:solidFill>
          <a:ln w="19050">
            <a:solidFill>
              <a:schemeClr val="lt1"/>
            </a:solidFill>
          </a:ln>
          <a:effectLst/>
        </c:spPr>
      </c:pivotFmt>
      <c:pivotFmt>
        <c:idx val="597"/>
        <c:spPr>
          <a:solidFill>
            <a:schemeClr val="accent3"/>
          </a:solidFill>
          <a:ln w="19050">
            <a:solidFill>
              <a:schemeClr val="lt1"/>
            </a:solidFill>
          </a:ln>
          <a:effectLst/>
        </c:spPr>
      </c:pivotFmt>
      <c:pivotFmt>
        <c:idx val="598"/>
        <c:spPr>
          <a:solidFill>
            <a:schemeClr val="accent4"/>
          </a:solidFill>
          <a:ln w="19050">
            <a:solidFill>
              <a:schemeClr val="lt1"/>
            </a:solidFill>
          </a:ln>
          <a:effectLst/>
        </c:spPr>
      </c:pivotFmt>
      <c:pivotFmt>
        <c:idx val="599"/>
        <c:marker>
          <c:symbol val="none"/>
        </c:marker>
        <c:dLbl>
          <c:idx val="0"/>
          <c:delete val="1"/>
          <c:extLst>
            <c:ext xmlns:c15="http://schemas.microsoft.com/office/drawing/2012/chart" uri="{CE6537A1-D6FC-4f65-9D91-7224C49458BB}"/>
          </c:extLst>
        </c:dLbl>
      </c:pivotFmt>
      <c:pivotFmt>
        <c:idx val="600"/>
        <c:spPr>
          <a:solidFill>
            <a:schemeClr val="accent1"/>
          </a:solidFill>
          <a:ln w="19050">
            <a:solidFill>
              <a:schemeClr val="lt1"/>
            </a:solidFill>
          </a:ln>
          <a:effectLst/>
        </c:spPr>
      </c:pivotFmt>
      <c:pivotFmt>
        <c:idx val="601"/>
        <c:spPr>
          <a:solidFill>
            <a:schemeClr val="accent2"/>
          </a:solidFill>
          <a:ln w="19050">
            <a:solidFill>
              <a:schemeClr val="lt1"/>
            </a:solidFill>
          </a:ln>
          <a:effectLst/>
        </c:spPr>
      </c:pivotFmt>
      <c:pivotFmt>
        <c:idx val="602"/>
        <c:spPr>
          <a:solidFill>
            <a:schemeClr val="accent3"/>
          </a:solidFill>
          <a:ln w="19050">
            <a:solidFill>
              <a:schemeClr val="lt1"/>
            </a:solidFill>
          </a:ln>
          <a:effectLst/>
        </c:spPr>
      </c:pivotFmt>
      <c:pivotFmt>
        <c:idx val="603"/>
        <c:spPr>
          <a:solidFill>
            <a:schemeClr val="accent4"/>
          </a:solidFill>
          <a:ln w="19050">
            <a:solidFill>
              <a:schemeClr val="lt1"/>
            </a:solidFill>
          </a:ln>
          <a:effectLst/>
        </c:spPr>
      </c:pivotFmt>
      <c:pivotFmt>
        <c:idx val="604"/>
        <c:marker>
          <c:symbol val="none"/>
        </c:marker>
        <c:dLbl>
          <c:idx val="0"/>
          <c:delete val="1"/>
          <c:extLst>
            <c:ext xmlns:c15="http://schemas.microsoft.com/office/drawing/2012/chart" uri="{CE6537A1-D6FC-4f65-9D91-7224C49458BB}"/>
          </c:extLst>
        </c:dLbl>
      </c:pivotFmt>
      <c:pivotFmt>
        <c:idx val="605"/>
        <c:spPr>
          <a:solidFill>
            <a:schemeClr val="accent1"/>
          </a:solidFill>
          <a:ln w="19050">
            <a:solidFill>
              <a:schemeClr val="lt1"/>
            </a:solidFill>
          </a:ln>
          <a:effectLst/>
        </c:spPr>
      </c:pivotFmt>
      <c:pivotFmt>
        <c:idx val="606"/>
        <c:spPr>
          <a:solidFill>
            <a:schemeClr val="accent2"/>
          </a:solidFill>
          <a:ln w="19050">
            <a:solidFill>
              <a:schemeClr val="lt1"/>
            </a:solidFill>
          </a:ln>
          <a:effectLst/>
        </c:spPr>
      </c:pivotFmt>
      <c:pivotFmt>
        <c:idx val="607"/>
        <c:spPr>
          <a:solidFill>
            <a:schemeClr val="accent3"/>
          </a:solidFill>
          <a:ln w="19050">
            <a:solidFill>
              <a:schemeClr val="lt1"/>
            </a:solidFill>
          </a:ln>
          <a:effectLst/>
        </c:spPr>
      </c:pivotFmt>
      <c:pivotFmt>
        <c:idx val="608"/>
        <c:spPr>
          <a:solidFill>
            <a:schemeClr val="accent4"/>
          </a:solidFill>
          <a:ln w="19050">
            <a:solidFill>
              <a:schemeClr val="lt1"/>
            </a:solidFill>
          </a:ln>
          <a:effectLst/>
        </c:spPr>
      </c:pivotFmt>
      <c:pivotFmt>
        <c:idx val="609"/>
        <c:marker>
          <c:symbol val="none"/>
        </c:marker>
        <c:dLbl>
          <c:idx val="0"/>
          <c:delete val="1"/>
          <c:extLst>
            <c:ext xmlns:c15="http://schemas.microsoft.com/office/drawing/2012/chart" uri="{CE6537A1-D6FC-4f65-9D91-7224C49458BB}"/>
          </c:extLst>
        </c:dLbl>
      </c:pivotFmt>
      <c:pivotFmt>
        <c:idx val="610"/>
        <c:spPr>
          <a:solidFill>
            <a:schemeClr val="accent1"/>
          </a:solidFill>
          <a:ln w="19050">
            <a:solidFill>
              <a:schemeClr val="lt1"/>
            </a:solidFill>
          </a:ln>
          <a:effectLst/>
        </c:spPr>
      </c:pivotFmt>
      <c:pivotFmt>
        <c:idx val="611"/>
        <c:spPr>
          <a:solidFill>
            <a:schemeClr val="accent2"/>
          </a:solidFill>
          <a:ln w="19050">
            <a:solidFill>
              <a:schemeClr val="lt1"/>
            </a:solidFill>
          </a:ln>
          <a:effectLst/>
        </c:spPr>
      </c:pivotFmt>
      <c:pivotFmt>
        <c:idx val="612"/>
        <c:spPr>
          <a:solidFill>
            <a:schemeClr val="accent3"/>
          </a:solidFill>
          <a:ln w="19050">
            <a:solidFill>
              <a:schemeClr val="lt1"/>
            </a:solidFill>
          </a:ln>
          <a:effectLst/>
        </c:spPr>
      </c:pivotFmt>
      <c:pivotFmt>
        <c:idx val="613"/>
        <c:spPr>
          <a:solidFill>
            <a:schemeClr val="accent4"/>
          </a:solidFill>
          <a:ln w="19050">
            <a:solidFill>
              <a:schemeClr val="lt1"/>
            </a:solidFill>
          </a:ln>
          <a:effectLst/>
        </c:spPr>
      </c:pivotFmt>
      <c:pivotFmt>
        <c:idx val="614"/>
        <c:marker>
          <c:symbol val="none"/>
        </c:marker>
        <c:dLbl>
          <c:idx val="0"/>
          <c:delete val="1"/>
          <c:extLst>
            <c:ext xmlns:c15="http://schemas.microsoft.com/office/drawing/2012/chart" uri="{CE6537A1-D6FC-4f65-9D91-7224C49458BB}"/>
          </c:extLst>
        </c:dLbl>
      </c:pivotFmt>
      <c:pivotFmt>
        <c:idx val="615"/>
        <c:spPr>
          <a:solidFill>
            <a:schemeClr val="accent1"/>
          </a:solidFill>
          <a:ln w="19050">
            <a:solidFill>
              <a:schemeClr val="lt1"/>
            </a:solidFill>
          </a:ln>
          <a:effectLst/>
        </c:spPr>
      </c:pivotFmt>
      <c:pivotFmt>
        <c:idx val="616"/>
        <c:spPr>
          <a:solidFill>
            <a:schemeClr val="accent2"/>
          </a:solidFill>
          <a:ln w="19050">
            <a:solidFill>
              <a:schemeClr val="lt1"/>
            </a:solidFill>
          </a:ln>
          <a:effectLst/>
        </c:spPr>
      </c:pivotFmt>
      <c:pivotFmt>
        <c:idx val="617"/>
        <c:spPr>
          <a:solidFill>
            <a:schemeClr val="accent3"/>
          </a:solidFill>
          <a:ln w="19050">
            <a:solidFill>
              <a:schemeClr val="lt1"/>
            </a:solidFill>
          </a:ln>
          <a:effectLst/>
        </c:spPr>
      </c:pivotFmt>
      <c:pivotFmt>
        <c:idx val="618"/>
        <c:spPr>
          <a:solidFill>
            <a:schemeClr val="accent4"/>
          </a:solidFill>
          <a:ln w="19050">
            <a:solidFill>
              <a:schemeClr val="lt1"/>
            </a:solidFill>
          </a:ln>
          <a:effectLst/>
        </c:spPr>
      </c:pivotFmt>
      <c:pivotFmt>
        <c:idx val="619"/>
        <c:marker>
          <c:symbol val="none"/>
        </c:marker>
        <c:dLbl>
          <c:idx val="0"/>
          <c:delete val="1"/>
          <c:extLst>
            <c:ext xmlns:c15="http://schemas.microsoft.com/office/drawing/2012/chart" uri="{CE6537A1-D6FC-4f65-9D91-7224C49458BB}"/>
          </c:extLst>
        </c:dLbl>
      </c:pivotFmt>
      <c:pivotFmt>
        <c:idx val="620"/>
        <c:spPr>
          <a:solidFill>
            <a:schemeClr val="accent1"/>
          </a:solidFill>
          <a:ln w="19050">
            <a:solidFill>
              <a:schemeClr val="lt1"/>
            </a:solidFill>
          </a:ln>
          <a:effectLst/>
        </c:spPr>
      </c:pivotFmt>
      <c:pivotFmt>
        <c:idx val="621"/>
        <c:spPr>
          <a:solidFill>
            <a:schemeClr val="accent2"/>
          </a:solidFill>
          <a:ln w="19050">
            <a:solidFill>
              <a:schemeClr val="lt1"/>
            </a:solidFill>
          </a:ln>
          <a:effectLst/>
        </c:spPr>
      </c:pivotFmt>
      <c:pivotFmt>
        <c:idx val="622"/>
        <c:spPr>
          <a:solidFill>
            <a:schemeClr val="accent3"/>
          </a:solidFill>
          <a:ln w="19050">
            <a:solidFill>
              <a:schemeClr val="lt1"/>
            </a:solidFill>
          </a:ln>
          <a:effectLst/>
        </c:spPr>
      </c:pivotFmt>
      <c:pivotFmt>
        <c:idx val="623"/>
        <c:spPr>
          <a:solidFill>
            <a:schemeClr val="accent4"/>
          </a:solidFill>
          <a:ln w="19050">
            <a:solidFill>
              <a:schemeClr val="lt1"/>
            </a:solidFill>
          </a:ln>
          <a:effectLst/>
        </c:spPr>
      </c:pivotFmt>
      <c:pivotFmt>
        <c:idx val="624"/>
        <c:marker>
          <c:symbol val="none"/>
        </c:marker>
        <c:dLbl>
          <c:idx val="0"/>
          <c:delete val="1"/>
          <c:extLst>
            <c:ext xmlns:c15="http://schemas.microsoft.com/office/drawing/2012/chart" uri="{CE6537A1-D6FC-4f65-9D91-7224C49458BB}"/>
          </c:extLst>
        </c:dLbl>
      </c:pivotFmt>
      <c:pivotFmt>
        <c:idx val="625"/>
        <c:spPr>
          <a:solidFill>
            <a:schemeClr val="accent1"/>
          </a:solidFill>
          <a:ln w="19050">
            <a:solidFill>
              <a:schemeClr val="lt1"/>
            </a:solidFill>
          </a:ln>
          <a:effectLst/>
        </c:spPr>
      </c:pivotFmt>
      <c:pivotFmt>
        <c:idx val="626"/>
        <c:spPr>
          <a:solidFill>
            <a:schemeClr val="accent2"/>
          </a:solidFill>
          <a:ln w="19050">
            <a:solidFill>
              <a:schemeClr val="lt1"/>
            </a:solidFill>
          </a:ln>
          <a:effectLst/>
        </c:spPr>
      </c:pivotFmt>
      <c:pivotFmt>
        <c:idx val="627"/>
        <c:spPr>
          <a:solidFill>
            <a:schemeClr val="accent3"/>
          </a:solidFill>
          <a:ln w="19050">
            <a:solidFill>
              <a:schemeClr val="lt1"/>
            </a:solidFill>
          </a:ln>
          <a:effectLst/>
        </c:spPr>
      </c:pivotFmt>
      <c:pivotFmt>
        <c:idx val="628"/>
        <c:spPr>
          <a:solidFill>
            <a:schemeClr val="accent4"/>
          </a:solidFill>
          <a:ln w="19050">
            <a:solidFill>
              <a:schemeClr val="lt1"/>
            </a:solidFill>
          </a:ln>
          <a:effectLst/>
        </c:spPr>
      </c:pivotFmt>
      <c:pivotFmt>
        <c:idx val="629"/>
        <c:marker>
          <c:symbol val="none"/>
        </c:marker>
        <c:dLbl>
          <c:idx val="0"/>
          <c:delete val="1"/>
          <c:extLst>
            <c:ext xmlns:c15="http://schemas.microsoft.com/office/drawing/2012/chart" uri="{CE6537A1-D6FC-4f65-9D91-7224C49458BB}"/>
          </c:extLst>
        </c:dLbl>
      </c:pivotFmt>
      <c:pivotFmt>
        <c:idx val="630"/>
        <c:spPr>
          <a:solidFill>
            <a:schemeClr val="accent1"/>
          </a:solidFill>
          <a:ln w="19050">
            <a:solidFill>
              <a:schemeClr val="lt1"/>
            </a:solidFill>
          </a:ln>
          <a:effectLst/>
        </c:spPr>
      </c:pivotFmt>
      <c:pivotFmt>
        <c:idx val="631"/>
        <c:spPr>
          <a:solidFill>
            <a:schemeClr val="accent2"/>
          </a:solidFill>
          <a:ln w="19050">
            <a:solidFill>
              <a:schemeClr val="lt1"/>
            </a:solidFill>
          </a:ln>
          <a:effectLst/>
        </c:spPr>
      </c:pivotFmt>
      <c:pivotFmt>
        <c:idx val="632"/>
        <c:spPr>
          <a:solidFill>
            <a:schemeClr val="accent3"/>
          </a:solidFill>
          <a:ln w="19050">
            <a:solidFill>
              <a:schemeClr val="lt1"/>
            </a:solidFill>
          </a:ln>
          <a:effectLst/>
        </c:spPr>
      </c:pivotFmt>
      <c:pivotFmt>
        <c:idx val="633"/>
        <c:spPr>
          <a:solidFill>
            <a:schemeClr val="accent4"/>
          </a:solidFill>
          <a:ln w="19050">
            <a:solidFill>
              <a:schemeClr val="lt1"/>
            </a:solidFill>
          </a:ln>
          <a:effectLst/>
        </c:spPr>
      </c:pivotFmt>
      <c:pivotFmt>
        <c:idx val="634"/>
        <c:marker>
          <c:symbol val="none"/>
        </c:marker>
        <c:dLbl>
          <c:idx val="0"/>
          <c:delete val="1"/>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2"/>
          </a:solidFill>
          <a:ln w="19050">
            <a:solidFill>
              <a:schemeClr val="lt1"/>
            </a:solidFill>
          </a:ln>
          <a:effectLst/>
        </c:spPr>
      </c:pivotFmt>
      <c:pivotFmt>
        <c:idx val="637"/>
        <c:spPr>
          <a:solidFill>
            <a:schemeClr val="accent3"/>
          </a:solidFill>
          <a:ln w="19050">
            <a:solidFill>
              <a:schemeClr val="lt1"/>
            </a:solidFill>
          </a:ln>
          <a:effectLst/>
        </c:spPr>
      </c:pivotFmt>
      <c:pivotFmt>
        <c:idx val="638"/>
        <c:spPr>
          <a:solidFill>
            <a:schemeClr val="accent4"/>
          </a:solidFill>
          <a:ln w="19050">
            <a:solidFill>
              <a:schemeClr val="lt1"/>
            </a:solidFill>
          </a:ln>
          <a:effectLst/>
        </c:spPr>
      </c:pivotFmt>
      <c:pivotFmt>
        <c:idx val="639"/>
        <c:marker>
          <c:symbol val="none"/>
        </c:marker>
        <c:dLbl>
          <c:idx val="0"/>
          <c:delete val="1"/>
          <c:extLst>
            <c:ext xmlns:c15="http://schemas.microsoft.com/office/drawing/2012/chart" uri="{CE6537A1-D6FC-4f65-9D91-7224C49458BB}"/>
          </c:extLst>
        </c:dLbl>
      </c:pivotFmt>
      <c:pivotFmt>
        <c:idx val="640"/>
        <c:spPr>
          <a:solidFill>
            <a:schemeClr val="accent1"/>
          </a:solidFill>
          <a:ln w="19050">
            <a:solidFill>
              <a:schemeClr val="lt1"/>
            </a:solidFill>
          </a:ln>
          <a:effectLst/>
        </c:spPr>
      </c:pivotFmt>
      <c:pivotFmt>
        <c:idx val="641"/>
        <c:spPr>
          <a:solidFill>
            <a:schemeClr val="accent2"/>
          </a:solidFill>
          <a:ln w="19050">
            <a:solidFill>
              <a:schemeClr val="lt1"/>
            </a:solidFill>
          </a:ln>
          <a:effectLst/>
        </c:spPr>
      </c:pivotFmt>
      <c:pivotFmt>
        <c:idx val="642"/>
        <c:spPr>
          <a:solidFill>
            <a:schemeClr val="accent3"/>
          </a:solidFill>
          <a:ln w="19050">
            <a:solidFill>
              <a:schemeClr val="lt1"/>
            </a:solidFill>
          </a:ln>
          <a:effectLst/>
        </c:spPr>
      </c:pivotFmt>
      <c:pivotFmt>
        <c:idx val="643"/>
        <c:spPr>
          <a:solidFill>
            <a:schemeClr val="accent4"/>
          </a:solidFill>
          <a:ln w="19050">
            <a:solidFill>
              <a:schemeClr val="lt1"/>
            </a:solidFill>
          </a:ln>
          <a:effectLst/>
        </c:spPr>
      </c:pivotFmt>
      <c:pivotFmt>
        <c:idx val="644"/>
        <c:marker>
          <c:symbol val="none"/>
        </c:marker>
        <c:dLbl>
          <c:idx val="0"/>
          <c:delete val="1"/>
          <c:extLst>
            <c:ext xmlns:c15="http://schemas.microsoft.com/office/drawing/2012/chart" uri="{CE6537A1-D6FC-4f65-9D91-7224C49458BB}"/>
          </c:extLst>
        </c:dLbl>
      </c:pivotFmt>
      <c:pivotFmt>
        <c:idx val="645"/>
        <c:spPr>
          <a:solidFill>
            <a:schemeClr val="accent1"/>
          </a:solidFill>
          <a:ln w="19050">
            <a:solidFill>
              <a:schemeClr val="lt1"/>
            </a:solidFill>
          </a:ln>
          <a:effectLst/>
        </c:spPr>
      </c:pivotFmt>
      <c:pivotFmt>
        <c:idx val="646"/>
        <c:spPr>
          <a:solidFill>
            <a:schemeClr val="accent2"/>
          </a:solidFill>
          <a:ln w="19050">
            <a:solidFill>
              <a:schemeClr val="lt1"/>
            </a:solidFill>
          </a:ln>
          <a:effectLst/>
        </c:spPr>
      </c:pivotFmt>
      <c:pivotFmt>
        <c:idx val="647"/>
        <c:spPr>
          <a:solidFill>
            <a:schemeClr val="accent3"/>
          </a:solidFill>
          <a:ln w="19050">
            <a:solidFill>
              <a:schemeClr val="lt1"/>
            </a:solidFill>
          </a:ln>
          <a:effectLst/>
        </c:spPr>
      </c:pivotFmt>
      <c:pivotFmt>
        <c:idx val="648"/>
        <c:spPr>
          <a:solidFill>
            <a:schemeClr val="accent4"/>
          </a:solidFill>
          <a:ln w="19050">
            <a:solidFill>
              <a:schemeClr val="lt1"/>
            </a:solidFill>
          </a:ln>
          <a:effectLst/>
        </c:spPr>
      </c:pivotFmt>
      <c:pivotFmt>
        <c:idx val="649"/>
        <c:marker>
          <c:symbol val="none"/>
        </c:marker>
        <c:dLbl>
          <c:idx val="0"/>
          <c:delete val="1"/>
          <c:extLst>
            <c:ext xmlns:c15="http://schemas.microsoft.com/office/drawing/2012/chart" uri="{CE6537A1-D6FC-4f65-9D91-7224C49458BB}"/>
          </c:extLst>
        </c:dLbl>
      </c:pivotFmt>
      <c:pivotFmt>
        <c:idx val="650"/>
        <c:spPr>
          <a:solidFill>
            <a:schemeClr val="accent1"/>
          </a:solidFill>
          <a:ln w="19050">
            <a:solidFill>
              <a:schemeClr val="lt1"/>
            </a:solidFill>
          </a:ln>
          <a:effectLst/>
        </c:spPr>
      </c:pivotFmt>
      <c:pivotFmt>
        <c:idx val="651"/>
        <c:spPr>
          <a:solidFill>
            <a:schemeClr val="accent2"/>
          </a:solidFill>
          <a:ln w="19050">
            <a:solidFill>
              <a:schemeClr val="lt1"/>
            </a:solidFill>
          </a:ln>
          <a:effectLst/>
        </c:spPr>
      </c:pivotFmt>
      <c:pivotFmt>
        <c:idx val="652"/>
        <c:spPr>
          <a:solidFill>
            <a:schemeClr val="accent3"/>
          </a:solidFill>
          <a:ln w="19050">
            <a:solidFill>
              <a:schemeClr val="lt1"/>
            </a:solidFill>
          </a:ln>
          <a:effectLst/>
        </c:spPr>
      </c:pivotFmt>
      <c:pivotFmt>
        <c:idx val="653"/>
        <c:spPr>
          <a:solidFill>
            <a:schemeClr val="accent4"/>
          </a:solidFill>
          <a:ln w="19050">
            <a:solidFill>
              <a:schemeClr val="lt1"/>
            </a:solidFill>
          </a:ln>
          <a:effectLst/>
        </c:spPr>
      </c:pivotFmt>
      <c:pivotFmt>
        <c:idx val="654"/>
        <c:marker>
          <c:symbol val="none"/>
        </c:marker>
        <c:dLbl>
          <c:idx val="0"/>
          <c:delete val="1"/>
          <c:extLst>
            <c:ext xmlns:c15="http://schemas.microsoft.com/office/drawing/2012/chart" uri="{CE6537A1-D6FC-4f65-9D91-7224C49458BB}"/>
          </c:extLst>
        </c:dLbl>
      </c:pivotFmt>
      <c:pivotFmt>
        <c:idx val="655"/>
        <c:spPr>
          <a:solidFill>
            <a:schemeClr val="accent1"/>
          </a:solidFill>
          <a:ln w="19050">
            <a:solidFill>
              <a:schemeClr val="lt1"/>
            </a:solidFill>
          </a:ln>
          <a:effectLst/>
        </c:spPr>
      </c:pivotFmt>
      <c:pivotFmt>
        <c:idx val="656"/>
        <c:spPr>
          <a:solidFill>
            <a:schemeClr val="accent2"/>
          </a:solidFill>
          <a:ln w="19050">
            <a:solidFill>
              <a:schemeClr val="lt1"/>
            </a:solidFill>
          </a:ln>
          <a:effectLst/>
        </c:spPr>
      </c:pivotFmt>
      <c:pivotFmt>
        <c:idx val="657"/>
        <c:spPr>
          <a:solidFill>
            <a:schemeClr val="accent3"/>
          </a:solidFill>
          <a:ln w="19050">
            <a:solidFill>
              <a:schemeClr val="lt1"/>
            </a:solidFill>
          </a:ln>
          <a:effectLst/>
        </c:spPr>
      </c:pivotFmt>
      <c:pivotFmt>
        <c:idx val="658"/>
        <c:spPr>
          <a:solidFill>
            <a:schemeClr val="accent4"/>
          </a:solidFill>
          <a:ln w="19050">
            <a:solidFill>
              <a:schemeClr val="lt1"/>
            </a:solidFill>
          </a:ln>
          <a:effectLst/>
        </c:spPr>
      </c:pivotFmt>
      <c:pivotFmt>
        <c:idx val="659"/>
        <c:marker>
          <c:symbol val="none"/>
        </c:marker>
        <c:dLbl>
          <c:idx val="0"/>
          <c:delete val="1"/>
          <c:extLst>
            <c:ext xmlns:c15="http://schemas.microsoft.com/office/drawing/2012/chart" uri="{CE6537A1-D6FC-4f65-9D91-7224C49458BB}"/>
          </c:extLst>
        </c:dLbl>
      </c:pivotFmt>
      <c:pivotFmt>
        <c:idx val="660"/>
        <c:spPr>
          <a:solidFill>
            <a:schemeClr val="accent1"/>
          </a:solidFill>
          <a:ln w="19050">
            <a:solidFill>
              <a:schemeClr val="lt1"/>
            </a:solidFill>
          </a:ln>
          <a:effectLst/>
        </c:spPr>
      </c:pivotFmt>
      <c:pivotFmt>
        <c:idx val="661"/>
        <c:spPr>
          <a:solidFill>
            <a:schemeClr val="accent2"/>
          </a:solidFill>
          <a:ln w="19050">
            <a:solidFill>
              <a:schemeClr val="lt1"/>
            </a:solidFill>
          </a:ln>
          <a:effectLst/>
        </c:spPr>
      </c:pivotFmt>
      <c:pivotFmt>
        <c:idx val="662"/>
        <c:spPr>
          <a:solidFill>
            <a:schemeClr val="accent3"/>
          </a:solidFill>
          <a:ln w="19050">
            <a:solidFill>
              <a:schemeClr val="lt1"/>
            </a:solidFill>
          </a:ln>
          <a:effectLst/>
        </c:spPr>
      </c:pivotFmt>
      <c:pivotFmt>
        <c:idx val="663"/>
        <c:spPr>
          <a:solidFill>
            <a:schemeClr val="accent4"/>
          </a:solidFill>
          <a:ln w="19050">
            <a:solidFill>
              <a:schemeClr val="lt1"/>
            </a:solidFill>
          </a:ln>
          <a:effectLst/>
        </c:spPr>
      </c:pivotFmt>
      <c:pivotFmt>
        <c:idx val="664"/>
        <c:marker>
          <c:symbol val="none"/>
        </c:marker>
        <c:dLbl>
          <c:idx val="0"/>
          <c:delete val="1"/>
          <c:extLst>
            <c:ext xmlns:c15="http://schemas.microsoft.com/office/drawing/2012/chart" uri="{CE6537A1-D6FC-4f65-9D91-7224C49458BB}"/>
          </c:extLst>
        </c:dLbl>
      </c:pivotFmt>
      <c:pivotFmt>
        <c:idx val="665"/>
        <c:spPr>
          <a:solidFill>
            <a:schemeClr val="accent1"/>
          </a:solidFill>
          <a:ln w="19050">
            <a:solidFill>
              <a:schemeClr val="lt1"/>
            </a:solidFill>
          </a:ln>
          <a:effectLst/>
        </c:spPr>
      </c:pivotFmt>
      <c:pivotFmt>
        <c:idx val="666"/>
        <c:spPr>
          <a:solidFill>
            <a:schemeClr val="accent2"/>
          </a:solidFill>
          <a:ln w="19050">
            <a:solidFill>
              <a:schemeClr val="lt1"/>
            </a:solidFill>
          </a:ln>
          <a:effectLst/>
        </c:spPr>
      </c:pivotFmt>
      <c:pivotFmt>
        <c:idx val="667"/>
        <c:spPr>
          <a:solidFill>
            <a:schemeClr val="accent3"/>
          </a:solidFill>
          <a:ln w="19050">
            <a:solidFill>
              <a:schemeClr val="lt1"/>
            </a:solidFill>
          </a:ln>
          <a:effectLst/>
        </c:spPr>
      </c:pivotFmt>
      <c:pivotFmt>
        <c:idx val="668"/>
        <c:spPr>
          <a:solidFill>
            <a:schemeClr val="accent4"/>
          </a:solidFill>
          <a:ln w="19050">
            <a:solidFill>
              <a:schemeClr val="lt1"/>
            </a:solidFill>
          </a:ln>
          <a:effectLst/>
        </c:spPr>
      </c:pivotFmt>
      <c:pivotFmt>
        <c:idx val="669"/>
        <c:marker>
          <c:symbol val="none"/>
        </c:marker>
        <c:dLbl>
          <c:idx val="0"/>
          <c:delete val="1"/>
          <c:extLst>
            <c:ext xmlns:c15="http://schemas.microsoft.com/office/drawing/2012/chart" uri="{CE6537A1-D6FC-4f65-9D91-7224C49458BB}"/>
          </c:extLst>
        </c:dLbl>
      </c:pivotFmt>
      <c:pivotFmt>
        <c:idx val="670"/>
        <c:spPr>
          <a:solidFill>
            <a:schemeClr val="accent1"/>
          </a:solidFill>
          <a:ln w="19050">
            <a:solidFill>
              <a:schemeClr val="lt1"/>
            </a:solidFill>
          </a:ln>
          <a:effectLst/>
        </c:spPr>
      </c:pivotFmt>
      <c:pivotFmt>
        <c:idx val="671"/>
        <c:spPr>
          <a:solidFill>
            <a:schemeClr val="accent2"/>
          </a:solidFill>
          <a:ln w="19050">
            <a:solidFill>
              <a:schemeClr val="lt1"/>
            </a:solidFill>
          </a:ln>
          <a:effectLst/>
        </c:spPr>
      </c:pivotFmt>
      <c:pivotFmt>
        <c:idx val="672"/>
        <c:spPr>
          <a:solidFill>
            <a:schemeClr val="accent3"/>
          </a:solidFill>
          <a:ln w="19050">
            <a:solidFill>
              <a:schemeClr val="lt1"/>
            </a:solidFill>
          </a:ln>
          <a:effectLst/>
        </c:spPr>
      </c:pivotFmt>
      <c:pivotFmt>
        <c:idx val="673"/>
        <c:spPr>
          <a:solidFill>
            <a:schemeClr val="accent4"/>
          </a:solidFill>
          <a:ln w="19050">
            <a:solidFill>
              <a:schemeClr val="lt1"/>
            </a:solidFill>
          </a:ln>
          <a:effectLst/>
        </c:spPr>
      </c:pivotFmt>
      <c:pivotFmt>
        <c:idx val="674"/>
        <c:marker>
          <c:symbol val="none"/>
        </c:marker>
        <c:dLbl>
          <c:idx val="0"/>
          <c:delete val="1"/>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2"/>
          </a:solidFill>
          <a:ln w="19050">
            <a:solidFill>
              <a:schemeClr val="lt1"/>
            </a:solidFill>
          </a:ln>
          <a:effectLst/>
        </c:spPr>
      </c:pivotFmt>
      <c:pivotFmt>
        <c:idx val="677"/>
        <c:spPr>
          <a:solidFill>
            <a:schemeClr val="accent3"/>
          </a:solidFill>
          <a:ln w="19050">
            <a:solidFill>
              <a:schemeClr val="lt1"/>
            </a:solidFill>
          </a:ln>
          <a:effectLst/>
        </c:spPr>
      </c:pivotFmt>
      <c:pivotFmt>
        <c:idx val="678"/>
        <c:spPr>
          <a:solidFill>
            <a:schemeClr val="accent4"/>
          </a:solidFill>
          <a:ln w="19050">
            <a:solidFill>
              <a:schemeClr val="lt1"/>
            </a:solidFill>
          </a:ln>
          <a:effectLst/>
        </c:spPr>
      </c:pivotFmt>
      <c:pivotFmt>
        <c:idx val="679"/>
        <c:marker>
          <c:symbol val="none"/>
        </c:marker>
        <c:dLbl>
          <c:idx val="0"/>
          <c:delete val="1"/>
          <c:extLst>
            <c:ext xmlns:c15="http://schemas.microsoft.com/office/drawing/2012/chart" uri="{CE6537A1-D6FC-4f65-9D91-7224C49458BB}"/>
          </c:extLst>
        </c:dLbl>
      </c:pivotFmt>
      <c:pivotFmt>
        <c:idx val="680"/>
        <c:spPr>
          <a:solidFill>
            <a:schemeClr val="accent1"/>
          </a:solidFill>
          <a:ln w="19050">
            <a:solidFill>
              <a:schemeClr val="lt1"/>
            </a:solidFill>
          </a:ln>
          <a:effectLst/>
        </c:spPr>
      </c:pivotFmt>
      <c:pivotFmt>
        <c:idx val="681"/>
        <c:spPr>
          <a:solidFill>
            <a:schemeClr val="accent2"/>
          </a:solidFill>
          <a:ln w="19050">
            <a:solidFill>
              <a:schemeClr val="lt1"/>
            </a:solidFill>
          </a:ln>
          <a:effectLst/>
        </c:spPr>
      </c:pivotFmt>
      <c:pivotFmt>
        <c:idx val="682"/>
        <c:spPr>
          <a:solidFill>
            <a:schemeClr val="accent3"/>
          </a:solidFill>
          <a:ln w="19050">
            <a:solidFill>
              <a:schemeClr val="lt1"/>
            </a:solidFill>
          </a:ln>
          <a:effectLst/>
        </c:spPr>
      </c:pivotFmt>
      <c:pivotFmt>
        <c:idx val="683"/>
        <c:spPr>
          <a:solidFill>
            <a:schemeClr val="accent4"/>
          </a:solidFill>
          <a:ln w="19050">
            <a:solidFill>
              <a:schemeClr val="lt1"/>
            </a:solidFill>
          </a:ln>
          <a:effectLst/>
        </c:spPr>
      </c:pivotFmt>
      <c:pivotFmt>
        <c:idx val="684"/>
        <c:marker>
          <c:symbol val="none"/>
        </c:marker>
        <c:dLbl>
          <c:idx val="0"/>
          <c:delete val="1"/>
          <c:extLst>
            <c:ext xmlns:c15="http://schemas.microsoft.com/office/drawing/2012/chart" uri="{CE6537A1-D6FC-4f65-9D91-7224C49458BB}"/>
          </c:extLst>
        </c:dLbl>
      </c:pivotFmt>
      <c:pivotFmt>
        <c:idx val="685"/>
        <c:spPr>
          <a:solidFill>
            <a:schemeClr val="accent1"/>
          </a:solidFill>
          <a:ln w="19050">
            <a:solidFill>
              <a:schemeClr val="lt1"/>
            </a:solidFill>
          </a:ln>
          <a:effectLst/>
        </c:spPr>
      </c:pivotFmt>
      <c:pivotFmt>
        <c:idx val="686"/>
        <c:spPr>
          <a:solidFill>
            <a:schemeClr val="accent2"/>
          </a:solidFill>
          <a:ln w="19050">
            <a:solidFill>
              <a:schemeClr val="lt1"/>
            </a:solidFill>
          </a:ln>
          <a:effectLst/>
        </c:spPr>
      </c:pivotFmt>
      <c:pivotFmt>
        <c:idx val="687"/>
        <c:spPr>
          <a:solidFill>
            <a:schemeClr val="accent3"/>
          </a:solidFill>
          <a:ln w="19050">
            <a:solidFill>
              <a:schemeClr val="lt1"/>
            </a:solidFill>
          </a:ln>
          <a:effectLst/>
        </c:spPr>
      </c:pivotFmt>
      <c:pivotFmt>
        <c:idx val="688"/>
        <c:spPr>
          <a:solidFill>
            <a:schemeClr val="accent4"/>
          </a:solidFill>
          <a:ln w="19050">
            <a:solidFill>
              <a:schemeClr val="lt1"/>
            </a:solidFill>
          </a:ln>
          <a:effectLst/>
        </c:spPr>
      </c:pivotFmt>
      <c:pivotFmt>
        <c:idx val="689"/>
        <c:marker>
          <c:symbol val="none"/>
        </c:marker>
        <c:dLbl>
          <c:idx val="0"/>
          <c:delete val="1"/>
          <c:extLst>
            <c:ext xmlns:c15="http://schemas.microsoft.com/office/drawing/2012/chart" uri="{CE6537A1-D6FC-4f65-9D91-7224C49458BB}"/>
          </c:extLst>
        </c:dLbl>
      </c:pivotFmt>
      <c:pivotFmt>
        <c:idx val="690"/>
        <c:spPr>
          <a:solidFill>
            <a:schemeClr val="accent1"/>
          </a:solidFill>
          <a:ln w="19050">
            <a:solidFill>
              <a:schemeClr val="lt1"/>
            </a:solidFill>
          </a:ln>
          <a:effectLst/>
        </c:spPr>
      </c:pivotFmt>
      <c:pivotFmt>
        <c:idx val="691"/>
        <c:spPr>
          <a:solidFill>
            <a:schemeClr val="accent2"/>
          </a:solidFill>
          <a:ln w="19050">
            <a:solidFill>
              <a:schemeClr val="lt1"/>
            </a:solidFill>
          </a:ln>
          <a:effectLst/>
        </c:spPr>
      </c:pivotFmt>
      <c:pivotFmt>
        <c:idx val="692"/>
        <c:spPr>
          <a:solidFill>
            <a:schemeClr val="accent3"/>
          </a:solidFill>
          <a:ln w="19050">
            <a:solidFill>
              <a:schemeClr val="lt1"/>
            </a:solidFill>
          </a:ln>
          <a:effectLst/>
        </c:spPr>
      </c:pivotFmt>
      <c:pivotFmt>
        <c:idx val="693"/>
        <c:spPr>
          <a:solidFill>
            <a:schemeClr val="accent4"/>
          </a:solidFill>
          <a:ln w="19050">
            <a:solidFill>
              <a:schemeClr val="lt1"/>
            </a:solidFill>
          </a:ln>
          <a:effectLst/>
        </c:spPr>
      </c:pivotFmt>
      <c:pivotFmt>
        <c:idx val="694"/>
        <c:marker>
          <c:symbol val="none"/>
        </c:marker>
        <c:dLbl>
          <c:idx val="0"/>
          <c:delete val="1"/>
          <c:extLst>
            <c:ext xmlns:c15="http://schemas.microsoft.com/office/drawing/2012/chart" uri="{CE6537A1-D6FC-4f65-9D91-7224C49458BB}"/>
          </c:extLst>
        </c:dLbl>
      </c:pivotFmt>
      <c:pivotFmt>
        <c:idx val="695"/>
        <c:spPr>
          <a:solidFill>
            <a:schemeClr val="accent1"/>
          </a:solidFill>
          <a:ln w="19050">
            <a:solidFill>
              <a:schemeClr val="lt1"/>
            </a:solidFill>
          </a:ln>
          <a:effectLst/>
        </c:spPr>
      </c:pivotFmt>
      <c:pivotFmt>
        <c:idx val="696"/>
        <c:spPr>
          <a:solidFill>
            <a:schemeClr val="accent2"/>
          </a:solidFill>
          <a:ln w="19050">
            <a:solidFill>
              <a:schemeClr val="lt1"/>
            </a:solidFill>
          </a:ln>
          <a:effectLst/>
        </c:spPr>
      </c:pivotFmt>
      <c:pivotFmt>
        <c:idx val="697"/>
        <c:spPr>
          <a:solidFill>
            <a:schemeClr val="accent3"/>
          </a:solidFill>
          <a:ln w="19050">
            <a:solidFill>
              <a:schemeClr val="lt1"/>
            </a:solidFill>
          </a:ln>
          <a:effectLst/>
        </c:spPr>
      </c:pivotFmt>
      <c:pivotFmt>
        <c:idx val="698"/>
        <c:spPr>
          <a:solidFill>
            <a:schemeClr val="accent4"/>
          </a:solidFill>
          <a:ln w="19050">
            <a:solidFill>
              <a:schemeClr val="lt1"/>
            </a:solidFill>
          </a:ln>
          <a:effectLst/>
        </c:spPr>
      </c:pivotFmt>
      <c:pivotFmt>
        <c:idx val="699"/>
        <c:marker>
          <c:symbol val="none"/>
        </c:marker>
        <c:dLbl>
          <c:idx val="0"/>
          <c:delete val="1"/>
          <c:extLst>
            <c:ext xmlns:c15="http://schemas.microsoft.com/office/drawing/2012/chart" uri="{CE6537A1-D6FC-4f65-9D91-7224C49458BB}"/>
          </c:extLst>
        </c:dLbl>
      </c:pivotFmt>
      <c:pivotFmt>
        <c:idx val="700"/>
        <c:spPr>
          <a:solidFill>
            <a:schemeClr val="accent1"/>
          </a:solidFill>
          <a:ln w="19050">
            <a:solidFill>
              <a:schemeClr val="lt1"/>
            </a:solidFill>
          </a:ln>
          <a:effectLst/>
        </c:spPr>
      </c:pivotFmt>
      <c:pivotFmt>
        <c:idx val="701"/>
        <c:spPr>
          <a:solidFill>
            <a:schemeClr val="accent2"/>
          </a:solidFill>
          <a:ln w="19050">
            <a:solidFill>
              <a:schemeClr val="lt1"/>
            </a:solidFill>
          </a:ln>
          <a:effectLst/>
        </c:spPr>
      </c:pivotFmt>
      <c:pivotFmt>
        <c:idx val="702"/>
        <c:spPr>
          <a:solidFill>
            <a:schemeClr val="accent3"/>
          </a:solidFill>
          <a:ln w="19050">
            <a:solidFill>
              <a:schemeClr val="lt1"/>
            </a:solidFill>
          </a:ln>
          <a:effectLst/>
        </c:spPr>
      </c:pivotFmt>
      <c:pivotFmt>
        <c:idx val="703"/>
        <c:spPr>
          <a:solidFill>
            <a:schemeClr val="accent4"/>
          </a:solidFill>
          <a:ln w="19050">
            <a:solidFill>
              <a:schemeClr val="lt1"/>
            </a:solidFill>
          </a:ln>
          <a:effectLst/>
        </c:spPr>
      </c:pivotFmt>
      <c:pivotFmt>
        <c:idx val="704"/>
        <c:marker>
          <c:symbol val="none"/>
        </c:marker>
        <c:dLbl>
          <c:idx val="0"/>
          <c:delete val="1"/>
          <c:extLst>
            <c:ext xmlns:c15="http://schemas.microsoft.com/office/drawing/2012/chart" uri="{CE6537A1-D6FC-4f65-9D91-7224C49458BB}"/>
          </c:extLst>
        </c:dLbl>
      </c:pivotFmt>
      <c:pivotFmt>
        <c:idx val="705"/>
        <c:spPr>
          <a:solidFill>
            <a:schemeClr val="accent1"/>
          </a:solidFill>
          <a:ln w="19050">
            <a:solidFill>
              <a:schemeClr val="lt1"/>
            </a:solidFill>
          </a:ln>
          <a:effectLst/>
        </c:spPr>
      </c:pivotFmt>
      <c:pivotFmt>
        <c:idx val="706"/>
        <c:spPr>
          <a:solidFill>
            <a:schemeClr val="accent2"/>
          </a:solidFill>
          <a:ln w="19050">
            <a:solidFill>
              <a:schemeClr val="lt1"/>
            </a:solidFill>
          </a:ln>
          <a:effectLst/>
        </c:spPr>
      </c:pivotFmt>
      <c:pivotFmt>
        <c:idx val="707"/>
        <c:spPr>
          <a:solidFill>
            <a:schemeClr val="accent3"/>
          </a:solidFill>
          <a:ln w="19050">
            <a:solidFill>
              <a:schemeClr val="lt1"/>
            </a:solidFill>
          </a:ln>
          <a:effectLst/>
        </c:spPr>
      </c:pivotFmt>
      <c:pivotFmt>
        <c:idx val="708"/>
        <c:spPr>
          <a:solidFill>
            <a:schemeClr val="accent4"/>
          </a:solidFill>
          <a:ln w="19050">
            <a:solidFill>
              <a:schemeClr val="lt1"/>
            </a:solidFill>
          </a:ln>
          <a:effectLst/>
        </c:spPr>
      </c:pivotFmt>
      <c:pivotFmt>
        <c:idx val="709"/>
        <c:marker>
          <c:symbol val="none"/>
        </c:marker>
        <c:dLbl>
          <c:idx val="0"/>
          <c:delete val="1"/>
          <c:extLst>
            <c:ext xmlns:c15="http://schemas.microsoft.com/office/drawing/2012/chart" uri="{CE6537A1-D6FC-4f65-9D91-7224C49458BB}"/>
          </c:extLst>
        </c:dLbl>
      </c:pivotFmt>
      <c:pivotFmt>
        <c:idx val="710"/>
        <c:spPr>
          <a:solidFill>
            <a:schemeClr val="accent1"/>
          </a:solidFill>
          <a:ln w="19050">
            <a:solidFill>
              <a:schemeClr val="lt1"/>
            </a:solidFill>
          </a:ln>
          <a:effectLst/>
        </c:spPr>
      </c:pivotFmt>
      <c:pivotFmt>
        <c:idx val="711"/>
        <c:spPr>
          <a:solidFill>
            <a:schemeClr val="accent2"/>
          </a:solidFill>
          <a:ln w="19050">
            <a:solidFill>
              <a:schemeClr val="lt1"/>
            </a:solidFill>
          </a:ln>
          <a:effectLst/>
        </c:spPr>
      </c:pivotFmt>
      <c:pivotFmt>
        <c:idx val="712"/>
        <c:spPr>
          <a:solidFill>
            <a:schemeClr val="accent3"/>
          </a:solidFill>
          <a:ln w="19050">
            <a:solidFill>
              <a:schemeClr val="lt1"/>
            </a:solidFill>
          </a:ln>
          <a:effectLst/>
        </c:spPr>
      </c:pivotFmt>
      <c:pivotFmt>
        <c:idx val="713"/>
        <c:spPr>
          <a:solidFill>
            <a:schemeClr val="accent4"/>
          </a:solidFill>
          <a:ln w="19050">
            <a:solidFill>
              <a:schemeClr val="lt1"/>
            </a:solidFill>
          </a:ln>
          <a:effectLst/>
        </c:spPr>
      </c:pivotFmt>
      <c:pivotFmt>
        <c:idx val="714"/>
        <c:marker>
          <c:symbol val="none"/>
        </c:marker>
        <c:dLbl>
          <c:idx val="0"/>
          <c:delete val="1"/>
          <c:extLst>
            <c:ext xmlns:c15="http://schemas.microsoft.com/office/drawing/2012/chart" uri="{CE6537A1-D6FC-4f65-9D91-7224C49458BB}"/>
          </c:extLst>
        </c:dLbl>
      </c:pivotFmt>
      <c:pivotFmt>
        <c:idx val="715"/>
        <c:marker>
          <c:symbol val="none"/>
        </c:marker>
        <c:dLbl>
          <c:idx val="0"/>
          <c:delete val="1"/>
          <c:extLst>
            <c:ext xmlns:c15="http://schemas.microsoft.com/office/drawing/2012/chart" uri="{CE6537A1-D6FC-4f65-9D91-7224C49458BB}"/>
          </c:extLst>
        </c:dLbl>
      </c:pivotFmt>
      <c:pivotFmt>
        <c:idx val="716"/>
        <c:marker>
          <c:symbol val="none"/>
        </c:marker>
        <c:dLbl>
          <c:idx val="0"/>
          <c:delete val="1"/>
          <c:extLst>
            <c:ext xmlns:c15="http://schemas.microsoft.com/office/drawing/2012/chart" uri="{CE6537A1-D6FC-4f65-9D91-7224C49458BB}"/>
          </c:extLst>
        </c:dLbl>
      </c:pivotFmt>
      <c:pivotFmt>
        <c:idx val="717"/>
        <c:marker>
          <c:symbol val="none"/>
        </c:marker>
        <c:dLbl>
          <c:idx val="0"/>
          <c:delete val="1"/>
          <c:extLst>
            <c:ext xmlns:c15="http://schemas.microsoft.com/office/drawing/2012/chart" uri="{CE6537A1-D6FC-4f65-9D91-7224C49458BB}"/>
          </c:extLst>
        </c:dLbl>
      </c:pivotFmt>
      <c:pivotFmt>
        <c:idx val="718"/>
        <c:marker>
          <c:symbol val="none"/>
        </c:marker>
        <c:dLbl>
          <c:idx val="0"/>
          <c:delete val="1"/>
          <c:extLst>
            <c:ext xmlns:c15="http://schemas.microsoft.com/office/drawing/2012/chart" uri="{CE6537A1-D6FC-4f65-9D91-7224C49458BB}"/>
          </c:extLst>
        </c:dLbl>
      </c:pivotFmt>
      <c:pivotFmt>
        <c:idx val="719"/>
        <c:marker>
          <c:symbol val="none"/>
        </c:marker>
        <c:dLbl>
          <c:idx val="0"/>
          <c:delete val="1"/>
          <c:extLst>
            <c:ext xmlns:c15="http://schemas.microsoft.com/office/drawing/2012/chart" uri="{CE6537A1-D6FC-4f65-9D91-7224C49458BB}"/>
          </c:extLst>
        </c:dLbl>
      </c:pivotFmt>
      <c:pivotFmt>
        <c:idx val="720"/>
        <c:marker>
          <c:symbol val="none"/>
        </c:marker>
        <c:dLbl>
          <c:idx val="0"/>
          <c:delete val="1"/>
          <c:extLst>
            <c:ext xmlns:c15="http://schemas.microsoft.com/office/drawing/2012/chart" uri="{CE6537A1-D6FC-4f65-9D91-7224C49458BB}"/>
          </c:extLst>
        </c:dLbl>
      </c:pivotFmt>
      <c:pivotFmt>
        <c:idx val="721"/>
        <c:marker>
          <c:symbol val="none"/>
        </c:marker>
        <c:dLbl>
          <c:idx val="0"/>
          <c:delete val="1"/>
          <c:extLst>
            <c:ext xmlns:c15="http://schemas.microsoft.com/office/drawing/2012/chart" uri="{CE6537A1-D6FC-4f65-9D91-7224C49458BB}"/>
          </c:extLst>
        </c:dLbl>
      </c:pivotFmt>
      <c:pivotFmt>
        <c:idx val="722"/>
        <c:marker>
          <c:symbol val="none"/>
        </c:marker>
        <c:dLbl>
          <c:idx val="0"/>
          <c:delete val="1"/>
          <c:extLst>
            <c:ext xmlns:c15="http://schemas.microsoft.com/office/drawing/2012/chart" uri="{CE6537A1-D6FC-4f65-9D91-7224C49458BB}"/>
          </c:extLst>
        </c:dLbl>
      </c:pivotFmt>
      <c:pivotFmt>
        <c:idx val="723"/>
        <c:marker>
          <c:symbol val="none"/>
        </c:marker>
        <c:dLbl>
          <c:idx val="0"/>
          <c:delete val="1"/>
          <c:extLst>
            <c:ext xmlns:c15="http://schemas.microsoft.com/office/drawing/2012/chart" uri="{CE6537A1-D6FC-4f65-9D91-7224C49458BB}"/>
          </c:extLst>
        </c:dLbl>
      </c:pivotFmt>
      <c:pivotFmt>
        <c:idx val="724"/>
        <c:marker>
          <c:symbol val="none"/>
        </c:marker>
        <c:dLbl>
          <c:idx val="0"/>
          <c:delete val="1"/>
          <c:extLst>
            <c:ext xmlns:c15="http://schemas.microsoft.com/office/drawing/2012/chart" uri="{CE6537A1-D6FC-4f65-9D91-7224C49458BB}"/>
          </c:extLst>
        </c:dLbl>
      </c:pivotFmt>
      <c:pivotFmt>
        <c:idx val="725"/>
        <c:marker>
          <c:symbol val="none"/>
        </c:marker>
        <c:dLbl>
          <c:idx val="0"/>
          <c:delete val="1"/>
          <c:extLst>
            <c:ext xmlns:c15="http://schemas.microsoft.com/office/drawing/2012/chart" uri="{CE6537A1-D6FC-4f65-9D91-7224C49458BB}"/>
          </c:extLst>
        </c:dLbl>
      </c:pivotFmt>
      <c:pivotFmt>
        <c:idx val="726"/>
        <c:marker>
          <c:symbol val="none"/>
        </c:marker>
        <c:dLbl>
          <c:idx val="0"/>
          <c:delete val="1"/>
          <c:extLst>
            <c:ext xmlns:c15="http://schemas.microsoft.com/office/drawing/2012/chart" uri="{CE6537A1-D6FC-4f65-9D91-7224C49458BB}"/>
          </c:extLst>
        </c:dLbl>
      </c:pivotFmt>
      <c:pivotFmt>
        <c:idx val="727"/>
        <c:marker>
          <c:symbol val="none"/>
        </c:marker>
        <c:dLbl>
          <c:idx val="0"/>
          <c:delete val="1"/>
          <c:extLst>
            <c:ext xmlns:c15="http://schemas.microsoft.com/office/drawing/2012/chart" uri="{CE6537A1-D6FC-4f65-9D91-7224C49458BB}"/>
          </c:extLst>
        </c:dLbl>
      </c:pivotFmt>
      <c:pivotFmt>
        <c:idx val="728"/>
        <c:marker>
          <c:symbol val="none"/>
        </c:marker>
        <c:dLbl>
          <c:idx val="0"/>
          <c:delete val="1"/>
          <c:extLst>
            <c:ext xmlns:c15="http://schemas.microsoft.com/office/drawing/2012/chart" uri="{CE6537A1-D6FC-4f65-9D91-7224C49458BB}"/>
          </c:extLst>
        </c:dLbl>
      </c:pivotFmt>
      <c:pivotFmt>
        <c:idx val="729"/>
        <c:marker>
          <c:symbol val="none"/>
        </c:marker>
        <c:dLbl>
          <c:idx val="0"/>
          <c:delete val="1"/>
          <c:extLst>
            <c:ext xmlns:c15="http://schemas.microsoft.com/office/drawing/2012/chart" uri="{CE6537A1-D6FC-4f65-9D91-7224C49458BB}"/>
          </c:extLst>
        </c:dLbl>
      </c:pivotFmt>
      <c:pivotFmt>
        <c:idx val="730"/>
        <c:marker>
          <c:symbol val="none"/>
        </c:marker>
        <c:dLbl>
          <c:idx val="0"/>
          <c:delete val="1"/>
          <c:extLst>
            <c:ext xmlns:c15="http://schemas.microsoft.com/office/drawing/2012/chart" uri="{CE6537A1-D6FC-4f65-9D91-7224C49458BB}"/>
          </c:extLst>
        </c:dLbl>
      </c:pivotFmt>
      <c:pivotFmt>
        <c:idx val="731"/>
        <c:marker>
          <c:symbol val="none"/>
        </c:marker>
        <c:dLbl>
          <c:idx val="0"/>
          <c:delete val="1"/>
          <c:extLst>
            <c:ext xmlns:c15="http://schemas.microsoft.com/office/drawing/2012/chart" uri="{CE6537A1-D6FC-4f65-9D91-7224C49458BB}"/>
          </c:extLst>
        </c:dLbl>
      </c:pivotFmt>
      <c:pivotFmt>
        <c:idx val="732"/>
        <c:marker>
          <c:symbol val="none"/>
        </c:marker>
        <c:dLbl>
          <c:idx val="0"/>
          <c:delete val="1"/>
          <c:extLst>
            <c:ext xmlns:c15="http://schemas.microsoft.com/office/drawing/2012/chart" uri="{CE6537A1-D6FC-4f65-9D91-7224C49458BB}"/>
          </c:extLst>
        </c:dLbl>
      </c:pivotFmt>
      <c:pivotFmt>
        <c:idx val="733"/>
        <c:marker>
          <c:symbol val="none"/>
        </c:marker>
        <c:dLbl>
          <c:idx val="0"/>
          <c:delete val="1"/>
          <c:extLst>
            <c:ext xmlns:c15="http://schemas.microsoft.com/office/drawing/2012/chart" uri="{CE6537A1-D6FC-4f65-9D91-7224C49458BB}"/>
          </c:extLst>
        </c:dLbl>
      </c:pivotFmt>
      <c:pivotFmt>
        <c:idx val="734"/>
        <c:marker>
          <c:symbol val="none"/>
        </c:marker>
        <c:dLbl>
          <c:idx val="0"/>
          <c:delete val="1"/>
          <c:extLst>
            <c:ext xmlns:c15="http://schemas.microsoft.com/office/drawing/2012/chart" uri="{CE6537A1-D6FC-4f65-9D91-7224C49458BB}"/>
          </c:extLst>
        </c:dLbl>
      </c:pivotFmt>
      <c:pivotFmt>
        <c:idx val="735"/>
        <c:marker>
          <c:symbol val="none"/>
        </c:marker>
        <c:dLbl>
          <c:idx val="0"/>
          <c:delete val="1"/>
          <c:extLst>
            <c:ext xmlns:c15="http://schemas.microsoft.com/office/drawing/2012/chart" uri="{CE6537A1-D6FC-4f65-9D91-7224C49458BB}"/>
          </c:extLst>
        </c:dLbl>
      </c:pivotFmt>
      <c:pivotFmt>
        <c:idx val="736"/>
        <c:marker>
          <c:symbol val="none"/>
        </c:marker>
        <c:dLbl>
          <c:idx val="0"/>
          <c:delete val="1"/>
          <c:extLst>
            <c:ext xmlns:c15="http://schemas.microsoft.com/office/drawing/2012/chart" uri="{CE6537A1-D6FC-4f65-9D91-7224C49458BB}"/>
          </c:extLst>
        </c:dLbl>
      </c:pivotFmt>
      <c:pivotFmt>
        <c:idx val="737"/>
        <c:marker>
          <c:symbol val="none"/>
        </c:marker>
        <c:dLbl>
          <c:idx val="0"/>
          <c:delete val="1"/>
          <c:extLst>
            <c:ext xmlns:c15="http://schemas.microsoft.com/office/drawing/2012/chart" uri="{CE6537A1-D6FC-4f65-9D91-7224C49458BB}"/>
          </c:extLst>
        </c:dLbl>
      </c:pivotFmt>
      <c:pivotFmt>
        <c:idx val="738"/>
        <c:marker>
          <c:symbol val="none"/>
        </c:marker>
        <c:dLbl>
          <c:idx val="0"/>
          <c:delete val="1"/>
          <c:extLst>
            <c:ext xmlns:c15="http://schemas.microsoft.com/office/drawing/2012/chart" uri="{CE6537A1-D6FC-4f65-9D91-7224C49458BB}"/>
          </c:extLst>
        </c:dLbl>
      </c:pivotFmt>
      <c:pivotFmt>
        <c:idx val="739"/>
        <c:marker>
          <c:symbol val="none"/>
        </c:marker>
        <c:dLbl>
          <c:idx val="0"/>
          <c:delete val="1"/>
          <c:extLst>
            <c:ext xmlns:c15="http://schemas.microsoft.com/office/drawing/2012/chart" uri="{CE6537A1-D6FC-4f65-9D91-7224C49458BB}"/>
          </c:extLst>
        </c:dLbl>
      </c:pivotFmt>
      <c:pivotFmt>
        <c:idx val="740"/>
        <c:marker>
          <c:symbol val="none"/>
        </c:marker>
        <c:dLbl>
          <c:idx val="0"/>
          <c:delete val="1"/>
          <c:extLst>
            <c:ext xmlns:c15="http://schemas.microsoft.com/office/drawing/2012/chart" uri="{CE6537A1-D6FC-4f65-9D91-7224C49458BB}"/>
          </c:extLst>
        </c:dLbl>
      </c:pivotFmt>
      <c:pivotFmt>
        <c:idx val="741"/>
        <c:marker>
          <c:symbol val="none"/>
        </c:marker>
        <c:dLbl>
          <c:idx val="0"/>
          <c:delete val="1"/>
          <c:extLst>
            <c:ext xmlns:c15="http://schemas.microsoft.com/office/drawing/2012/chart" uri="{CE6537A1-D6FC-4f65-9D91-7224C49458BB}"/>
          </c:extLst>
        </c:dLbl>
      </c:pivotFmt>
      <c:pivotFmt>
        <c:idx val="742"/>
        <c:marker>
          <c:symbol val="none"/>
        </c:marker>
        <c:dLbl>
          <c:idx val="0"/>
          <c:delete val="1"/>
          <c:extLst>
            <c:ext xmlns:c15="http://schemas.microsoft.com/office/drawing/2012/chart" uri="{CE6537A1-D6FC-4f65-9D91-7224C49458BB}"/>
          </c:extLst>
        </c:dLbl>
      </c:pivotFmt>
      <c:pivotFmt>
        <c:idx val="743"/>
        <c:marker>
          <c:symbol val="none"/>
        </c:marker>
        <c:dLbl>
          <c:idx val="0"/>
          <c:delete val="1"/>
          <c:extLst>
            <c:ext xmlns:c15="http://schemas.microsoft.com/office/drawing/2012/chart" uri="{CE6537A1-D6FC-4f65-9D91-7224C49458BB}"/>
          </c:extLst>
        </c:dLbl>
      </c:pivotFmt>
      <c:pivotFmt>
        <c:idx val="744"/>
        <c:marker>
          <c:symbol val="none"/>
        </c:marker>
        <c:dLbl>
          <c:idx val="0"/>
          <c:delete val="1"/>
          <c:extLst>
            <c:ext xmlns:c15="http://schemas.microsoft.com/office/drawing/2012/chart" uri="{CE6537A1-D6FC-4f65-9D91-7224C49458BB}"/>
          </c:extLst>
        </c:dLbl>
      </c:pivotFmt>
      <c:pivotFmt>
        <c:idx val="745"/>
        <c:marker>
          <c:symbol val="none"/>
        </c:marker>
        <c:dLbl>
          <c:idx val="0"/>
          <c:delete val="1"/>
          <c:extLst>
            <c:ext xmlns:c15="http://schemas.microsoft.com/office/drawing/2012/chart" uri="{CE6537A1-D6FC-4f65-9D91-7224C49458BB}"/>
          </c:extLst>
        </c:dLbl>
      </c:pivotFmt>
      <c:pivotFmt>
        <c:idx val="746"/>
        <c:marker>
          <c:symbol val="none"/>
        </c:marker>
        <c:dLbl>
          <c:idx val="0"/>
          <c:delete val="1"/>
          <c:extLst>
            <c:ext xmlns:c15="http://schemas.microsoft.com/office/drawing/2012/chart" uri="{CE6537A1-D6FC-4f65-9D91-7224C49458BB}"/>
          </c:extLst>
        </c:dLbl>
      </c:pivotFmt>
      <c:pivotFmt>
        <c:idx val="747"/>
        <c:marker>
          <c:symbol val="none"/>
        </c:marker>
        <c:dLbl>
          <c:idx val="0"/>
          <c:delete val="1"/>
          <c:extLst>
            <c:ext xmlns:c15="http://schemas.microsoft.com/office/drawing/2012/chart" uri="{CE6537A1-D6FC-4f65-9D91-7224C49458BB}"/>
          </c:extLst>
        </c:dLbl>
      </c:pivotFmt>
      <c:pivotFmt>
        <c:idx val="748"/>
        <c:marker>
          <c:symbol val="none"/>
        </c:marker>
        <c:dLbl>
          <c:idx val="0"/>
          <c:delete val="1"/>
          <c:extLst>
            <c:ext xmlns:c15="http://schemas.microsoft.com/office/drawing/2012/chart" uri="{CE6537A1-D6FC-4f65-9D91-7224C49458BB}"/>
          </c:extLst>
        </c:dLbl>
      </c:pivotFmt>
      <c:pivotFmt>
        <c:idx val="749"/>
        <c:marker>
          <c:symbol val="none"/>
        </c:marker>
        <c:dLbl>
          <c:idx val="0"/>
          <c:delete val="1"/>
          <c:extLst>
            <c:ext xmlns:c15="http://schemas.microsoft.com/office/drawing/2012/chart" uri="{CE6537A1-D6FC-4f65-9D91-7224C49458BB}"/>
          </c:extLst>
        </c:dLbl>
      </c:pivotFmt>
      <c:pivotFmt>
        <c:idx val="750"/>
        <c:marker>
          <c:symbol val="none"/>
        </c:marker>
        <c:dLbl>
          <c:idx val="0"/>
          <c:delete val="1"/>
          <c:extLst>
            <c:ext xmlns:c15="http://schemas.microsoft.com/office/drawing/2012/chart" uri="{CE6537A1-D6FC-4f65-9D91-7224C49458BB}"/>
          </c:extLst>
        </c:dLbl>
      </c:pivotFmt>
      <c:pivotFmt>
        <c:idx val="751"/>
        <c:marker>
          <c:symbol val="none"/>
        </c:marker>
        <c:dLbl>
          <c:idx val="0"/>
          <c:delete val="1"/>
          <c:extLst>
            <c:ext xmlns:c15="http://schemas.microsoft.com/office/drawing/2012/chart" uri="{CE6537A1-D6FC-4f65-9D91-7224C49458BB}"/>
          </c:extLst>
        </c:dLbl>
      </c:pivotFmt>
      <c:pivotFmt>
        <c:idx val="752"/>
        <c:marker>
          <c:symbol val="none"/>
        </c:marker>
        <c:dLbl>
          <c:idx val="0"/>
          <c:delete val="1"/>
          <c:extLst>
            <c:ext xmlns:c15="http://schemas.microsoft.com/office/drawing/2012/chart" uri="{CE6537A1-D6FC-4f65-9D91-7224C49458BB}"/>
          </c:extLst>
        </c:dLbl>
      </c:pivotFmt>
      <c:pivotFmt>
        <c:idx val="753"/>
        <c:marker>
          <c:symbol val="none"/>
        </c:marker>
        <c:dLbl>
          <c:idx val="0"/>
          <c:delete val="1"/>
          <c:extLst>
            <c:ext xmlns:c15="http://schemas.microsoft.com/office/drawing/2012/chart" uri="{CE6537A1-D6FC-4f65-9D91-7224C49458BB}"/>
          </c:extLst>
        </c:dLbl>
      </c:pivotFmt>
      <c:pivotFmt>
        <c:idx val="754"/>
        <c:marker>
          <c:symbol val="none"/>
        </c:marker>
        <c:dLbl>
          <c:idx val="0"/>
          <c:delete val="1"/>
          <c:extLst>
            <c:ext xmlns:c15="http://schemas.microsoft.com/office/drawing/2012/chart" uri="{CE6537A1-D6FC-4f65-9D91-7224C49458BB}"/>
          </c:extLst>
        </c:dLbl>
      </c:pivotFmt>
      <c:pivotFmt>
        <c:idx val="755"/>
        <c:marker>
          <c:symbol val="none"/>
        </c:marker>
        <c:dLbl>
          <c:idx val="0"/>
          <c:delete val="1"/>
          <c:extLst>
            <c:ext xmlns:c15="http://schemas.microsoft.com/office/drawing/2012/chart" uri="{CE6537A1-D6FC-4f65-9D91-7224C49458BB}"/>
          </c:extLst>
        </c:dLbl>
      </c:pivotFmt>
      <c:pivotFmt>
        <c:idx val="756"/>
        <c:marker>
          <c:symbol val="none"/>
        </c:marker>
        <c:dLbl>
          <c:idx val="0"/>
          <c:delete val="1"/>
          <c:extLst>
            <c:ext xmlns:c15="http://schemas.microsoft.com/office/drawing/2012/chart" uri="{CE6537A1-D6FC-4f65-9D91-7224C49458BB}"/>
          </c:extLst>
        </c:dLbl>
      </c:pivotFmt>
      <c:pivotFmt>
        <c:idx val="757"/>
        <c:marker>
          <c:symbol val="none"/>
        </c:marker>
        <c:dLbl>
          <c:idx val="0"/>
          <c:delete val="1"/>
          <c:extLst>
            <c:ext xmlns:c15="http://schemas.microsoft.com/office/drawing/2012/chart" uri="{CE6537A1-D6FC-4f65-9D91-7224C49458BB}"/>
          </c:extLst>
        </c:dLbl>
      </c:pivotFmt>
      <c:pivotFmt>
        <c:idx val="758"/>
        <c:marker>
          <c:symbol val="none"/>
        </c:marker>
        <c:dLbl>
          <c:idx val="0"/>
          <c:delete val="1"/>
          <c:extLst>
            <c:ext xmlns:c15="http://schemas.microsoft.com/office/drawing/2012/chart" uri="{CE6537A1-D6FC-4f65-9D91-7224C49458BB}"/>
          </c:extLst>
        </c:dLbl>
      </c:pivotFmt>
      <c:pivotFmt>
        <c:idx val="759"/>
        <c:marker>
          <c:symbol val="none"/>
        </c:marker>
        <c:dLbl>
          <c:idx val="0"/>
          <c:delete val="1"/>
          <c:extLst>
            <c:ext xmlns:c15="http://schemas.microsoft.com/office/drawing/2012/chart" uri="{CE6537A1-D6FC-4f65-9D91-7224C49458BB}"/>
          </c:extLst>
        </c:dLbl>
      </c:pivotFmt>
      <c:pivotFmt>
        <c:idx val="760"/>
        <c:marker>
          <c:symbol val="none"/>
        </c:marker>
        <c:dLbl>
          <c:idx val="0"/>
          <c:delete val="1"/>
          <c:extLst>
            <c:ext xmlns:c15="http://schemas.microsoft.com/office/drawing/2012/chart" uri="{CE6537A1-D6FC-4f65-9D91-7224C49458BB}"/>
          </c:extLst>
        </c:dLbl>
      </c:pivotFmt>
      <c:pivotFmt>
        <c:idx val="761"/>
        <c:marker>
          <c:symbol val="none"/>
        </c:marker>
        <c:dLbl>
          <c:idx val="0"/>
          <c:delete val="1"/>
          <c:extLst>
            <c:ext xmlns:c15="http://schemas.microsoft.com/office/drawing/2012/chart" uri="{CE6537A1-D6FC-4f65-9D91-7224C49458BB}"/>
          </c:extLst>
        </c:dLbl>
      </c:pivotFmt>
      <c:pivotFmt>
        <c:idx val="762"/>
        <c:marker>
          <c:symbol val="none"/>
        </c:marker>
        <c:dLbl>
          <c:idx val="0"/>
          <c:delete val="1"/>
          <c:extLst>
            <c:ext xmlns:c15="http://schemas.microsoft.com/office/drawing/2012/chart" uri="{CE6537A1-D6FC-4f65-9D91-7224C49458BB}"/>
          </c:extLst>
        </c:dLbl>
      </c:pivotFmt>
      <c:pivotFmt>
        <c:idx val="763"/>
        <c:marker>
          <c:symbol val="none"/>
        </c:marker>
        <c:dLbl>
          <c:idx val="0"/>
          <c:delete val="1"/>
          <c:extLst>
            <c:ext xmlns:c15="http://schemas.microsoft.com/office/drawing/2012/chart" uri="{CE6537A1-D6FC-4f65-9D91-7224C49458BB}"/>
          </c:extLst>
        </c:dLbl>
      </c:pivotFmt>
      <c:pivotFmt>
        <c:idx val="764"/>
        <c:marker>
          <c:symbol val="none"/>
        </c:marker>
        <c:dLbl>
          <c:idx val="0"/>
          <c:delete val="1"/>
          <c:extLst>
            <c:ext xmlns:c15="http://schemas.microsoft.com/office/drawing/2012/chart" uri="{CE6537A1-D6FC-4f65-9D91-7224C49458BB}"/>
          </c:extLst>
        </c:dLbl>
      </c:pivotFmt>
      <c:pivotFmt>
        <c:idx val="765"/>
        <c:marker>
          <c:symbol val="none"/>
        </c:marker>
        <c:dLbl>
          <c:idx val="0"/>
          <c:delete val="1"/>
          <c:extLst>
            <c:ext xmlns:c15="http://schemas.microsoft.com/office/drawing/2012/chart" uri="{CE6537A1-D6FC-4f65-9D91-7224C49458BB}"/>
          </c:extLst>
        </c:dLbl>
      </c:pivotFmt>
      <c:pivotFmt>
        <c:idx val="766"/>
        <c:marker>
          <c:symbol val="none"/>
        </c:marker>
        <c:dLbl>
          <c:idx val="0"/>
          <c:delete val="1"/>
          <c:extLst>
            <c:ext xmlns:c15="http://schemas.microsoft.com/office/drawing/2012/chart" uri="{CE6537A1-D6FC-4f65-9D91-7224C49458BB}"/>
          </c:extLst>
        </c:dLbl>
      </c:pivotFmt>
      <c:pivotFmt>
        <c:idx val="767"/>
        <c:marker>
          <c:symbol val="none"/>
        </c:marker>
        <c:dLbl>
          <c:idx val="0"/>
          <c:delete val="1"/>
          <c:extLst>
            <c:ext xmlns:c15="http://schemas.microsoft.com/office/drawing/2012/chart" uri="{CE6537A1-D6FC-4f65-9D91-7224C49458BB}"/>
          </c:extLst>
        </c:dLbl>
      </c:pivotFmt>
      <c:pivotFmt>
        <c:idx val="768"/>
        <c:marker>
          <c:symbol val="none"/>
        </c:marker>
        <c:dLbl>
          <c:idx val="0"/>
          <c:delete val="1"/>
          <c:extLst>
            <c:ext xmlns:c15="http://schemas.microsoft.com/office/drawing/2012/chart" uri="{CE6537A1-D6FC-4f65-9D91-7224C49458BB}"/>
          </c:extLst>
        </c:dLbl>
      </c:pivotFmt>
      <c:pivotFmt>
        <c:idx val="769"/>
        <c:marker>
          <c:symbol val="none"/>
        </c:marker>
        <c:dLbl>
          <c:idx val="0"/>
          <c:delete val="1"/>
          <c:extLst>
            <c:ext xmlns:c15="http://schemas.microsoft.com/office/drawing/2012/chart" uri="{CE6537A1-D6FC-4f65-9D91-7224C49458BB}"/>
          </c:extLst>
        </c:dLbl>
      </c:pivotFmt>
      <c:pivotFmt>
        <c:idx val="770"/>
        <c:marker>
          <c:symbol val="none"/>
        </c:marker>
        <c:dLbl>
          <c:idx val="0"/>
          <c:delete val="1"/>
          <c:extLst>
            <c:ext xmlns:c15="http://schemas.microsoft.com/office/drawing/2012/chart" uri="{CE6537A1-D6FC-4f65-9D91-7224C49458BB}"/>
          </c:extLst>
        </c:dLbl>
      </c:pivotFmt>
      <c:pivotFmt>
        <c:idx val="771"/>
        <c:marker>
          <c:symbol val="none"/>
        </c:marker>
        <c:dLbl>
          <c:idx val="0"/>
          <c:delete val="1"/>
          <c:extLst>
            <c:ext xmlns:c15="http://schemas.microsoft.com/office/drawing/2012/chart" uri="{CE6537A1-D6FC-4f65-9D91-7224C49458BB}"/>
          </c:extLst>
        </c:dLbl>
      </c:pivotFmt>
      <c:pivotFmt>
        <c:idx val="772"/>
        <c:marker>
          <c:symbol val="none"/>
        </c:marker>
        <c:dLbl>
          <c:idx val="0"/>
          <c:delete val="1"/>
          <c:extLst>
            <c:ext xmlns:c15="http://schemas.microsoft.com/office/drawing/2012/chart" uri="{CE6537A1-D6FC-4f65-9D91-7224C49458BB}"/>
          </c:extLst>
        </c:dLbl>
      </c:pivotFmt>
      <c:pivotFmt>
        <c:idx val="773"/>
        <c:marker>
          <c:symbol val="none"/>
        </c:marker>
        <c:dLbl>
          <c:idx val="0"/>
          <c:delete val="1"/>
          <c:extLst>
            <c:ext xmlns:c15="http://schemas.microsoft.com/office/drawing/2012/chart" uri="{CE6537A1-D6FC-4f65-9D91-7224C49458BB}"/>
          </c:extLst>
        </c:dLbl>
      </c:pivotFmt>
      <c:pivotFmt>
        <c:idx val="774"/>
        <c:marker>
          <c:symbol val="none"/>
        </c:marker>
        <c:dLbl>
          <c:idx val="0"/>
          <c:delete val="1"/>
          <c:extLst>
            <c:ext xmlns:c15="http://schemas.microsoft.com/office/drawing/2012/chart" uri="{CE6537A1-D6FC-4f65-9D91-7224C49458BB}"/>
          </c:extLst>
        </c:dLbl>
      </c:pivotFmt>
      <c:pivotFmt>
        <c:idx val="775"/>
        <c:marker>
          <c:symbol val="none"/>
        </c:marker>
        <c:dLbl>
          <c:idx val="0"/>
          <c:delete val="1"/>
          <c:extLst>
            <c:ext xmlns:c15="http://schemas.microsoft.com/office/drawing/2012/chart" uri="{CE6537A1-D6FC-4f65-9D91-7224C49458BB}"/>
          </c:extLst>
        </c:dLbl>
      </c:pivotFmt>
      <c:pivotFmt>
        <c:idx val="776"/>
        <c:marker>
          <c:symbol val="none"/>
        </c:marker>
        <c:dLbl>
          <c:idx val="0"/>
          <c:delete val="1"/>
          <c:extLst>
            <c:ext xmlns:c15="http://schemas.microsoft.com/office/drawing/2012/chart" uri="{CE6537A1-D6FC-4f65-9D91-7224C49458BB}"/>
          </c:extLst>
        </c:dLbl>
      </c:pivotFmt>
      <c:pivotFmt>
        <c:idx val="777"/>
        <c:marker>
          <c:symbol val="none"/>
        </c:marker>
        <c:dLbl>
          <c:idx val="0"/>
          <c:delete val="1"/>
          <c:extLst>
            <c:ext xmlns:c15="http://schemas.microsoft.com/office/drawing/2012/chart" uri="{CE6537A1-D6FC-4f65-9D91-7224C49458BB}"/>
          </c:extLst>
        </c:dLbl>
      </c:pivotFmt>
      <c:pivotFmt>
        <c:idx val="778"/>
        <c:marker>
          <c:symbol val="none"/>
        </c:marker>
        <c:dLbl>
          <c:idx val="0"/>
          <c:delete val="1"/>
          <c:extLst>
            <c:ext xmlns:c15="http://schemas.microsoft.com/office/drawing/2012/chart" uri="{CE6537A1-D6FC-4f65-9D91-7224C49458BB}"/>
          </c:extLst>
        </c:dLbl>
      </c:pivotFmt>
      <c:pivotFmt>
        <c:idx val="779"/>
        <c:marker>
          <c:symbol val="none"/>
        </c:marker>
        <c:dLbl>
          <c:idx val="0"/>
          <c:delete val="1"/>
          <c:extLst>
            <c:ext xmlns:c15="http://schemas.microsoft.com/office/drawing/2012/chart" uri="{CE6537A1-D6FC-4f65-9D91-7224C49458BB}"/>
          </c:extLst>
        </c:dLbl>
      </c:pivotFmt>
      <c:pivotFmt>
        <c:idx val="780"/>
        <c:marker>
          <c:symbol val="none"/>
        </c:marker>
        <c:dLbl>
          <c:idx val="0"/>
          <c:delete val="1"/>
          <c:extLst>
            <c:ext xmlns:c15="http://schemas.microsoft.com/office/drawing/2012/chart" uri="{CE6537A1-D6FC-4f65-9D91-7224C49458BB}"/>
          </c:extLst>
        </c:dLbl>
      </c:pivotFmt>
      <c:pivotFmt>
        <c:idx val="781"/>
        <c:marker>
          <c:symbol val="none"/>
        </c:marker>
        <c:dLbl>
          <c:idx val="0"/>
          <c:delete val="1"/>
          <c:extLst>
            <c:ext xmlns:c15="http://schemas.microsoft.com/office/drawing/2012/chart" uri="{CE6537A1-D6FC-4f65-9D91-7224C49458BB}"/>
          </c:extLst>
        </c:dLbl>
      </c:pivotFmt>
      <c:pivotFmt>
        <c:idx val="782"/>
        <c:marker>
          <c:symbol val="none"/>
        </c:marker>
        <c:dLbl>
          <c:idx val="0"/>
          <c:delete val="1"/>
          <c:extLst>
            <c:ext xmlns:c15="http://schemas.microsoft.com/office/drawing/2012/chart" uri="{CE6537A1-D6FC-4f65-9D91-7224C49458BB}"/>
          </c:extLst>
        </c:dLbl>
      </c:pivotFmt>
      <c:pivotFmt>
        <c:idx val="783"/>
        <c:marker>
          <c:symbol val="none"/>
        </c:marker>
        <c:dLbl>
          <c:idx val="0"/>
          <c:delete val="1"/>
          <c:extLst>
            <c:ext xmlns:c15="http://schemas.microsoft.com/office/drawing/2012/chart" uri="{CE6537A1-D6FC-4f65-9D91-7224C49458BB}"/>
          </c:extLst>
        </c:dLbl>
      </c:pivotFmt>
      <c:pivotFmt>
        <c:idx val="784"/>
        <c:marker>
          <c:symbol val="none"/>
        </c:marker>
        <c:dLbl>
          <c:idx val="0"/>
          <c:delete val="1"/>
          <c:extLst>
            <c:ext xmlns:c15="http://schemas.microsoft.com/office/drawing/2012/chart" uri="{CE6537A1-D6FC-4f65-9D91-7224C49458BB}"/>
          </c:extLst>
        </c:dLbl>
      </c:pivotFmt>
      <c:pivotFmt>
        <c:idx val="785"/>
        <c:marker>
          <c:symbol val="none"/>
        </c:marker>
        <c:dLbl>
          <c:idx val="0"/>
          <c:delete val="1"/>
          <c:extLst>
            <c:ext xmlns:c15="http://schemas.microsoft.com/office/drawing/2012/chart" uri="{CE6537A1-D6FC-4f65-9D91-7224C49458BB}"/>
          </c:extLst>
        </c:dLbl>
      </c:pivotFmt>
      <c:pivotFmt>
        <c:idx val="786"/>
      </c:pivotFmt>
      <c:pivotFmt>
        <c:idx val="787"/>
      </c:pivotFmt>
      <c:pivotFmt>
        <c:idx val="788"/>
        <c:marker>
          <c:symbol val="none"/>
        </c:marker>
        <c:dLbl>
          <c:idx val="0"/>
          <c:delete val="1"/>
          <c:extLst>
            <c:ext xmlns:c15="http://schemas.microsoft.com/office/drawing/2012/chart" uri="{CE6537A1-D6FC-4f65-9D91-7224C49458BB}"/>
          </c:extLst>
        </c:dLbl>
      </c:pivotFmt>
      <c:pivotFmt>
        <c:idx val="789"/>
        <c:marker>
          <c:symbol val="none"/>
        </c:marker>
        <c:dLbl>
          <c:idx val="0"/>
          <c:delete val="1"/>
          <c:extLst>
            <c:ext xmlns:c15="http://schemas.microsoft.com/office/drawing/2012/chart" uri="{CE6537A1-D6FC-4f65-9D91-7224C49458BB}"/>
          </c:extLst>
        </c:dLbl>
      </c:pivotFmt>
      <c:pivotFmt>
        <c:idx val="790"/>
        <c:marker>
          <c:symbol val="none"/>
        </c:marker>
        <c:dLbl>
          <c:idx val="0"/>
          <c:delete val="1"/>
          <c:extLst>
            <c:ext xmlns:c15="http://schemas.microsoft.com/office/drawing/2012/chart" uri="{CE6537A1-D6FC-4f65-9D91-7224C49458BB}"/>
          </c:extLst>
        </c:dLbl>
      </c:pivotFmt>
      <c:pivotFmt>
        <c:idx val="791"/>
        <c:marker>
          <c:symbol val="none"/>
        </c:marker>
        <c:dLbl>
          <c:idx val="0"/>
          <c:delete val="1"/>
          <c:extLst>
            <c:ext xmlns:c15="http://schemas.microsoft.com/office/drawing/2012/chart" uri="{CE6537A1-D6FC-4f65-9D91-7224C49458BB}"/>
          </c:extLst>
        </c:dLbl>
      </c:pivotFmt>
      <c:pivotFmt>
        <c:idx val="792"/>
        <c:marker>
          <c:symbol val="none"/>
        </c:marker>
        <c:dLbl>
          <c:idx val="0"/>
          <c:delete val="1"/>
          <c:extLst>
            <c:ext xmlns:c15="http://schemas.microsoft.com/office/drawing/2012/chart" uri="{CE6537A1-D6FC-4f65-9D91-7224C49458BB}"/>
          </c:extLst>
        </c:dLbl>
      </c:pivotFmt>
      <c:pivotFmt>
        <c:idx val="793"/>
        <c:marker>
          <c:symbol val="none"/>
        </c:marker>
        <c:dLbl>
          <c:idx val="0"/>
          <c:delete val="1"/>
          <c:extLst>
            <c:ext xmlns:c15="http://schemas.microsoft.com/office/drawing/2012/chart" uri="{CE6537A1-D6FC-4f65-9D91-7224C49458BB}"/>
          </c:extLst>
        </c:dLbl>
      </c:pivotFmt>
      <c:pivotFmt>
        <c:idx val="794"/>
        <c:marker>
          <c:symbol val="none"/>
        </c:marker>
        <c:dLbl>
          <c:idx val="0"/>
          <c:delete val="1"/>
          <c:extLst>
            <c:ext xmlns:c15="http://schemas.microsoft.com/office/drawing/2012/chart" uri="{CE6537A1-D6FC-4f65-9D91-7224C49458BB}"/>
          </c:extLst>
        </c:dLbl>
      </c:pivotFmt>
      <c:pivotFmt>
        <c:idx val="795"/>
      </c:pivotFmt>
      <c:pivotFmt>
        <c:idx val="796"/>
        <c:marker>
          <c:symbol val="none"/>
        </c:marker>
        <c:dLbl>
          <c:idx val="0"/>
          <c:delete val="1"/>
          <c:extLst>
            <c:ext xmlns:c15="http://schemas.microsoft.com/office/drawing/2012/chart" uri="{CE6537A1-D6FC-4f65-9D91-7224C49458BB}"/>
          </c:extLst>
        </c:dLbl>
      </c:pivotFmt>
      <c:pivotFmt>
        <c:idx val="797"/>
        <c:marker>
          <c:symbol val="none"/>
        </c:marker>
        <c:dLbl>
          <c:idx val="0"/>
          <c:delete val="1"/>
          <c:extLst>
            <c:ext xmlns:c15="http://schemas.microsoft.com/office/drawing/2012/chart" uri="{CE6537A1-D6FC-4f65-9D91-7224C49458BB}"/>
          </c:extLst>
        </c:dLbl>
      </c:pivotFmt>
      <c:pivotFmt>
        <c:idx val="798"/>
        <c:marker>
          <c:symbol val="none"/>
        </c:marker>
        <c:dLbl>
          <c:idx val="0"/>
          <c:delete val="1"/>
          <c:extLst>
            <c:ext xmlns:c15="http://schemas.microsoft.com/office/drawing/2012/chart" uri="{CE6537A1-D6FC-4f65-9D91-7224C49458BB}"/>
          </c:extLst>
        </c:dLbl>
      </c:pivotFmt>
      <c:pivotFmt>
        <c:idx val="799"/>
        <c:marker>
          <c:symbol val="none"/>
        </c:marker>
        <c:dLbl>
          <c:idx val="0"/>
          <c:delete val="1"/>
          <c:extLst>
            <c:ext xmlns:c15="http://schemas.microsoft.com/office/drawing/2012/chart" uri="{CE6537A1-D6FC-4f65-9D91-7224C49458BB}"/>
          </c:extLst>
        </c:dLbl>
      </c:pivotFmt>
      <c:pivotFmt>
        <c:idx val="800"/>
        <c:marker>
          <c:symbol val="none"/>
        </c:marker>
        <c:dLbl>
          <c:idx val="0"/>
          <c:delete val="1"/>
          <c:extLst>
            <c:ext xmlns:c15="http://schemas.microsoft.com/office/drawing/2012/chart" uri="{CE6537A1-D6FC-4f65-9D91-7224C49458BB}"/>
          </c:extLst>
        </c:dLbl>
      </c:pivotFmt>
      <c:pivotFmt>
        <c:idx val="801"/>
        <c:marker>
          <c:symbol val="none"/>
        </c:marker>
        <c:dLbl>
          <c:idx val="0"/>
          <c:delete val="1"/>
          <c:extLst>
            <c:ext xmlns:c15="http://schemas.microsoft.com/office/drawing/2012/chart" uri="{CE6537A1-D6FC-4f65-9D91-7224C49458BB}"/>
          </c:extLst>
        </c:dLbl>
      </c:pivotFmt>
      <c:pivotFmt>
        <c:idx val="802"/>
        <c:marker>
          <c:symbol val="none"/>
        </c:marker>
        <c:dLbl>
          <c:idx val="0"/>
          <c:delete val="1"/>
          <c:extLst>
            <c:ext xmlns:c15="http://schemas.microsoft.com/office/drawing/2012/chart" uri="{CE6537A1-D6FC-4f65-9D91-7224C49458BB}"/>
          </c:extLst>
        </c:dLbl>
      </c:pivotFmt>
      <c:pivotFmt>
        <c:idx val="803"/>
        <c:marker>
          <c:symbol val="none"/>
        </c:marker>
        <c:dLbl>
          <c:idx val="0"/>
          <c:delete val="1"/>
          <c:extLst>
            <c:ext xmlns:c15="http://schemas.microsoft.com/office/drawing/2012/chart" uri="{CE6537A1-D6FC-4f65-9D91-7224C49458BB}"/>
          </c:extLst>
        </c:dLbl>
      </c:pivotFmt>
      <c:pivotFmt>
        <c:idx val="804"/>
        <c:marker>
          <c:symbol val="none"/>
        </c:marker>
        <c:dLbl>
          <c:idx val="0"/>
          <c:delete val="1"/>
          <c:extLst>
            <c:ext xmlns:c15="http://schemas.microsoft.com/office/drawing/2012/chart" uri="{CE6537A1-D6FC-4f65-9D91-7224C49458BB}"/>
          </c:extLst>
        </c:dLbl>
      </c:pivotFmt>
      <c:pivotFmt>
        <c:idx val="805"/>
        <c:marker>
          <c:symbol val="none"/>
        </c:marker>
        <c:dLbl>
          <c:idx val="0"/>
          <c:delete val="1"/>
          <c:extLst>
            <c:ext xmlns:c15="http://schemas.microsoft.com/office/drawing/2012/chart" uri="{CE6537A1-D6FC-4f65-9D91-7224C49458BB}"/>
          </c:extLst>
        </c:dLbl>
      </c:pivotFmt>
      <c:pivotFmt>
        <c:idx val="806"/>
        <c:marker>
          <c:symbol val="none"/>
        </c:marker>
        <c:dLbl>
          <c:idx val="0"/>
          <c:delete val="1"/>
          <c:extLst>
            <c:ext xmlns:c15="http://schemas.microsoft.com/office/drawing/2012/chart" uri="{CE6537A1-D6FC-4f65-9D91-7224C49458BB}"/>
          </c:extLst>
        </c:dLbl>
      </c:pivotFmt>
      <c:pivotFmt>
        <c:idx val="807"/>
        <c:marker>
          <c:symbol val="none"/>
        </c:marker>
        <c:dLbl>
          <c:idx val="0"/>
          <c:delete val="1"/>
          <c:extLst>
            <c:ext xmlns:c15="http://schemas.microsoft.com/office/drawing/2012/chart" uri="{CE6537A1-D6FC-4f65-9D91-7224C49458BB}"/>
          </c:extLst>
        </c:dLbl>
      </c:pivotFmt>
      <c:pivotFmt>
        <c:idx val="808"/>
        <c:marker>
          <c:symbol val="none"/>
        </c:marker>
        <c:dLbl>
          <c:idx val="0"/>
          <c:delete val="1"/>
          <c:extLst>
            <c:ext xmlns:c15="http://schemas.microsoft.com/office/drawing/2012/chart" uri="{CE6537A1-D6FC-4f65-9D91-7224C49458BB}"/>
          </c:extLst>
        </c:dLbl>
      </c:pivotFmt>
      <c:pivotFmt>
        <c:idx val="809"/>
        <c:marker>
          <c:symbol val="none"/>
        </c:marker>
        <c:dLbl>
          <c:idx val="0"/>
          <c:delete val="1"/>
          <c:extLst>
            <c:ext xmlns:c15="http://schemas.microsoft.com/office/drawing/2012/chart" uri="{CE6537A1-D6FC-4f65-9D91-7224C49458BB}"/>
          </c:extLst>
        </c:dLbl>
      </c:pivotFmt>
      <c:pivotFmt>
        <c:idx val="810"/>
        <c:marker>
          <c:symbol val="none"/>
        </c:marker>
        <c:dLbl>
          <c:idx val="0"/>
          <c:delete val="1"/>
          <c:extLst>
            <c:ext xmlns:c15="http://schemas.microsoft.com/office/drawing/2012/chart" uri="{CE6537A1-D6FC-4f65-9D91-7224C49458BB}"/>
          </c:extLst>
        </c:dLbl>
      </c:pivotFmt>
      <c:pivotFmt>
        <c:idx val="811"/>
        <c:marker>
          <c:symbol val="none"/>
        </c:marker>
        <c:dLbl>
          <c:idx val="0"/>
          <c:delete val="1"/>
          <c:extLst>
            <c:ext xmlns:c15="http://schemas.microsoft.com/office/drawing/2012/chart" uri="{CE6537A1-D6FC-4f65-9D91-7224C49458BB}"/>
          </c:extLst>
        </c:dLbl>
      </c:pivotFmt>
      <c:pivotFmt>
        <c:idx val="812"/>
        <c:marker>
          <c:symbol val="none"/>
        </c:marker>
        <c:dLbl>
          <c:idx val="0"/>
          <c:delete val="1"/>
          <c:extLst>
            <c:ext xmlns:c15="http://schemas.microsoft.com/office/drawing/2012/chart" uri="{CE6537A1-D6FC-4f65-9D91-7224C49458BB}"/>
          </c:extLst>
        </c:dLbl>
      </c:pivotFmt>
      <c:pivotFmt>
        <c:idx val="813"/>
        <c:marker>
          <c:symbol val="none"/>
        </c:marker>
        <c:dLbl>
          <c:idx val="0"/>
          <c:delete val="1"/>
          <c:extLst>
            <c:ext xmlns:c15="http://schemas.microsoft.com/office/drawing/2012/chart" uri="{CE6537A1-D6FC-4f65-9D91-7224C49458BB}"/>
          </c:extLst>
        </c:dLbl>
      </c:pivotFmt>
      <c:pivotFmt>
        <c:idx val="814"/>
        <c:marker>
          <c:symbol val="none"/>
        </c:marker>
        <c:dLbl>
          <c:idx val="0"/>
          <c:delete val="1"/>
          <c:extLst>
            <c:ext xmlns:c15="http://schemas.microsoft.com/office/drawing/2012/chart" uri="{CE6537A1-D6FC-4f65-9D91-7224C49458BB}"/>
          </c:extLst>
        </c:dLbl>
      </c:pivotFmt>
      <c:pivotFmt>
        <c:idx val="815"/>
        <c:marker>
          <c:symbol val="none"/>
        </c:marker>
        <c:dLbl>
          <c:idx val="0"/>
          <c:delete val="1"/>
          <c:extLst>
            <c:ext xmlns:c15="http://schemas.microsoft.com/office/drawing/2012/chart" uri="{CE6537A1-D6FC-4f65-9D91-7224C49458BB}"/>
          </c:extLst>
        </c:dLbl>
      </c:pivotFmt>
      <c:pivotFmt>
        <c:idx val="816"/>
        <c:marker>
          <c:symbol val="none"/>
        </c:marker>
        <c:dLbl>
          <c:idx val="0"/>
          <c:delete val="1"/>
          <c:extLst>
            <c:ext xmlns:c15="http://schemas.microsoft.com/office/drawing/2012/chart" uri="{CE6537A1-D6FC-4f65-9D91-7224C49458BB}"/>
          </c:extLst>
        </c:dLbl>
      </c:pivotFmt>
      <c:pivotFmt>
        <c:idx val="817"/>
        <c:marker>
          <c:symbol val="none"/>
        </c:marker>
        <c:dLbl>
          <c:idx val="0"/>
          <c:delete val="1"/>
          <c:extLst>
            <c:ext xmlns:c15="http://schemas.microsoft.com/office/drawing/2012/chart" uri="{CE6537A1-D6FC-4f65-9D91-7224C49458BB}"/>
          </c:extLst>
        </c:dLbl>
      </c:pivotFmt>
      <c:pivotFmt>
        <c:idx val="818"/>
        <c:marker>
          <c:symbol val="none"/>
        </c:marker>
        <c:dLbl>
          <c:idx val="0"/>
          <c:delete val="1"/>
          <c:extLst>
            <c:ext xmlns:c15="http://schemas.microsoft.com/office/drawing/2012/chart" uri="{CE6537A1-D6FC-4f65-9D91-7224C49458BB}"/>
          </c:extLst>
        </c:dLbl>
      </c:pivotFmt>
      <c:pivotFmt>
        <c:idx val="819"/>
        <c:marker>
          <c:symbol val="none"/>
        </c:marker>
        <c:dLbl>
          <c:idx val="0"/>
          <c:delete val="1"/>
          <c:extLst>
            <c:ext xmlns:c15="http://schemas.microsoft.com/office/drawing/2012/chart" uri="{CE6537A1-D6FC-4f65-9D91-7224C49458BB}"/>
          </c:extLst>
        </c:dLbl>
      </c:pivotFmt>
      <c:pivotFmt>
        <c:idx val="820"/>
        <c:marker>
          <c:symbol val="none"/>
        </c:marker>
        <c:dLbl>
          <c:idx val="0"/>
          <c:delete val="1"/>
          <c:extLst>
            <c:ext xmlns:c15="http://schemas.microsoft.com/office/drawing/2012/chart" uri="{CE6537A1-D6FC-4f65-9D91-7224C49458BB}"/>
          </c:extLst>
        </c:dLbl>
      </c:pivotFmt>
      <c:pivotFmt>
        <c:idx val="821"/>
        <c:marker>
          <c:symbol val="none"/>
        </c:marker>
        <c:dLbl>
          <c:idx val="0"/>
          <c:delete val="1"/>
          <c:extLst>
            <c:ext xmlns:c15="http://schemas.microsoft.com/office/drawing/2012/chart" uri="{CE6537A1-D6FC-4f65-9D91-7224C49458BB}"/>
          </c:extLst>
        </c:dLbl>
      </c:pivotFmt>
      <c:pivotFmt>
        <c:idx val="822"/>
        <c:marker>
          <c:symbol val="none"/>
        </c:marker>
        <c:dLbl>
          <c:idx val="0"/>
          <c:delete val="1"/>
          <c:extLst>
            <c:ext xmlns:c15="http://schemas.microsoft.com/office/drawing/2012/chart" uri="{CE6537A1-D6FC-4f65-9D91-7224C49458BB}"/>
          </c:extLst>
        </c:dLbl>
      </c:pivotFmt>
      <c:pivotFmt>
        <c:idx val="823"/>
        <c:marker>
          <c:symbol val="none"/>
        </c:marker>
        <c:dLbl>
          <c:idx val="0"/>
          <c:delete val="1"/>
          <c:extLst>
            <c:ext xmlns:c15="http://schemas.microsoft.com/office/drawing/2012/chart" uri="{CE6537A1-D6FC-4f65-9D91-7224C49458BB}"/>
          </c:extLst>
        </c:dLbl>
      </c:pivotFmt>
      <c:pivotFmt>
        <c:idx val="824"/>
        <c:marker>
          <c:symbol val="none"/>
        </c:marker>
        <c:dLbl>
          <c:idx val="0"/>
          <c:delete val="1"/>
          <c:extLst>
            <c:ext xmlns:c15="http://schemas.microsoft.com/office/drawing/2012/chart" uri="{CE6537A1-D6FC-4f65-9D91-7224C49458BB}"/>
          </c:extLst>
        </c:dLbl>
      </c:pivotFmt>
      <c:pivotFmt>
        <c:idx val="825"/>
        <c:marker>
          <c:symbol val="none"/>
        </c:marker>
        <c:dLbl>
          <c:idx val="0"/>
          <c:delete val="1"/>
          <c:extLst>
            <c:ext xmlns:c15="http://schemas.microsoft.com/office/drawing/2012/chart" uri="{CE6537A1-D6FC-4f65-9D91-7224C49458BB}"/>
          </c:extLst>
        </c:dLbl>
      </c:pivotFmt>
      <c:pivotFmt>
        <c:idx val="826"/>
        <c:marker>
          <c:symbol val="none"/>
        </c:marker>
        <c:dLbl>
          <c:idx val="0"/>
          <c:delete val="1"/>
          <c:extLst>
            <c:ext xmlns:c15="http://schemas.microsoft.com/office/drawing/2012/chart" uri="{CE6537A1-D6FC-4f65-9D91-7224C49458BB}"/>
          </c:extLst>
        </c:dLbl>
      </c:pivotFmt>
      <c:pivotFmt>
        <c:idx val="827"/>
        <c:marker>
          <c:symbol val="none"/>
        </c:marker>
        <c:dLbl>
          <c:idx val="0"/>
          <c:delete val="1"/>
          <c:extLst>
            <c:ext xmlns:c15="http://schemas.microsoft.com/office/drawing/2012/chart" uri="{CE6537A1-D6FC-4f65-9D91-7224C49458BB}"/>
          </c:extLst>
        </c:dLbl>
      </c:pivotFmt>
      <c:pivotFmt>
        <c:idx val="828"/>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AvailabilityPiePivot!$B$3:$B$4</c:f>
              <c:strCache>
                <c:ptCount val="1"/>
                <c:pt idx="0">
                  <c:v>1986</c:v>
                </c:pt>
              </c:strCache>
            </c:strRef>
          </c:tx>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155-9814-48EE-9A6A-BFCCA1963640}"/>
            </c:ext>
          </c:extLst>
        </c:ser>
        <c:ser>
          <c:idx val="1"/>
          <c:order val="1"/>
          <c:tx>
            <c:strRef>
              <c:f>AvailabilityPiePivot!$C$3:$C$4</c:f>
              <c:strCache>
                <c:ptCount val="1"/>
                <c:pt idx="0">
                  <c:v>1987</c:v>
                </c:pt>
              </c:strCache>
            </c:strRef>
          </c:tx>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03-4DB9-4D3D-A7B4-A3FACC5E429E}"/>
            </c:ext>
          </c:extLst>
        </c:ser>
        <c:ser>
          <c:idx val="2"/>
          <c:order val="2"/>
          <c:tx>
            <c:strRef>
              <c:f>AvailabilityPiePivot!$D$3:$D$4</c:f>
              <c:strCache>
                <c:ptCount val="1"/>
                <c:pt idx="0">
                  <c:v>1988</c:v>
                </c:pt>
              </c:strCache>
            </c:strRef>
          </c:tx>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04-4DB9-4D3D-A7B4-A3FACC5E429E}"/>
            </c:ext>
          </c:extLst>
        </c:ser>
        <c:ser>
          <c:idx val="3"/>
          <c:order val="3"/>
          <c:tx>
            <c:strRef>
              <c:f>AvailabilityPiePivot!$E$3:$E$4</c:f>
              <c:strCache>
                <c:ptCount val="1"/>
                <c:pt idx="0">
                  <c:v>1989</c:v>
                </c:pt>
              </c:strCache>
            </c:strRef>
          </c:tx>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05-4DB9-4D3D-A7B4-A3FACC5E429E}"/>
            </c:ext>
          </c:extLst>
        </c:ser>
        <c:ser>
          <c:idx val="4"/>
          <c:order val="4"/>
          <c:tx>
            <c:strRef>
              <c:f>AvailabilityPiePivot!$F$3:$F$4</c:f>
              <c:strCache>
                <c:ptCount val="1"/>
                <c:pt idx="0">
                  <c:v>1990</c:v>
                </c:pt>
              </c:strCache>
            </c:strRef>
          </c:tx>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06-4DB9-4D3D-A7B4-A3FACC5E429E}"/>
            </c:ext>
          </c:extLst>
        </c:ser>
        <c:ser>
          <c:idx val="5"/>
          <c:order val="5"/>
          <c:tx>
            <c:strRef>
              <c:f>AvailabilityPiePivot!$G$3:$G$4</c:f>
              <c:strCache>
                <c:ptCount val="1"/>
                <c:pt idx="0">
                  <c:v>1991</c:v>
                </c:pt>
              </c:strCache>
            </c:strRef>
          </c:tx>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07-4DB9-4D3D-A7B4-A3FACC5E429E}"/>
            </c:ext>
          </c:extLst>
        </c:ser>
        <c:ser>
          <c:idx val="6"/>
          <c:order val="6"/>
          <c:tx>
            <c:strRef>
              <c:f>AvailabilityPiePivot!$H$3:$H$4</c:f>
              <c:strCache>
                <c:ptCount val="1"/>
                <c:pt idx="0">
                  <c:v>1992</c:v>
                </c:pt>
              </c:strCache>
            </c:strRef>
          </c:tx>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08-4DB9-4D3D-A7B4-A3FACC5E429E}"/>
            </c:ext>
          </c:extLst>
        </c:ser>
        <c:ser>
          <c:idx val="7"/>
          <c:order val="7"/>
          <c:tx>
            <c:strRef>
              <c:f>AvailabilityPiePivot!$I$3:$I$4</c:f>
              <c:strCache>
                <c:ptCount val="1"/>
                <c:pt idx="0">
                  <c:v>1993</c:v>
                </c:pt>
              </c:strCache>
            </c:strRef>
          </c:tx>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09-4DB9-4D3D-A7B4-A3FACC5E429E}"/>
            </c:ext>
          </c:extLst>
        </c:ser>
        <c:ser>
          <c:idx val="8"/>
          <c:order val="8"/>
          <c:tx>
            <c:strRef>
              <c:f>AvailabilityPiePivot!$J$3:$J$4</c:f>
              <c:strCache>
                <c:ptCount val="1"/>
                <c:pt idx="0">
                  <c:v>1994</c:v>
                </c:pt>
              </c:strCache>
            </c:strRef>
          </c:tx>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0A-4DB9-4D3D-A7B4-A3FACC5E429E}"/>
            </c:ext>
          </c:extLst>
        </c:ser>
        <c:ser>
          <c:idx val="9"/>
          <c:order val="9"/>
          <c:tx>
            <c:strRef>
              <c:f>AvailabilityPiePivot!$K$3:$K$4</c:f>
              <c:strCache>
                <c:ptCount val="1"/>
                <c:pt idx="0">
                  <c:v>1995</c:v>
                </c:pt>
              </c:strCache>
            </c:strRef>
          </c:tx>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0B-4DB9-4D3D-A7B4-A3FACC5E429E}"/>
            </c:ext>
          </c:extLst>
        </c:ser>
        <c:ser>
          <c:idx val="10"/>
          <c:order val="10"/>
          <c:tx>
            <c:strRef>
              <c:f>AvailabilityPiePivot!$L$3:$L$4</c:f>
              <c:strCache>
                <c:ptCount val="1"/>
                <c:pt idx="0">
                  <c:v>1996</c:v>
                </c:pt>
              </c:strCache>
            </c:strRef>
          </c:tx>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0C-4DB9-4D3D-A7B4-A3FACC5E429E}"/>
            </c:ext>
          </c:extLst>
        </c:ser>
        <c:ser>
          <c:idx val="11"/>
          <c:order val="11"/>
          <c:tx>
            <c:strRef>
              <c:f>AvailabilityPiePivot!$M$3:$M$4</c:f>
              <c:strCache>
                <c:ptCount val="1"/>
                <c:pt idx="0">
                  <c:v>1997</c:v>
                </c:pt>
              </c:strCache>
            </c:strRef>
          </c:tx>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0D-4DB9-4D3D-A7B4-A3FACC5E429E}"/>
            </c:ext>
          </c:extLst>
        </c:ser>
        <c:ser>
          <c:idx val="12"/>
          <c:order val="12"/>
          <c:tx>
            <c:strRef>
              <c:f>AvailabilityPiePivot!$N$3:$N$4</c:f>
              <c:strCache>
                <c:ptCount val="1"/>
                <c:pt idx="0">
                  <c:v>1998</c:v>
                </c:pt>
              </c:strCache>
            </c:strRef>
          </c:tx>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0E-4DB9-4D3D-A7B4-A3FACC5E429E}"/>
            </c:ext>
          </c:extLst>
        </c:ser>
        <c:ser>
          <c:idx val="13"/>
          <c:order val="13"/>
          <c:tx>
            <c:strRef>
              <c:f>AvailabilityPiePivot!$O$3:$O$4</c:f>
              <c:strCache>
                <c:ptCount val="1"/>
                <c:pt idx="0">
                  <c:v>1999</c:v>
                </c:pt>
              </c:strCache>
            </c:strRef>
          </c:tx>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0F-4DB9-4D3D-A7B4-A3FACC5E429E}"/>
            </c:ext>
          </c:extLst>
        </c:ser>
        <c:ser>
          <c:idx val="14"/>
          <c:order val="14"/>
          <c:tx>
            <c:strRef>
              <c:f>AvailabilityPiePivot!$P$3:$P$4</c:f>
              <c:strCache>
                <c:ptCount val="1"/>
                <c:pt idx="0">
                  <c:v>2000</c:v>
                </c:pt>
              </c:strCache>
            </c:strRef>
          </c:tx>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10-4DB9-4D3D-A7B4-A3FACC5E429E}"/>
            </c:ext>
          </c:extLst>
        </c:ser>
        <c:ser>
          <c:idx val="15"/>
          <c:order val="15"/>
          <c:tx>
            <c:strRef>
              <c:f>AvailabilityPiePivot!$Q$3:$Q$4</c:f>
              <c:strCache>
                <c:ptCount val="1"/>
                <c:pt idx="0">
                  <c:v>2001</c:v>
                </c:pt>
              </c:strCache>
            </c:strRef>
          </c:tx>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11-4DB9-4D3D-A7B4-A3FACC5E429E}"/>
            </c:ext>
          </c:extLst>
        </c:ser>
        <c:ser>
          <c:idx val="16"/>
          <c:order val="16"/>
          <c:tx>
            <c:strRef>
              <c:f>AvailabilityPiePivot!$R$3:$R$4</c:f>
              <c:strCache>
                <c:ptCount val="1"/>
                <c:pt idx="0">
                  <c:v>2002</c:v>
                </c:pt>
              </c:strCache>
            </c:strRef>
          </c:tx>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12-4DB9-4D3D-A7B4-A3FACC5E429E}"/>
            </c:ext>
          </c:extLst>
        </c:ser>
        <c:ser>
          <c:idx val="17"/>
          <c:order val="17"/>
          <c:tx>
            <c:strRef>
              <c:f>AvailabilityPiePivot!$S$3:$S$4</c:f>
              <c:strCache>
                <c:ptCount val="1"/>
                <c:pt idx="0">
                  <c:v>2003</c:v>
                </c:pt>
              </c:strCache>
            </c:strRef>
          </c:tx>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13-4DB9-4D3D-A7B4-A3FACC5E429E}"/>
            </c:ext>
          </c:extLst>
        </c:ser>
        <c:ser>
          <c:idx val="18"/>
          <c:order val="18"/>
          <c:tx>
            <c:strRef>
              <c:f>AvailabilityPiePivot!$T$3:$T$4</c:f>
              <c:strCache>
                <c:ptCount val="1"/>
                <c:pt idx="0">
                  <c:v>2004</c:v>
                </c:pt>
              </c:strCache>
            </c:strRef>
          </c:tx>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14-4DB9-4D3D-A7B4-A3FACC5E429E}"/>
            </c:ext>
          </c:extLst>
        </c:ser>
        <c:ser>
          <c:idx val="19"/>
          <c:order val="19"/>
          <c:tx>
            <c:strRef>
              <c:f>AvailabilityPiePivot!$U$3:$U$4</c:f>
              <c:strCache>
                <c:ptCount val="1"/>
                <c:pt idx="0">
                  <c:v>2005</c:v>
                </c:pt>
              </c:strCache>
            </c:strRef>
          </c:tx>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015-4DB9-4D3D-A7B4-A3FACC5E429E}"/>
            </c:ext>
          </c:extLst>
        </c:ser>
        <c:ser>
          <c:idx val="20"/>
          <c:order val="20"/>
          <c:tx>
            <c:strRef>
              <c:f>AvailabilityPiePivot!$V$3:$V$4</c:f>
              <c:strCache>
                <c:ptCount val="1"/>
                <c:pt idx="0">
                  <c:v>2006</c:v>
                </c:pt>
              </c:strCache>
            </c:strRef>
          </c:tx>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016-4DB9-4D3D-A7B4-A3FACC5E429E}"/>
            </c:ext>
          </c:extLst>
        </c:ser>
        <c:ser>
          <c:idx val="21"/>
          <c:order val="21"/>
          <c:tx>
            <c:strRef>
              <c:f>AvailabilityPiePivot!$W$3:$W$4</c:f>
              <c:strCache>
                <c:ptCount val="1"/>
                <c:pt idx="0">
                  <c:v>2007</c:v>
                </c:pt>
              </c:strCache>
            </c:strRef>
          </c:tx>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017-4DB9-4D3D-A7B4-A3FACC5E429E}"/>
            </c:ext>
          </c:extLst>
        </c:ser>
        <c:ser>
          <c:idx val="22"/>
          <c:order val="22"/>
          <c:tx>
            <c:strRef>
              <c:f>AvailabilityPiePivot!$X$3:$X$4</c:f>
              <c:strCache>
                <c:ptCount val="1"/>
                <c:pt idx="0">
                  <c:v>2008</c:v>
                </c:pt>
              </c:strCache>
            </c:strRef>
          </c:tx>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018-4DB9-4D3D-A7B4-A3FACC5E429E}"/>
            </c:ext>
          </c:extLst>
        </c:ser>
        <c:ser>
          <c:idx val="23"/>
          <c:order val="23"/>
          <c:tx>
            <c:strRef>
              <c:f>AvailabilityPiePivot!$Y$3:$Y$4</c:f>
              <c:strCache>
                <c:ptCount val="1"/>
                <c:pt idx="0">
                  <c:v>2009</c:v>
                </c:pt>
              </c:strCache>
            </c:strRef>
          </c:tx>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019-4DB9-4D3D-A7B4-A3FACC5E429E}"/>
            </c:ext>
          </c:extLst>
        </c:ser>
        <c:ser>
          <c:idx val="24"/>
          <c:order val="24"/>
          <c:tx>
            <c:strRef>
              <c:f>AvailabilityPiePivot!$Z$3:$Z$4</c:f>
              <c:strCache>
                <c:ptCount val="1"/>
                <c:pt idx="0">
                  <c:v>2010</c:v>
                </c:pt>
              </c:strCache>
            </c:strRef>
          </c:tx>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01A-4DB9-4D3D-A7B4-A3FACC5E429E}"/>
            </c:ext>
          </c:extLst>
        </c:ser>
        <c:ser>
          <c:idx val="25"/>
          <c:order val="25"/>
          <c:tx>
            <c:strRef>
              <c:f>AvailabilityPiePivot!$AA$3:$AA$4</c:f>
              <c:strCache>
                <c:ptCount val="1"/>
                <c:pt idx="0">
                  <c:v>2011</c:v>
                </c:pt>
              </c:strCache>
            </c:strRef>
          </c:tx>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01B-4DB9-4D3D-A7B4-A3FACC5E429E}"/>
            </c:ext>
          </c:extLst>
        </c:ser>
        <c:ser>
          <c:idx val="26"/>
          <c:order val="26"/>
          <c:tx>
            <c:strRef>
              <c:f>AvailabilityPiePivot!$AB$3:$AB$4</c:f>
              <c:strCache>
                <c:ptCount val="1"/>
                <c:pt idx="0">
                  <c:v>2012</c:v>
                </c:pt>
              </c:strCache>
            </c:strRef>
          </c:tx>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01C-4DB9-4D3D-A7B4-A3FACC5E429E}"/>
            </c:ext>
          </c:extLst>
        </c:ser>
        <c:ser>
          <c:idx val="27"/>
          <c:order val="27"/>
          <c:tx>
            <c:strRef>
              <c:f>AvailabilityPiePivot!$AC$3:$AC$4</c:f>
              <c:strCache>
                <c:ptCount val="1"/>
                <c:pt idx="0">
                  <c:v>2013</c:v>
                </c:pt>
              </c:strCache>
            </c:strRef>
          </c:tx>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01D-4DB9-4D3D-A7B4-A3FACC5E429E}"/>
            </c:ext>
          </c:extLst>
        </c:ser>
        <c:ser>
          <c:idx val="28"/>
          <c:order val="28"/>
          <c:tx>
            <c:strRef>
              <c:f>AvailabilityPiePivot!$AD$3:$AD$4</c:f>
              <c:strCache>
                <c:ptCount val="1"/>
                <c:pt idx="0">
                  <c:v>2014</c:v>
                </c:pt>
              </c:strCache>
            </c:strRef>
          </c:tx>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01E-4DB9-4D3D-A7B4-A3FACC5E429E}"/>
            </c:ext>
          </c:extLst>
        </c:ser>
        <c:ser>
          <c:idx val="29"/>
          <c:order val="29"/>
          <c:tx>
            <c:strRef>
              <c:f>AvailabilityPiePivot!$AE$3:$AE$4</c:f>
              <c:strCache>
                <c:ptCount val="1"/>
                <c:pt idx="0">
                  <c:v>2015</c:v>
                </c:pt>
              </c:strCache>
            </c:strRef>
          </c:tx>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01F-4DB9-4D3D-A7B4-A3FACC5E429E}"/>
            </c:ext>
          </c:extLst>
        </c:ser>
        <c:ser>
          <c:idx val="30"/>
          <c:order val="30"/>
          <c:tx>
            <c:strRef>
              <c:f>AvailabilityPiePivot!$AF$3:$AF$4</c:f>
              <c:strCache>
                <c:ptCount val="1"/>
                <c:pt idx="0">
                  <c:v>2016</c:v>
                </c:pt>
              </c:strCache>
            </c:strRef>
          </c:tx>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020-4DB9-4D3D-A7B4-A3FACC5E429E}"/>
            </c:ext>
          </c:extLst>
        </c:ser>
        <c:ser>
          <c:idx val="31"/>
          <c:order val="31"/>
          <c:tx>
            <c:strRef>
              <c:f>AvailabilityPiePivot!$AG$3:$AG$4</c:f>
              <c:strCache>
                <c:ptCount val="1"/>
                <c:pt idx="0">
                  <c:v>2017</c:v>
                </c:pt>
              </c:strCache>
            </c:strRef>
          </c:tx>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021-4DB9-4D3D-A7B4-A3FACC5E429E}"/>
            </c:ext>
          </c:extLst>
        </c:ser>
        <c:ser>
          <c:idx val="32"/>
          <c:order val="32"/>
          <c:tx>
            <c:strRef>
              <c:f>AvailabilityPiePivot!$AH$3:$AH$4</c:f>
              <c:strCache>
                <c:ptCount val="1"/>
                <c:pt idx="0">
                  <c:v>2018</c:v>
                </c:pt>
              </c:strCache>
            </c:strRef>
          </c:tx>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022-4DB9-4D3D-A7B4-A3FACC5E429E}"/>
            </c:ext>
          </c:extLst>
        </c:ser>
        <c:ser>
          <c:idx val="33"/>
          <c:order val="33"/>
          <c:tx>
            <c:strRef>
              <c:f>AvailabilityPiePivot!$AI$3:$AI$4</c:f>
              <c:strCache>
                <c:ptCount val="1"/>
                <c:pt idx="0">
                  <c:v>2019</c:v>
                </c:pt>
              </c:strCache>
            </c:strRef>
          </c:tx>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023-4DB9-4D3D-A7B4-A3FACC5E429E}"/>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[供应链.xlsx]LinePivot!数据透视表6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4611537291744"/>
          <c:y val="6.414258097977274E-2"/>
          <c:w val="0.79541797263206182"/>
          <c:h val="0.72770960629921255"/>
        </c:manualLayout>
      </c:layout>
      <c:lineChart>
        <c:grouping val="stacked"/>
        <c:varyColors val="0"/>
        <c:ser>
          <c:idx val="0"/>
          <c:order val="0"/>
          <c:tx>
            <c:strRef>
              <c:f>LinePivot!$B$3</c:f>
              <c:strCache>
                <c:ptCount val="1"/>
                <c:pt idx="0">
                  <c:v>Sum of Electricity supplied (net)</c:v>
                </c:pt>
              </c:strCache>
            </c:strRef>
          </c:tx>
          <c:spPr>
            <a:ln w="28575" cap="rnd">
              <a:solidFill>
                <a:schemeClr val="accent1"/>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2-B5BB-475C-B3B3-74733F55E22A}"/>
            </c:ext>
          </c:extLst>
        </c:ser>
        <c:ser>
          <c:idx val="1"/>
          <c:order val="1"/>
          <c:tx>
            <c:strRef>
              <c:f>LinePivot!$C$3</c:f>
              <c:strCache>
                <c:ptCount val="1"/>
                <c:pt idx="0">
                  <c:v>Sum of Electricity available</c:v>
                </c:pt>
              </c:strCache>
            </c:strRef>
          </c:tx>
          <c:spPr>
            <a:ln w="28575" cap="rnd">
              <a:solidFill>
                <a:schemeClr val="accent2"/>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D-B5BB-475C-B3B3-74733F55E22A}"/>
            </c:ext>
          </c:extLst>
        </c:ser>
        <c:ser>
          <c:idx val="2"/>
          <c:order val="2"/>
          <c:tx>
            <c:strRef>
              <c:f>LinePivot!$D$3</c:f>
              <c:strCache>
                <c:ptCount val="1"/>
                <c:pt idx="0">
                  <c:v>Sum of Net Imports</c:v>
                </c:pt>
              </c:strCache>
            </c:strRef>
          </c:tx>
          <c:spPr>
            <a:ln w="28575" cap="rnd">
              <a:solidFill>
                <a:schemeClr val="accent3"/>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A37C-4F9F-B57F-E5E85FE6B0CB}"/>
            </c:ext>
          </c:extLst>
        </c:ser>
        <c:ser>
          <c:idx val="3"/>
          <c:order val="3"/>
          <c:tx>
            <c:strRef>
              <c:f>LinePivot!$E$3</c:f>
              <c:strCache>
                <c:ptCount val="1"/>
                <c:pt idx="0">
                  <c:v>Sum of Purchases from other producers</c:v>
                </c:pt>
              </c:strCache>
            </c:strRef>
          </c:tx>
          <c:spPr>
            <a:ln w="28575" cap="rnd">
              <a:solidFill>
                <a:schemeClr val="accent4"/>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7C-4F9F-B57F-E5E85FE6B0CB}"/>
            </c:ext>
          </c:extLst>
        </c:ser>
        <c:ser>
          <c:idx val="4"/>
          <c:order val="4"/>
          <c:tx>
            <c:strRef>
              <c:f>LinePivot!$F$3</c:f>
              <c:strCache>
                <c:ptCount val="1"/>
                <c:pt idx="0">
                  <c:v>Sum of Losses in transmission</c:v>
                </c:pt>
              </c:strCache>
            </c:strRef>
          </c:tx>
          <c:spPr>
            <a:ln w="28575" cap="rnd">
              <a:solidFill>
                <a:schemeClr val="accent5"/>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A37C-4F9F-B57F-E5E85FE6B0CB}"/>
            </c:ext>
          </c:extLst>
        </c:ser>
        <c:dLbls>
          <c:showLegendKey val="0"/>
          <c:showVal val="0"/>
          <c:showCatName val="0"/>
          <c:showSerName val="0"/>
          <c:showPercent val="0"/>
          <c:showBubbleSize val="0"/>
        </c:dLbls>
        <c:smooth val="0"/>
        <c:axId val="312037711"/>
        <c:axId val="312036879"/>
      </c:lineChart>
      <c:catAx>
        <c:axId val="3120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7711"/>
        <c:crosses val="autoZero"/>
        <c:crossBetween val="between"/>
      </c:valAx>
      <c:spPr>
        <a:noFill/>
        <a:ln>
          <a:noFill/>
        </a:ln>
        <a:effectLst/>
      </c:spPr>
    </c:plotArea>
    <c:legend>
      <c:legendPos val="r"/>
      <c:layout>
        <c:manualLayout>
          <c:xMode val="edge"/>
          <c:yMode val="edge"/>
          <c:x val="5.7191375756142068E-2"/>
          <c:y val="0.87628931114149644"/>
          <c:w val="0.94280868204263368"/>
          <c:h val="0.12371067459230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[供应链.xlsx]BarPivotConsumption!BarPivotConsumption</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noFill/>
            </a:ln>
            <a:effectLst/>
            <a:sp3d/>
          </c:spPr>
          <c:invertIfNegative val="0"/>
          <c:cat>
            <c:strRef>
              <c:f>BarPivotConsumption!$A$4</c:f>
              <c:strCache>
                <c:ptCount val="1"/>
                <c:pt idx="0">
                  <c:v>Total</c:v>
                </c:pt>
              </c:strCache>
            </c:strRef>
          </c:cat>
          <c:val>
            <c:numRef>
              <c:f>BarPivotConsumption!$A$4</c:f>
              <c:numCache>
                <c:formatCode>0.00%</c:formatCode>
                <c:ptCount val="1"/>
                <c:pt idx="0">
                  <c:v>1.4905450500556177E-2</c:v>
                </c:pt>
              </c:numCache>
            </c:numRef>
          </c:val>
          <c:extLst>
            <c:ext xmlns:c16="http://schemas.microsoft.com/office/drawing/2014/chart" uri="{C3380CC4-5D6E-409C-BE32-E72D297353CC}">
              <c16:uniqueId val="{00000000-FB77-4B3C-95BB-A9BBB3947C43}"/>
            </c:ext>
          </c:extLst>
        </c:ser>
        <c:ser>
          <c:idx val="1"/>
          <c:order val="1"/>
          <c:tx>
            <c:strRef>
              <c:f>BarPivotConsumption!$B$3</c:f>
              <c:strCache>
                <c:ptCount val="1"/>
                <c:pt idx="0">
                  <c:v>Sum of Shops offices,and other commercial  premises %</c:v>
                </c:pt>
              </c:strCache>
            </c:strRef>
          </c:tx>
          <c:spPr>
            <a:solidFill>
              <a:schemeClr val="accent2"/>
            </a:solidFill>
            <a:ln>
              <a:noFill/>
            </a:ln>
            <a:effectLst/>
            <a:sp3d/>
          </c:spPr>
          <c:invertIfNegative val="0"/>
          <c:cat>
            <c:strRef>
              <c:f>BarPivotConsumption!$A$4</c:f>
              <c:strCache>
                <c:ptCount val="1"/>
                <c:pt idx="0">
                  <c:v>Total</c:v>
                </c:pt>
              </c:strCache>
            </c:strRef>
          </c:cat>
          <c:val>
            <c:numRef>
              <c:f>BarPivotConsumption!$B$4</c:f>
              <c:numCache>
                <c:formatCode>0.00%</c:formatCode>
                <c:ptCount val="1"/>
                <c:pt idx="0">
                  <c:v>0.12080088987764186</c:v>
                </c:pt>
              </c:numCache>
            </c:numRef>
          </c:val>
          <c:extLst>
            <c:ext xmlns:c16="http://schemas.microsoft.com/office/drawing/2014/chart" uri="{C3380CC4-5D6E-409C-BE32-E72D297353CC}">
              <c16:uniqueId val="{00000001-FB77-4B3C-95BB-A9BBB3947C43}"/>
            </c:ext>
          </c:extLst>
        </c:ser>
        <c:ser>
          <c:idx val="2"/>
          <c:order val="2"/>
          <c:tx>
            <c:strRef>
              <c:f>BarPivotConsumption!$C$3</c:f>
              <c:strCache>
                <c:ptCount val="1"/>
                <c:pt idx="0">
                  <c:v>Sum of Factories and other industrial premises %</c:v>
                </c:pt>
              </c:strCache>
            </c:strRef>
          </c:tx>
          <c:spPr>
            <a:solidFill>
              <a:schemeClr val="accent3"/>
            </a:solidFill>
            <a:ln>
              <a:noFill/>
            </a:ln>
            <a:effectLst/>
            <a:sp3d/>
          </c:spPr>
          <c:invertIfNegative val="0"/>
          <c:cat>
            <c:strRef>
              <c:f>BarPivotConsumption!$A$4</c:f>
              <c:strCache>
                <c:ptCount val="1"/>
                <c:pt idx="0">
                  <c:v>Total</c:v>
                </c:pt>
              </c:strCache>
            </c:strRef>
          </c:cat>
          <c:val>
            <c:numRef>
              <c:f>BarPivotConsumption!$C$4</c:f>
              <c:numCache>
                <c:formatCode>0.00%</c:formatCode>
                <c:ptCount val="1"/>
                <c:pt idx="0">
                  <c:v>0.66496106785317033</c:v>
                </c:pt>
              </c:numCache>
            </c:numRef>
          </c:val>
          <c:extLst>
            <c:ext xmlns:c16="http://schemas.microsoft.com/office/drawing/2014/chart" uri="{C3380CC4-5D6E-409C-BE32-E72D297353CC}">
              <c16:uniqueId val="{00000002-FB77-4B3C-95BB-A9BBB3947C43}"/>
            </c:ext>
          </c:extLst>
        </c:ser>
        <c:ser>
          <c:idx val="3"/>
          <c:order val="3"/>
          <c:tx>
            <c:strRef>
              <c:f>BarPivotConsumption!$D$3</c:f>
              <c:strCache>
                <c:ptCount val="1"/>
                <c:pt idx="0">
                  <c:v>Sum of Domestic and farm premises  %</c:v>
                </c:pt>
              </c:strCache>
            </c:strRef>
          </c:tx>
          <c:spPr>
            <a:solidFill>
              <a:schemeClr val="accent4"/>
            </a:solidFill>
            <a:ln>
              <a:noFill/>
            </a:ln>
            <a:effectLst/>
            <a:sp3d/>
          </c:spPr>
          <c:invertIfNegative val="0"/>
          <c:cat>
            <c:strRef>
              <c:f>BarPivotConsumption!$A$4</c:f>
              <c:strCache>
                <c:ptCount val="1"/>
                <c:pt idx="0">
                  <c:v>Total</c:v>
                </c:pt>
              </c:strCache>
            </c:strRef>
          </c:cat>
          <c:val>
            <c:numRef>
              <c:f>BarPivotConsumption!$D$4</c:f>
              <c:numCache>
                <c:formatCode>0.00%</c:formatCode>
                <c:ptCount val="1"/>
                <c:pt idx="0">
                  <c:v>0.10077864293659623</c:v>
                </c:pt>
              </c:numCache>
            </c:numRef>
          </c:val>
          <c:extLst>
            <c:ext xmlns:c16="http://schemas.microsoft.com/office/drawing/2014/chart" uri="{C3380CC4-5D6E-409C-BE32-E72D297353CC}">
              <c16:uniqueId val="{00000003-FB77-4B3C-95BB-A9BBB3947C43}"/>
            </c:ext>
          </c:extLst>
        </c:ser>
        <c:ser>
          <c:idx val="4"/>
          <c:order val="4"/>
          <c:tx>
            <c:strRef>
              <c:f>BarPivotConsumption!$E$3</c:f>
              <c:strCache>
                <c:ptCount val="1"/>
                <c:pt idx="0">
                  <c:v>Sum of Traction%</c:v>
                </c:pt>
              </c:strCache>
            </c:strRef>
          </c:tx>
          <c:spPr>
            <a:solidFill>
              <a:schemeClr val="accent5"/>
            </a:solidFill>
            <a:ln>
              <a:noFill/>
            </a:ln>
            <a:effectLst/>
            <a:sp3d/>
          </c:spPr>
          <c:invertIfNegative val="0"/>
          <c:cat>
            <c:strRef>
              <c:f>BarPivotConsumption!$A$4</c:f>
              <c:strCache>
                <c:ptCount val="1"/>
                <c:pt idx="0">
                  <c:v>Total</c:v>
                </c:pt>
              </c:strCache>
            </c:strRef>
          </c:cat>
          <c:val>
            <c:numRef>
              <c:f>BarPivotConsumption!$E$4</c:f>
              <c:numCache>
                <c:formatCode>0.00%</c:formatCode>
                <c:ptCount val="1"/>
                <c:pt idx="0">
                  <c:v>9.8553948832035609E-2</c:v>
                </c:pt>
              </c:numCache>
            </c:numRef>
          </c:val>
          <c:extLst>
            <c:ext xmlns:c16="http://schemas.microsoft.com/office/drawing/2014/chart" uri="{C3380CC4-5D6E-409C-BE32-E72D297353CC}">
              <c16:uniqueId val="{00000004-FB77-4B3C-95BB-A9BBB3947C43}"/>
            </c:ext>
          </c:extLst>
        </c:ser>
        <c:dLbls>
          <c:showLegendKey val="0"/>
          <c:showVal val="0"/>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sumption Category'!A1"/><Relationship Id="rId3" Type="http://schemas.openxmlformats.org/officeDocument/2006/relationships/hyperlink" Target="#AvailabilityPiePivot!A1"/><Relationship Id="rId7" Type="http://schemas.openxmlformats.org/officeDocument/2006/relationships/hyperlink" Target="#PivotConsumption!A1"/><Relationship Id="rId2" Type="http://schemas.openxmlformats.org/officeDocument/2006/relationships/hyperlink" Target="#SupplyPiePivot!A1"/><Relationship Id="rId1" Type="http://schemas.openxmlformats.org/officeDocument/2006/relationships/hyperlink" Target="#DashboardForSupplyAvaComsump!A1"/><Relationship Id="rId6" Type="http://schemas.openxmlformats.org/officeDocument/2006/relationships/hyperlink" Target="#SupplyAvaility!A1"/><Relationship Id="rId5" Type="http://schemas.openxmlformats.org/officeDocument/2006/relationships/hyperlink" Target="#BarPivotConsumption!A1"/><Relationship Id="rId4" Type="http://schemas.openxmlformats.org/officeDocument/2006/relationships/hyperlink" Target="#LinePivot!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23EA70CE-0572-44E1-AB35-D0D3042C7F9A}"/>
            </a:ext>
          </a:extLst>
        </xdr:cNvPr>
        <xdr:cNvSpPr/>
      </xdr:nvSpPr>
      <xdr:spPr>
        <a:xfrm>
          <a:off x="2171699" y="8572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1A0C8FFF-2F4B-4A4D-998C-4A2DBDD10AD7}"/>
            </a:ext>
          </a:extLst>
        </xdr:cNvPr>
        <xdr:cNvSpPr/>
      </xdr:nvSpPr>
      <xdr:spPr>
        <a:xfrm>
          <a:off x="2171699" y="12001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8A35F445-E00A-4E81-91BC-C1359C626423}"/>
            </a:ext>
          </a:extLst>
        </xdr:cNvPr>
        <xdr:cNvSpPr/>
      </xdr:nvSpPr>
      <xdr:spPr>
        <a:xfrm>
          <a:off x="2171699" y="15430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5">
          <a:hlinkClick xmlns:r="http://schemas.openxmlformats.org/officeDocument/2006/relationships" r:id="rId4"/>
          <a:extLst>
            <a:ext uri="{FF2B5EF4-FFF2-40B4-BE49-F238E27FC236}">
              <a16:creationId xmlns:a16="http://schemas.microsoft.com/office/drawing/2014/main" id="{FCD03E5D-0B8F-475C-B3F0-70D1CC0F7E40}"/>
            </a:ext>
          </a:extLst>
        </xdr:cNvPr>
        <xdr:cNvSpPr/>
      </xdr:nvSpPr>
      <xdr:spPr>
        <a:xfrm>
          <a:off x="2171699" y="18859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96BA0424-428F-45F3-81C5-D09EDA22F5DD}"/>
            </a:ext>
          </a:extLst>
        </xdr:cNvPr>
        <xdr:cNvSpPr/>
      </xdr:nvSpPr>
      <xdr:spPr>
        <a:xfrm>
          <a:off x="2171699" y="22288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7">
          <a:hlinkClick xmlns:r="http://schemas.openxmlformats.org/officeDocument/2006/relationships" r:id="rId6"/>
          <a:extLst>
            <a:ext uri="{FF2B5EF4-FFF2-40B4-BE49-F238E27FC236}">
              <a16:creationId xmlns:a16="http://schemas.microsoft.com/office/drawing/2014/main" id="{F969E47D-C652-4579-9C09-30F1A9BE8205}"/>
            </a:ext>
          </a:extLst>
        </xdr:cNvPr>
        <xdr:cNvSpPr/>
      </xdr:nvSpPr>
      <xdr:spPr>
        <a:xfrm>
          <a:off x="2171699" y="25717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8">
          <a:hlinkClick xmlns:r="http://schemas.openxmlformats.org/officeDocument/2006/relationships" r:id="rId7"/>
          <a:extLst>
            <a:ext uri="{FF2B5EF4-FFF2-40B4-BE49-F238E27FC236}">
              <a16:creationId xmlns:a16="http://schemas.microsoft.com/office/drawing/2014/main" id="{22DE5AE5-3A0F-42E6-A1EE-29DBCB6BE90D}"/>
            </a:ext>
          </a:extLst>
        </xdr:cNvPr>
        <xdr:cNvSpPr/>
      </xdr:nvSpPr>
      <xdr:spPr>
        <a:xfrm>
          <a:off x="2171699" y="29146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9">
          <a:hlinkClick xmlns:r="http://schemas.openxmlformats.org/officeDocument/2006/relationships" r:id="rId8"/>
          <a:extLst>
            <a:ext uri="{FF2B5EF4-FFF2-40B4-BE49-F238E27FC236}">
              <a16:creationId xmlns:a16="http://schemas.microsoft.com/office/drawing/2014/main" id="{4DA7D5AB-D217-48BD-98C0-65D84F6C2227}"/>
            </a:ext>
          </a:extLst>
        </xdr:cNvPr>
        <xdr:cNvSpPr/>
      </xdr:nvSpPr>
      <xdr:spPr>
        <a:xfrm>
          <a:off x="2171699" y="32575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374650</xdr:colOff>
      <xdr:row>4</xdr:row>
      <xdr:rowOff>12700</xdr:rowOff>
    </xdr:from>
    <xdr:to>
      <xdr:col>7</xdr:col>
      <xdr:colOff>539750</xdr:colOff>
      <xdr:row>15</xdr:row>
      <xdr:rowOff>63500</xdr:rowOff>
    </xdr:to>
    <xdr:graphicFrame macro="">
      <xdr:nvGraphicFramePr>
        <xdr:cNvPr id="7" name="图表 6">
          <a:extLst>
            <a:ext uri="{FF2B5EF4-FFF2-40B4-BE49-F238E27FC236}">
              <a16:creationId xmlns:a16="http://schemas.microsoft.com/office/drawing/2014/main" id="{E5C86C2D-AC14-465F-954C-4BB1BEE36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228601</xdr:colOff>
      <xdr:row>4</xdr:row>
      <xdr:rowOff>41412</xdr:rowOff>
    </xdr:from>
    <xdr:to>
      <xdr:col>12</xdr:col>
      <xdr:colOff>462447</xdr:colOff>
      <xdr:row>15</xdr:row>
      <xdr:rowOff>38099</xdr:rowOff>
    </xdr:to>
    <xdr:graphicFrame macro="">
      <xdr:nvGraphicFramePr>
        <xdr:cNvPr id="8" name="图表 7">
          <a:extLst>
            <a:ext uri="{FF2B5EF4-FFF2-40B4-BE49-F238E27FC236}">
              <a16:creationId xmlns:a16="http://schemas.microsoft.com/office/drawing/2014/main" id="{10235CC4-60C7-4161-BC62-3D8911F72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69022</xdr:colOff>
      <xdr:row>16</xdr:row>
      <xdr:rowOff>165652</xdr:rowOff>
    </xdr:from>
    <xdr:to>
      <xdr:col>12</xdr:col>
      <xdr:colOff>683315</xdr:colOff>
      <xdr:row>36</xdr:row>
      <xdr:rowOff>186358</xdr:rowOff>
    </xdr:to>
    <xdr:graphicFrame macro="">
      <xdr:nvGraphicFramePr>
        <xdr:cNvPr id="9" name="图表 8">
          <a:extLst>
            <a:ext uri="{FF2B5EF4-FFF2-40B4-BE49-F238E27FC236}">
              <a16:creationId xmlns:a16="http://schemas.microsoft.com/office/drawing/2014/main" id="{070F8208-05F3-4DF4-950C-E5C46F8C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4</xdr:row>
      <xdr:rowOff>28578</xdr:rowOff>
    </xdr:from>
    <xdr:to>
      <xdr:col>3</xdr:col>
      <xdr:colOff>222250</xdr:colOff>
      <xdr:row>16</xdr:row>
      <xdr:rowOff>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0B67E07-578C-4612-9D02-AF0F30A671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850" y="816854"/>
              <a:ext cx="1834055" cy="2336249"/>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22</xdr:col>
      <xdr:colOff>87796</xdr:colOff>
      <xdr:row>4</xdr:row>
      <xdr:rowOff>139012</xdr:rowOff>
    </xdr:from>
    <xdr:to>
      <xdr:col>25</xdr:col>
      <xdr:colOff>240472</xdr:colOff>
      <xdr:row>16</xdr:row>
      <xdr:rowOff>110434</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ED894040-4ECE-4660-92B4-01777786B0D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573829" y="939664"/>
              <a:ext cx="1829904" cy="2373379"/>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255380</xdr:colOff>
      <xdr:row>18</xdr:row>
      <xdr:rowOff>96630</xdr:rowOff>
    </xdr:from>
    <xdr:to>
      <xdr:col>21</xdr:col>
      <xdr:colOff>354771</xdr:colOff>
      <xdr:row>32</xdr:row>
      <xdr:rowOff>37548</xdr:rowOff>
    </xdr:to>
    <xdr:graphicFrame macro="">
      <xdr:nvGraphicFramePr>
        <xdr:cNvPr id="13" name="Chart 12">
          <a:extLst>
            <a:ext uri="{FF2B5EF4-FFF2-40B4-BE49-F238E27FC236}">
              <a16:creationId xmlns:a16="http://schemas.microsoft.com/office/drawing/2014/main" id="{0D9DF1FE-801F-4582-A318-5AE19C30F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296793</xdr:colOff>
      <xdr:row>3</xdr:row>
      <xdr:rowOff>124239</xdr:rowOff>
    </xdr:from>
    <xdr:to>
      <xdr:col>21</xdr:col>
      <xdr:colOff>395355</xdr:colOff>
      <xdr:row>17</xdr:row>
      <xdr:rowOff>111539</xdr:rowOff>
    </xdr:to>
    <xdr:graphicFrame macro="">
      <xdr:nvGraphicFramePr>
        <xdr:cNvPr id="14" name="图表 1">
          <a:extLst>
            <a:ext uri="{FF2B5EF4-FFF2-40B4-BE49-F238E27FC236}">
              <a16:creationId xmlns:a16="http://schemas.microsoft.com/office/drawing/2014/main" id="{E725473C-C509-44ED-91E4-ACFE4E3B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327025</xdr:colOff>
      <xdr:row>9</xdr:row>
      <xdr:rowOff>66675</xdr:rowOff>
    </xdr:from>
    <xdr:to>
      <xdr:col>5</xdr:col>
      <xdr:colOff>15875</xdr:colOff>
      <xdr:row>24</xdr:row>
      <xdr:rowOff>142875</xdr:rowOff>
    </xdr:to>
    <xdr:graphicFrame macro="">
      <xdr:nvGraphicFramePr>
        <xdr:cNvPr id="2" name="图表 1">
          <a:extLst>
            <a:ext uri="{FF2B5EF4-FFF2-40B4-BE49-F238E27FC236}">
              <a16:creationId xmlns:a16="http://schemas.microsoft.com/office/drawing/2014/main" id="{39825987-5872-450E-9399-638ED2A1D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193675</xdr:colOff>
      <xdr:row>7</xdr:row>
      <xdr:rowOff>158750</xdr:rowOff>
    </xdr:from>
    <xdr:to>
      <xdr:col>3</xdr:col>
      <xdr:colOff>425450</xdr:colOff>
      <xdr:row>24</xdr:row>
      <xdr:rowOff>19049</xdr:rowOff>
    </xdr:to>
    <xdr:graphicFrame macro="">
      <xdr:nvGraphicFramePr>
        <xdr:cNvPr id="2" name="图表 1">
          <a:extLst>
            <a:ext uri="{FF2B5EF4-FFF2-40B4-BE49-F238E27FC236}">
              <a16:creationId xmlns:a16="http://schemas.microsoft.com/office/drawing/2014/main" id="{302E9B34-6F5D-49DC-ABDE-81EA7D775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1</xdr:row>
      <xdr:rowOff>190500</xdr:rowOff>
    </xdr:from>
    <xdr:to>
      <xdr:col>21</xdr:col>
      <xdr:colOff>12700</xdr:colOff>
      <xdr:row>23</xdr:row>
      <xdr:rowOff>57150</xdr:rowOff>
    </xdr:to>
    <xdr:graphicFrame macro="">
      <xdr:nvGraphicFramePr>
        <xdr:cNvPr id="2" name="LinePivot">
          <a:extLst>
            <a:ext uri="{FF2B5EF4-FFF2-40B4-BE49-F238E27FC236}">
              <a16:creationId xmlns:a16="http://schemas.microsoft.com/office/drawing/2014/main" id="{B52A5648-502D-4229-BCF8-E17BF405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1069975</xdr:colOff>
      <xdr:row>6</xdr:row>
      <xdr:rowOff>180975</xdr:rowOff>
    </xdr:from>
    <xdr:to>
      <xdr:col>2</xdr:col>
      <xdr:colOff>257175</xdr:colOff>
      <xdr:row>20</xdr:row>
      <xdr:rowOff>168275</xdr:rowOff>
    </xdr:to>
    <xdr:graphicFrame macro="">
      <xdr:nvGraphicFramePr>
        <xdr:cNvPr id="2" name="Chart 1">
          <a:extLst>
            <a:ext uri="{FF2B5EF4-FFF2-40B4-BE49-F238E27FC236}">
              <a16:creationId xmlns:a16="http://schemas.microsoft.com/office/drawing/2014/main" id="{3362B401-83AF-4ED1-9A0A-DC05B1A8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222250</xdr:colOff>
      <xdr:row>4</xdr:row>
      <xdr:rowOff>177800</xdr:rowOff>
    </xdr:from>
    <xdr:to>
      <xdr:col>8</xdr:col>
      <xdr:colOff>755650</xdr:colOff>
      <xdr:row>18</xdr:row>
      <xdr:rowOff>165100</xdr:rowOff>
    </xdr:to>
    <xdr:graphicFrame macro="">
      <xdr:nvGraphicFramePr>
        <xdr:cNvPr id="2" name="图表 1">
          <a:extLst>
            <a:ext uri="{FF2B5EF4-FFF2-40B4-BE49-F238E27FC236}">
              <a16:creationId xmlns:a16="http://schemas.microsoft.com/office/drawing/2014/main" id="{E7FF85D2-8F9F-4246-AEAD-C284A3E94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3.951923958331" createdVersion="6" refreshedVersion="6" minRefreshableVersion="3" recordCount="34" xr:uid="{29DAE57B-8FC1-48F3-9EC4-A118C0E85255}">
  <cacheSource type="worksheet">
    <worksheetSource name="SupplyAvailability"/>
  </cacheSource>
  <cacheFields count="12">
    <cacheField name="Year" numFmtId="0">
      <sharedItems containsSemiMixedTypes="0" containsString="0" containsNumber="1" containsInteger="1" minValue="1986" maxValue="2019" count="34">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Electricity supplied (net)" numFmtId="176">
      <sharedItems containsSemiMixedTypes="0" containsString="0" containsNumber="1" minValue="272.64499999999998" maxValue="376.78"/>
    </cacheField>
    <cacheField name="Purchases from other producers" numFmtId="176">
      <sharedItems containsSemiMixedTypes="0" containsString="0" containsNumber="1" minValue="0" maxValue="0.55000000000000004"/>
    </cacheField>
    <cacheField name="Net Imports" numFmtId="176">
      <sharedItems containsSemiMixedTypes="0" containsString="0" containsNumber="1" minValue="2.16" maxValue="21.170470099999999"/>
    </cacheField>
    <cacheField name="Electricity available" numFmtId="176">
      <sharedItems containsSemiMixedTypes="0" containsString="0" containsNumber="1" minValue="277.45000000000005" maxValue="385.101"/>
    </cacheField>
    <cacheField name="Losses in transmission" numFmtId="176">
      <sharedItems containsSemiMixedTypes="0" containsString="0" containsNumber="1" minValue="22.84" maxValue="33.175000000000011"/>
    </cacheField>
    <cacheField name="Availability/SupplyTotal" numFmtId="176">
      <sharedItems containsSemiMixedTypes="0" containsString="0" containsNumber="1" minValue="254.58000000000004" maxValue="357.19900000000001" count="34">
        <n v="254.58000000000004"/>
        <n v="268.38"/>
        <n v="274.5"/>
        <n v="279.39999999999998"/>
        <n v="284.42"/>
        <n v="290.84000000000003"/>
        <n v="291.45"/>
        <n v="295.75"/>
        <n v="292.83"/>
        <n v="303.92"/>
        <n v="319.7781796218286"/>
        <n v="321.06500000000005"/>
        <n v="325.35000000000002"/>
        <n v="332.0529075"/>
        <n v="340.29599999999994"/>
        <n v="342.50400000000002"/>
        <n v="344.10899999999998"/>
        <n v="346.61700000000002"/>
        <n v="347.714"/>
        <n v="357.19900000000001"/>
        <n v="353.863"/>
        <n v="351.44900000000001"/>
        <n v="350.09899999999999"/>
        <n v="330.02"/>
        <n v="337.51128171747797"/>
        <n v="325.91907110947062"/>
        <n v="325.4818778970004"/>
        <n v="324.38484633124494"/>
        <n v="310.80443694204644"/>
        <n v="311.42276089552985"/>
        <n v="311.29688932830464"/>
        <n v="306.79287935843939"/>
        <n v="307.37459679360495"/>
        <n v="302.0048858233601"/>
      </sharedItems>
    </cacheField>
    <cacheField name="Fuel industries" numFmtId="176">
      <sharedItems containsSemiMixedTypes="0" containsString="0" containsNumber="1" minValue="6.5295832808322674" maxValue="10.059641982066207"/>
    </cacheField>
    <cacheField name="User Industrial" numFmtId="176">
      <sharedItems containsSemiMixedTypes="0" containsString="0" containsNumber="1" minValue="84.474999999999994" maxValue="116.69927453685709"/>
    </cacheField>
    <cacheField name="User Domestic" numFmtId="176">
      <sharedItems containsSemiMixedTypes="0" containsString="0" containsNumber="1" minValue="91.83" maxValue="125.711"/>
    </cacheField>
    <cacheField name="User Other" numFmtId="176">
      <sharedItems containsSemiMixedTypes="0" containsString="0" containsNumber="1" minValue="69.680000000000007" maxValue="107.87120397034751"/>
    </cacheField>
    <cacheField name="User Total" numFmtId="176">
      <sharedItems containsSemiMixedTypes="0" containsString="0" containsNumber="1" minValue="245.98500000000001" maxValue="349.34927453685708"/>
    </cacheField>
  </cacheFields>
  <extLst>
    <ext xmlns:x14="http://schemas.microsoft.com/office/spreadsheetml/2009/9/main" uri="{725AE2AE-9491-48be-B2B4-4EB974FC3084}">
      <x14:pivotCacheDefinition pivotCacheId="20854136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4.013195717591" createdVersion="6" refreshedVersion="6" minRefreshableVersion="3" recordCount="46" xr:uid="{589E2900-D227-49FF-A56E-50E6325D1190}">
  <cacheSource type="worksheet">
    <worksheetSource name="ComsumptionCategory"/>
  </cacheSource>
  <cacheFields count="12">
    <cacheField name="Year" numFmtId="0">
      <sharedItems containsSemiMixedTypes="0" containsString="0" containsNumber="1" containsInteger="1" minValue="1920" maxValue="1965" count="46">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sharedItems>
    </cacheField>
    <cacheField name="Domestic and farm premises  " numFmtId="4">
      <sharedItems containsSemiMixedTypes="0" containsString="0" containsNumber="1" minValue="0.29699999999999999" maxValue="59.420999999999999"/>
    </cacheField>
    <cacheField name="Shops offices,and other commercial  premises " numFmtId="4">
      <sharedItems containsSemiMixedTypes="0" containsString="0" containsNumber="1" minValue="0.39800000000000002" maxValue="23.427"/>
    </cacheField>
    <cacheField name="Factories and other industrial premises" numFmtId="4">
      <sharedItems containsSemiMixedTypes="0" containsString="0" containsNumber="1" minValue="2.081" maxValue="65.040000000000006"/>
    </cacheField>
    <cacheField name="Public lighting" numFmtId="177">
      <sharedItems containsSemiMixedTypes="0" containsString="0" containsNumber="1" minValue="1.7000000000000001E-2" maxValue="1.26"/>
    </cacheField>
    <cacheField name="Traction" numFmtId="177">
      <sharedItems containsSemiMixedTypes="0" containsString="0" containsNumber="1" minValue="0.39100000000000001" maxValue="1.923"/>
    </cacheField>
    <cacheField name="ConsumptionTotal" numFmtId="4">
      <sharedItems containsSemiMixedTypes="0" containsString="0" containsNumber="1" minValue="3.242" maxValue="151.071"/>
    </cacheField>
    <cacheField name="Domestic and farm premises  %" numFmtId="10">
      <sharedItems containsSemiMixedTypes="0" containsString="0" containsNumber="1" minValue="8.0118694362017795E-2" maxValue="0.40698543145311922"/>
    </cacheField>
    <cacheField name="Shops offices,and other commercial  premises %" numFmtId="10">
      <sharedItems containsSemiMixedTypes="0" containsString="0" containsNumber="1" minValue="9.7363986136284136E-2" maxValue="0.15507278034831304"/>
    </cacheField>
    <cacheField name="Factories and other industrial premises %" numFmtId="10">
      <sharedItems containsSemiMixedTypes="0" containsString="0" containsNumber="1" minValue="0.41917071348524471" maxValue="0.68653898030752625"/>
    </cacheField>
    <cacheField name="Public lighting%" numFmtId="10">
      <sharedItems containsSemiMixedTypes="0" containsString="0" containsNumber="1" minValue="6.3595026868898852E-4" maxValue="1.9555817610062892E-2"/>
    </cacheField>
    <cacheField name="Traction%" numFmtId="10">
      <sharedItems containsSemiMixedTypes="0" containsString="0" containsNumber="1" minValue="1.2729114125146455E-2" maxValue="0.12060456508328193"/>
    </cacheField>
  </cacheFields>
  <extLst>
    <ext xmlns:x14="http://schemas.microsoft.com/office/spreadsheetml/2009/9/main" uri="{725AE2AE-9491-48be-B2B4-4EB974FC3084}">
      <x14:pivotCacheDefinition pivotCacheId="213791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272.64499999999998"/>
    <n v="0.55000000000000004"/>
    <n v="4.26"/>
    <n v="277.45000000000005"/>
    <n v="22.869999999999997"/>
    <x v="0"/>
    <n v="8.5949999999999989"/>
    <n v="84.474999999999994"/>
    <n v="91.83"/>
    <n v="69.680000000000007"/>
    <n v="245.98500000000001"/>
  </r>
  <r>
    <x v="1"/>
    <n v="279.70999999999998"/>
    <n v="0"/>
    <n v="11.64"/>
    <n v="291.33999999999997"/>
    <n v="22.96"/>
    <x v="1"/>
    <n v="9.49"/>
    <n v="93.14"/>
    <n v="93.25"/>
    <n v="72.5"/>
    <n v="258.89"/>
  </r>
  <r>
    <x v="2"/>
    <n v="285.70999999999998"/>
    <n v="0"/>
    <n v="12.14"/>
    <n v="297.85000000000002"/>
    <n v="23.35"/>
    <x v="2"/>
    <n v="9.16"/>
    <n v="97.14"/>
    <n v="92.36"/>
    <n v="75.84"/>
    <n v="265.34000000000003"/>
  </r>
  <r>
    <x v="3"/>
    <n v="291.75"/>
    <n v="0"/>
    <n v="12.63"/>
    <n v="304.38"/>
    <n v="24.98"/>
    <x v="3"/>
    <n v="9"/>
    <n v="99.42"/>
    <n v="92.27"/>
    <n v="78.709999999999994"/>
    <n v="270.39999999999998"/>
  </r>
  <r>
    <x v="4"/>
    <n v="297.5"/>
    <n v="0"/>
    <n v="11.91"/>
    <n v="309.41000000000003"/>
    <n v="24.99"/>
    <x v="4"/>
    <n v="9.99"/>
    <n v="100.64"/>
    <n v="93.79"/>
    <n v="80"/>
    <n v="274.43"/>
  </r>
  <r>
    <x v="5"/>
    <n v="300.64999999999998"/>
    <n v="0"/>
    <n v="16.41"/>
    <n v="317.06"/>
    <n v="26.22"/>
    <x v="5"/>
    <n v="9.7899999999999991"/>
    <n v="99.57"/>
    <n v="98.1"/>
    <n v="83.38"/>
    <n v="281.04999999999995"/>
  </r>
  <r>
    <x v="6"/>
    <n v="298.55"/>
    <n v="0"/>
    <n v="16.690000000000001"/>
    <n v="315.24"/>
    <n v="23.79"/>
    <x v="6"/>
    <n v="9.98"/>
    <n v="95.28"/>
    <n v="99.48"/>
    <n v="86.71"/>
    <n v="281.46999999999997"/>
  </r>
  <r>
    <x v="7"/>
    <n v="301.87"/>
    <n v="0"/>
    <n v="16.72"/>
    <n v="318.58999999999997"/>
    <n v="22.84"/>
    <x v="7"/>
    <n v="9.6199999999999992"/>
    <n v="96.84"/>
    <n v="100.46"/>
    <n v="88.83"/>
    <n v="286.13"/>
  </r>
  <r>
    <x v="8"/>
    <n v="306.94"/>
    <n v="0"/>
    <n v="16.89"/>
    <n v="323.83"/>
    <n v="31"/>
    <x v="8"/>
    <n v="7.52"/>
    <n v="96.12"/>
    <n v="101.41"/>
    <n v="87.78"/>
    <n v="285.31"/>
  </r>
  <r>
    <x v="9"/>
    <n v="317.63"/>
    <n v="0"/>
    <n v="16.61"/>
    <n v="334.24"/>
    <n v="30.32"/>
    <x v="9"/>
    <n v="8.07"/>
    <n v="101.78"/>
    <n v="102.21"/>
    <n v="91.86"/>
    <n v="295.85000000000002"/>
  </r>
  <r>
    <x v="10"/>
    <n v="332.35899999999998"/>
    <n v="0"/>
    <n v="16.754999999999999"/>
    <n v="349.11399999999998"/>
    <n v="29.335820378171377"/>
    <x v="10"/>
    <n v="9.2110000000000003"/>
    <n v="107.63117962182857"/>
    <n v="107.51300000000001"/>
    <n v="95.423000000000002"/>
    <n v="310.56717962182859"/>
  </r>
  <r>
    <x v="11"/>
    <n v="331.62900000000002"/>
    <n v="0"/>
    <n v="16.574000000000002"/>
    <n v="348.20299999999997"/>
    <n v="27.13799999999992"/>
    <x v="11"/>
    <n v="8.6240000000000006"/>
    <n v="108.102"/>
    <n v="104.455"/>
    <n v="99.884"/>
    <n v="312.44100000000003"/>
  </r>
  <r>
    <x v="12"/>
    <n v="342.7"/>
    <n v="0"/>
    <n v="12.468"/>
    <n v="355.16800000000001"/>
    <n v="29.817999999999984"/>
    <x v="12"/>
    <n v="8.4060000000000006"/>
    <n v="108.44300000000001"/>
    <n v="109.41"/>
    <n v="99.090999999999994"/>
    <n v="316.94400000000002"/>
  </r>
  <r>
    <x v="13"/>
    <n v="347.67099999999999"/>
    <n v="0"/>
    <n v="14.244"/>
    <n v="361.91500000000002"/>
    <n v="29.862092500000017"/>
    <x v="13"/>
    <n v="8.036999999999999"/>
    <n v="112.25"/>
    <n v="110.30800000000001"/>
    <n v="101.4579075"/>
    <n v="324.01590750000003"/>
  </r>
  <r>
    <x v="14"/>
    <n v="357.26600000000002"/>
    <n v="0"/>
    <n v="14.173999999999999"/>
    <n v="371.44"/>
    <n v="31.144000000000062"/>
    <x v="14"/>
    <n v="9.7030000000000012"/>
    <n v="115.286"/>
    <n v="111.842"/>
    <n v="103.465"/>
    <n v="330.59299999999996"/>
  </r>
  <r>
    <x v="15"/>
    <n v="364.17399999999998"/>
    <n v="0"/>
    <n v="10.398999999999999"/>
    <n v="374.57299999999998"/>
    <n v="32.06899999999996"/>
    <x v="15"/>
    <n v="8.625"/>
    <n v="112.495"/>
    <n v="115.337"/>
    <n v="106.047"/>
    <n v="333.87900000000002"/>
  </r>
  <r>
    <x v="16"/>
    <n v="366.65799999999996"/>
    <n v="0"/>
    <n v="8.4139999999999997"/>
    <n v="375.072"/>
    <n v="30.963000000000022"/>
    <x v="16"/>
    <n v="10.059641982066207"/>
    <n v="110.81635801793379"/>
    <n v="120.014"/>
    <n v="103.21899999999999"/>
    <n v="334.0493580179338"/>
  </r>
  <r>
    <x v="17"/>
    <n v="376.52699999999999"/>
    <n v="0"/>
    <n v="2.16"/>
    <n v="378.68700000000001"/>
    <n v="32.069999999999993"/>
    <x v="17"/>
    <n v="9.7515770927932515"/>
    <n v="109.92642290720676"/>
    <n v="123.001"/>
    <n v="103.938"/>
    <n v="336.86542290720678"/>
  </r>
  <r>
    <x v="18"/>
    <n v="373.399"/>
    <n v="0"/>
    <n v="7.49"/>
    <n v="380.88900000000001"/>
    <n v="33.175000000000011"/>
    <x v="18"/>
    <n v="8.1423641905928417"/>
    <n v="112.09163580940715"/>
    <n v="124.2"/>
    <n v="103.28"/>
    <n v="339.57163580940716"/>
  </r>
  <r>
    <x v="19"/>
    <n v="376.78"/>
    <n v="0"/>
    <n v="8.3209999999999997"/>
    <n v="385.101"/>
    <n v="27.901999999999987"/>
    <x v="19"/>
    <n v="7.8497254631429083"/>
    <n v="116.69927453685709"/>
    <n v="125.711"/>
    <n v="106.93899999999999"/>
    <n v="349.34927453685708"/>
  </r>
  <r>
    <x v="20"/>
    <n v="373.86099999999999"/>
    <n v="0"/>
    <n v="7.5170000000000003"/>
    <n v="381.37799999999999"/>
    <n v="27.514999999999986"/>
    <x v="20"/>
    <n v="7.997398940542281"/>
    <n v="115.53260105945772"/>
    <n v="124.70399999999999"/>
    <n v="105.629"/>
    <n v="345.86560105945773"/>
  </r>
  <r>
    <x v="21"/>
    <n v="374.06400000000002"/>
    <n v="0"/>
    <n v="5.2149999999999999"/>
    <n v="379.279"/>
    <n v="27.829999999999984"/>
    <x v="21"/>
    <n v="9.1862512624189527"/>
    <n v="113.40574873758105"/>
    <n v="123.07599999999999"/>
    <n v="105.78100000000001"/>
    <n v="342.26274873758103"/>
  </r>
  <r>
    <x v="22"/>
    <n v="367.17998658756744"/>
    <n v="0"/>
    <n v="11.0221016590168"/>
    <n v="378.20208824658425"/>
    <n v="28.103088246584264"/>
    <x v="22"/>
    <n v="7.7094997034225203"/>
    <n v="114.15090713070066"/>
    <n v="119.79999999999998"/>
    <n v="107.87120397034751"/>
    <n v="341.82211110104816"/>
  </r>
  <r>
    <x v="23"/>
    <n v="355.30583825398833"/>
    <n v="0"/>
    <n v="2.8608092699318002"/>
    <n v="358.16664752392012"/>
    <n v="28.146647523920137"/>
    <x v="23"/>
    <n v="7.6681015729860338"/>
    <n v="99.737984526683377"/>
    <n v="118.54079334272313"/>
    <n v="103.46928503823607"/>
    <n v="321.74806290764258"/>
  </r>
  <r>
    <x v="24"/>
    <n v="361.73401283653669"/>
    <n v="0"/>
    <n v="2.6634084573440799"/>
    <n v="364.39742129388071"/>
    <n v="26.886139576402741"/>
    <x v="24"/>
    <n v="8.2531024037313863"/>
    <n v="104.95839178283407"/>
    <n v="118.83195263410775"/>
    <n v="105.46783489680477"/>
    <n v="329.25817931374661"/>
  </r>
  <r>
    <x v="25"/>
    <n v="347.68750030216455"/>
    <n v="0"/>
    <n v="6.22189679804581"/>
    <n v="353.9093971002103"/>
    <n v="27.990325990739677"/>
    <x v="25"/>
    <n v="7.665896181573971"/>
    <n v="102.79588669814831"/>
    <n v="111.58641761428098"/>
    <n v="103.87087061546734"/>
    <n v="318.25317492789662"/>
  </r>
  <r>
    <x v="26"/>
    <n v="341.91240691484899"/>
    <n v="0"/>
    <n v="11.863935920999999"/>
    <n v="353.77634283584899"/>
    <n v="28.294464938848591"/>
    <x v="26"/>
    <n v="6.7250170884556679"/>
    <n v="98.941135807560087"/>
    <n v="114.66262542679949"/>
    <n v="105.15309957418515"/>
    <n v="318.75686080854473"/>
  </r>
  <r>
    <x v="27"/>
    <n v="336.50416436439099"/>
    <n v="0"/>
    <n v="14.430889886499999"/>
    <n v="350.93505425089103"/>
    <n v="26.550207919646084"/>
    <x v="27"/>
    <n v="7.5411218888507268"/>
    <n v="97.553173513596107"/>
    <n v="113.41247237181817"/>
    <n v="105.8780785569799"/>
    <n v="316.8437244423942"/>
  </r>
  <r>
    <x v="28"/>
    <n v="317.73297250503532"/>
    <n v="0"/>
    <n v="20.519788353500001"/>
    <n v="338.2527608585354"/>
    <n v="27.44832391648896"/>
    <x v="28"/>
    <n v="7.4576499000420071"/>
    <n v="93.565807256448807"/>
    <n v="108.07609974809642"/>
    <n v="101.7048800374592"/>
    <n v="303.34678704200445"/>
  </r>
  <r>
    <x v="29"/>
    <n v="318.51293495719887"/>
    <n v="0"/>
    <n v="21.105558817999999"/>
    <n v="339.61849377519889"/>
    <n v="28.195732879669038"/>
    <x v="29"/>
    <n v="7.5313834674564442"/>
    <n v="93.349754369600092"/>
    <n v="107.76384778252712"/>
    <n v="102.77777527594614"/>
    <n v="303.89137742807338"/>
  </r>
  <r>
    <x v="30"/>
    <n v="319.88230754970931"/>
    <n v="0"/>
    <n v="17.745057308"/>
    <n v="337.62736485770932"/>
    <n v="26.33047552940468"/>
    <x v="30"/>
    <n v="7.0210575251182448"/>
    <n v="93.558442331984082"/>
    <n v="108.02504338198162"/>
    <n v="102.69234608922069"/>
    <n v="304.27583180318641"/>
  </r>
  <r>
    <x v="31"/>
    <n v="318.86790981558551"/>
    <n v="0"/>
    <n v="14.7599309418269"/>
    <n v="333.62784075741234"/>
    <n v="26.834961398972951"/>
    <x v="31"/>
    <n v="6.9201686039874426"/>
    <n v="92.531828749346147"/>
    <n v="105.36790073945924"/>
    <n v="101.97298126564652"/>
    <n v="299.87271075445193"/>
  </r>
  <r>
    <x v="32"/>
    <n v="313.97126129657011"/>
    <n v="0"/>
    <n v="19.107650939999999"/>
    <n v="333.07891223657015"/>
    <n v="25.704315442965196"/>
    <x v="32"/>
    <n v="6.7138752079150059"/>
    <n v="94.087756636450223"/>
    <n v="105.06454676977907"/>
    <n v="101.50841817946066"/>
    <n v="300.66072158568994"/>
  </r>
  <r>
    <x v="33"/>
    <n v="307.56635069773097"/>
    <n v="0"/>
    <n v="21.170470099999999"/>
    <n v="328.73682079773101"/>
    <n v="26.731934974370901"/>
    <x v="33"/>
    <n v="6.5295832808322674"/>
    <n v="91.832910130757853"/>
    <n v="103.82486478730694"/>
    <n v="99.817527624463054"/>
    <n v="295.475302542527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0.29699999999999999"/>
    <n v="0.39800000000000002"/>
    <n v="2.5449999999999999"/>
    <n v="4.8000000000000001E-2"/>
    <n v="0.41899999999999998"/>
    <n v="3.7070000000000003"/>
    <n v="8.0118694362017795E-2"/>
    <n v="0.1073644456433774"/>
    <n v="0.68653898030752625"/>
    <n v="1.2948475856487725E-2"/>
    <n v="0.11302940383059076"/>
  </r>
  <r>
    <x v="1"/>
    <n v="0.316"/>
    <n v="0.40300000000000002"/>
    <n v="2.081"/>
    <n v="5.0999999999999997E-2"/>
    <n v="0.39100000000000001"/>
    <n v="3.242"/>
    <n v="9.7470697100555212E-2"/>
    <n v="0.1243059839605182"/>
    <n v="0.64188772362739044"/>
    <n v="1.5731030228254162E-2"/>
    <n v="0.12060456508328193"/>
  </r>
  <r>
    <x v="2"/>
    <n v="0.37"/>
    <n v="0.46"/>
    <n v="2.456"/>
    <n v="5.8000000000000003E-2"/>
    <n v="0.41499999999999998"/>
    <n v="3.7589999999999999"/>
    <n v="9.8430433625964348E-2"/>
    <n v="0.12237297153498272"/>
    <n v="0.65336525671721202"/>
    <n v="1.5429635541367386E-2"/>
    <n v="0.11040170258047353"/>
  </r>
  <r>
    <x v="3"/>
    <n v="0.45300000000000001"/>
    <n v="0.54300000000000004"/>
    <n v="2.9889999999999999"/>
    <n v="6.7000000000000004E-2"/>
    <n v="0.443"/>
    <n v="4.4949999999999992"/>
    <n v="0.10077864293659623"/>
    <n v="0.12080088987764186"/>
    <n v="0.66496106785317033"/>
    <n v="1.4905450500556177E-2"/>
    <n v="9.8553948832035609E-2"/>
  </r>
  <r>
    <x v="4"/>
    <n v="0.54300000000000004"/>
    <n v="0.626"/>
    <n v="3.4350000000000001"/>
    <n v="7.8E-2"/>
    <n v="0.48599999999999999"/>
    <n v="5.1680000000000001"/>
    <n v="0.10506965944272446"/>
    <n v="0.12113003095975232"/>
    <n v="0.66466718266253866"/>
    <n v="1.5092879256965943E-2"/>
    <n v="9.4040247678018565E-2"/>
  </r>
  <r>
    <x v="5"/>
    <n v="0.63500000000000001"/>
    <n v="0.69899999999999995"/>
    <n v="3.7090000000000001"/>
    <n v="0.09"/>
    <n v="0.51900000000000002"/>
    <n v="5.6520000000000001"/>
    <n v="0.11234961075725407"/>
    <n v="0.12367303609341825"/>
    <n v="0.65622788393489029"/>
    <n v="1.5923566878980892E-2"/>
    <n v="9.1825902335456483E-2"/>
  </r>
  <r>
    <x v="6"/>
    <n v="0.754"/>
    <n v="0.81200000000000006"/>
    <n v="3.5920000000000001"/>
    <n v="9.6000000000000002E-2"/>
    <n v="0.56299999999999994"/>
    <n v="5.8170000000000002"/>
    <n v="0.12962007907856282"/>
    <n v="0.13959085439229843"/>
    <n v="0.61750042977479802"/>
    <n v="1.6503352243424446E-2"/>
    <n v="9.6785284510916267E-2"/>
  </r>
  <r>
    <x v="7"/>
    <n v="0.92100000000000004"/>
    <n v="0.92300000000000004"/>
    <n v="4.375"/>
    <n v="0.113"/>
    <n v="0.64900000000000002"/>
    <n v="6.9810000000000008"/>
    <n v="0.13192952299097549"/>
    <n v="0.13221601489757914"/>
    <n v="0.62670104569545904"/>
    <n v="1.618679272310557E-2"/>
    <n v="9.2966623692880668E-2"/>
  </r>
  <r>
    <x v="8"/>
    <n v="1.0980000000000001"/>
    <n v="1.042"/>
    <n v="4.7619999999999996"/>
    <n v="0.126"/>
    <n v="0.71599999999999997"/>
    <n v="7.7439999999999998"/>
    <n v="0.14178719008264465"/>
    <n v="0.13455578512396696"/>
    <n v="0.61492768595041314"/>
    <n v="1.6270661157024795E-2"/>
    <n v="9.2458677685950411E-2"/>
  </r>
  <r>
    <x v="9"/>
    <n v="1.3109999999999999"/>
    <n v="1.1910000000000001"/>
    <n v="5.3179999999999996"/>
    <n v="0.14399999999999999"/>
    <n v="0.78200000000000003"/>
    <n v="8.7459999999999987"/>
    <n v="0.14989709581522984"/>
    <n v="0.13617653784587241"/>
    <n v="0.60804939400868974"/>
    <n v="1.6464669563228906E-2"/>
    <n v="8.9412302766979201E-2"/>
  </r>
  <r>
    <x v="10"/>
    <n v="1.532"/>
    <n v="1.3140000000000001"/>
    <n v="5.3550000000000004"/>
    <n v="0.16200000000000001"/>
    <n v="0.80600000000000005"/>
    <n v="9.1690000000000005"/>
    <n v="0.16708474206565602"/>
    <n v="0.14330897589704439"/>
    <n v="0.58403315519685894"/>
    <n v="1.766822990511506E-2"/>
    <n v="8.7904896935325549E-2"/>
  </r>
  <r>
    <x v="11"/>
    <n v="1.776"/>
    <n v="1.4390000000000001"/>
    <n v="5.282"/>
    <n v="0.18099999999999999"/>
    <n v="0.82199999999999995"/>
    <n v="9.4999999999999982"/>
    <n v="0.18694736842105267"/>
    <n v="0.15147368421052634"/>
    <n v="0.55600000000000016"/>
    <n v="1.9052631578947373E-2"/>
    <n v="8.6526315789473701E-2"/>
  </r>
  <r>
    <x v="12"/>
    <n v="2.0270000000000001"/>
    <n v="1.577"/>
    <n v="5.5179999999999998"/>
    <n v="0.19900000000000001"/>
    <n v="0.85499999999999998"/>
    <n v="10.176"/>
    <n v="0.19919418238993711"/>
    <n v="0.15497248427672955"/>
    <n v="0.54225628930817604"/>
    <n v="1.9555817610062892E-2"/>
    <n v="8.4021226415094338E-2"/>
  </r>
  <r>
    <x v="13"/>
    <n v="2.2959999999999998"/>
    <n v="1.7410000000000001"/>
    <n v="6.0730000000000004"/>
    <n v="0.216"/>
    <n v="0.94699999999999995"/>
    <n v="11.272999999999998"/>
    <n v="0.20367249179455338"/>
    <n v="0.15443981194003376"/>
    <n v="0.53872083739909526"/>
    <n v="1.9160826754191434E-2"/>
    <n v="8.400603211212633E-2"/>
  </r>
  <r>
    <x v="14"/>
    <n v="2.6469999999999998"/>
    <n v="1.9630000000000001"/>
    <n v="7.06"/>
    <n v="0.24"/>
    <n v="0.98199999999999998"/>
    <n v="12.891999999999998"/>
    <n v="0.20532112938256286"/>
    <n v="0.15226497052435622"/>
    <n v="0.54762643499844876"/>
    <n v="1.8616196090598825E-2"/>
    <n v="7.6171269004033523E-2"/>
  </r>
  <r>
    <x v="15"/>
    <n v="3.2269999999999999"/>
    <n v="2.2570000000000001"/>
    <n v="7.8529999999999998"/>
    <n v="0.26800000000000002"/>
    <n v="1.036"/>
    <n v="14.641"/>
    <n v="0.2204084420463083"/>
    <n v="0.15415613687589647"/>
    <n v="0.53637046649818998"/>
    <n v="1.8304760603783894E-2"/>
    <n v="7.0760193975821326E-2"/>
  </r>
  <r>
    <x v="16"/>
    <n v="3.964"/>
    <n v="2.6190000000000002"/>
    <n v="8.9139999999999997"/>
    <n v="0.29799999999999999"/>
    <n v="1.0960000000000001"/>
    <n v="16.890999999999998"/>
    <n v="0.23468119116689362"/>
    <n v="0.15505298679770294"/>
    <n v="0.52773666449588541"/>
    <n v="1.7642531525664557E-2"/>
    <n v="6.4886626013853546E-2"/>
  </r>
  <r>
    <x v="17"/>
    <n v="4.6870000000000003"/>
    <n v="2.944"/>
    <n v="10.019"/>
    <n v="0.33900000000000002"/>
    <n v="1.18"/>
    <n v="19.168999999999997"/>
    <n v="0.24450936407741672"/>
    <n v="0.15358130314570403"/>
    <n v="0.522666805780166"/>
    <n v="1.7684803589128283E-2"/>
    <n v="6.1557723407585169E-2"/>
  </r>
  <r>
    <x v="18"/>
    <n v="5.3609999999999998"/>
    <n v="3.1070000000000002"/>
    <n v="10.32"/>
    <n v="0.36699999999999999"/>
    <n v="1.2490000000000001"/>
    <n v="20.404"/>
    <n v="0.26274259949029599"/>
    <n v="0.15227406390903744"/>
    <n v="0.50578317976867282"/>
    <n v="1.7986669280533229E-2"/>
    <n v="6.1213487551460506E-2"/>
  </r>
  <r>
    <x v="19"/>
    <n v="5.9359999999999999"/>
    <n v="3.117"/>
    <n v="11.672000000000001"/>
    <n v="0.248"/>
    <n v="1.2609999999999999"/>
    <n v="22.234000000000002"/>
    <n v="0.26697850139426099"/>
    <n v="0.14019069892956731"/>
    <n v="0.52496177026176127"/>
    <n v="1.1154088333183413E-2"/>
    <n v="5.671494108122694E-2"/>
  </r>
  <r>
    <x v="20"/>
    <n v="6.2279999999999998"/>
    <n v="2.9969999999999999"/>
    <n v="13.874000000000001"/>
    <n v="1.7000000000000001E-2"/>
    <n v="1.147"/>
    <n v="24.262999999999998"/>
    <n v="0.25668713679264726"/>
    <n v="0.1235214112022421"/>
    <n v="0.57181717017681255"/>
    <n v="7.0065531879817016E-4"/>
    <n v="4.7273626509500066E-2"/>
  </r>
  <r>
    <x v="21"/>
    <n v="6.6369999999999996"/>
    <n v="3.266"/>
    <n v="16.244"/>
    <n v="1.7999999999999999E-2"/>
    <n v="1.143"/>
    <n v="27.308"/>
    <n v="0.24304233191738683"/>
    <n v="0.11959865240955031"/>
    <n v="0.59484400175772667"/>
    <n v="6.591475025633514E-4"/>
    <n v="4.1855866412772814E-2"/>
  </r>
  <r>
    <x v="22"/>
    <n v="6.72"/>
    <n v="3.2559999999999998"/>
    <n v="19.141999999999999"/>
    <n v="0.02"/>
    <n v="1.1479999999999999"/>
    <n v="30.285999999999998"/>
    <n v="0.22188469920095094"/>
    <n v="0.10750841973188932"/>
    <n v="0.63204120715842305"/>
    <n v="6.6037112857425875E-4"/>
    <n v="3.790530278016245E-2"/>
  </r>
  <r>
    <x v="23"/>
    <n v="6.7089999999999996"/>
    <n v="3.0619999999999998"/>
    <n v="20.515999999999998"/>
    <n v="0.02"/>
    <n v="1.1419999999999999"/>
    <n v="31.448999999999998"/>
    <n v="0.2133295176317212"/>
    <n v="9.7363986136284136E-2"/>
    <n v="0.65235778562116442"/>
    <n v="6.3595026868898852E-4"/>
    <n v="3.6312760342141245E-2"/>
  </r>
  <r>
    <x v="24"/>
    <n v="7.835"/>
    <n v="3.51"/>
    <n v="19.975999999999999"/>
    <n v="2.9000000000000001E-2"/>
    <n v="1.169"/>
    <n v="32.518999999999998"/>
    <n v="0.24093606814477692"/>
    <n v="0.10793689842861097"/>
    <n v="0.614287032196562"/>
    <n v="8.9178634029336704E-4"/>
    <n v="3.594821488975676E-2"/>
  </r>
  <r>
    <x v="25"/>
    <n v="8.8049999999999997"/>
    <n v="3.4820000000000002"/>
    <n v="17.678999999999998"/>
    <n v="0.161"/>
    <n v="1.236"/>
    <n v="31.363"/>
    <n v="0.28074482670662881"/>
    <n v="0.11102254248636929"/>
    <n v="0.56368969805184455"/>
    <n v="5.1334374900360302E-3"/>
    <n v="3.9409495265121323E-2"/>
  </r>
  <r>
    <x v="26"/>
    <n v="11.663"/>
    <n v="3.8919999999999999"/>
    <n v="17.632000000000001"/>
    <n v="0.24199999999999999"/>
    <n v="1.369"/>
    <n v="34.797999999999995"/>
    <n v="0.33516294039887357"/>
    <n v="0.11184550836254958"/>
    <n v="0.50669578711420205"/>
    <n v="6.9544226679694246E-3"/>
    <n v="3.9341341456405547E-2"/>
  </r>
  <r>
    <x v="27"/>
    <n v="12.728"/>
    <n v="3.9729999999999999"/>
    <n v="17.606000000000002"/>
    <n v="0.19"/>
    <n v="1.361"/>
    <n v="35.857999999999997"/>
    <n v="0.35495565843047577"/>
    <n v="0.11079814825143623"/>
    <n v="0.49099224719727824"/>
    <n v="5.2986781192481463E-3"/>
    <n v="3.7955268001561716E-2"/>
  </r>
  <r>
    <x v="28"/>
    <n v="13.576000000000001"/>
    <n v="4.4690000000000003"/>
    <n v="19.120999999999999"/>
    <n v="0.25700000000000001"/>
    <n v="1.3979999999999999"/>
    <n v="38.820999999999998"/>
    <n v="0.34970763246696379"/>
    <n v="0.11511810617964505"/>
    <n v="0.4925426959635249"/>
    <n v="6.6201282810849802E-3"/>
    <n v="3.6011437108781331E-2"/>
  </r>
  <r>
    <x v="29"/>
    <n v="13.657"/>
    <n v="5.0350000000000001"/>
    <n v="20.445"/>
    <n v="0.33500000000000002"/>
    <n v="1.4470000000000001"/>
    <n v="40.919000000000004"/>
    <n v="0.33375693443143767"/>
    <n v="0.12304797282436031"/>
    <n v="0.49964564138908574"/>
    <n v="8.1869058383635968E-3"/>
    <n v="3.5362545516752608E-2"/>
  </r>
  <r>
    <x v="30"/>
    <n v="14.911"/>
    <n v="5.7649999999999997"/>
    <n v="22.92"/>
    <n v="0.41499999999999998"/>
    <n v="1.4630000000000001"/>
    <n v="45.474000000000004"/>
    <n v="0.32790165809033728"/>
    <n v="0.12677573998328714"/>
    <n v="0.50402427760918322"/>
    <n v="9.1260940317544077E-3"/>
    <n v="3.2172230285437829E-2"/>
  </r>
  <r>
    <x v="31"/>
    <n v="16.939"/>
    <n v="6.3540000000000001"/>
    <n v="25.35"/>
    <n v="0.441"/>
    <n v="1.429"/>
    <n v="50.513000000000005"/>
    <n v="0.33533941757567354"/>
    <n v="0.12578940074832221"/>
    <n v="0.50185100865123822"/>
    <n v="8.7304258309742044E-3"/>
    <n v="2.8289747193791695E-2"/>
  </r>
  <r>
    <x v="32"/>
    <n v="16.869"/>
    <n v="7.1150000000000002"/>
    <n v="26.068000000000001"/>
    <n v="0.47899999999999998"/>
    <n v="1.419"/>
    <n v="51.95"/>
    <n v="0.32471607314725698"/>
    <n v="0.13695861405197304"/>
    <n v="0.50179018286814248"/>
    <n v="9.2204042348411931E-3"/>
    <n v="2.7314725697786334E-2"/>
  </r>
  <r>
    <x v="33"/>
    <n v="17.690999999999999"/>
    <n v="7.9480000000000004"/>
    <n v="28"/>
    <n v="0.52800000000000002"/>
    <n v="1.401"/>
    <n v="55.567999999999998"/>
    <n v="0.31836668586236683"/>
    <n v="0.14303196084077169"/>
    <n v="0.50388712928304058"/>
    <n v="9.5018715807659096E-3"/>
    <n v="2.5212352433054998E-2"/>
  </r>
  <r>
    <x v="34"/>
    <n v="19.074999999999999"/>
    <n v="8.7460000000000004"/>
    <n v="31.553000000000001"/>
    <n v="0.57599999999999996"/>
    <n v="1.4510000000000001"/>
    <n v="61.400999999999996"/>
    <n v="0.31066269279001973"/>
    <n v="0.14244067686194037"/>
    <n v="0.51388413869480953"/>
    <n v="9.3809547075780521E-3"/>
    <n v="2.3631536945652353E-2"/>
  </r>
  <r>
    <x v="35"/>
    <n v="21.146000000000001"/>
    <n v="9.5449999999999999"/>
    <n v="34.634999999999998"/>
    <n v="0.627"/>
    <n v="1.47"/>
    <n v="67.422999999999988"/>
    <n v="0.31363184669919769"/>
    <n v="0.14156890082019491"/>
    <n v="0.51369710632870091"/>
    <n v="9.2994972042181462E-3"/>
    <n v="2.1802648947688477E-2"/>
  </r>
  <r>
    <x v="36"/>
    <n v="23.754999999999999"/>
    <n v="10.337"/>
    <n v="37.223999999999997"/>
    <n v="0.69199999999999995"/>
    <n v="1.512"/>
    <n v="73.52"/>
    <n v="0.3231093579978237"/>
    <n v="0.14060119695321002"/>
    <n v="0.50631120783460282"/>
    <n v="9.4124047878128402E-3"/>
    <n v="2.05658324265506E-2"/>
  </r>
  <r>
    <x v="37"/>
    <n v="24.85"/>
    <n v="10.733000000000001"/>
    <n v="39.347999999999999"/>
    <n v="0.74199999999999999"/>
    <n v="1.5449999999999999"/>
    <n v="77.218000000000004"/>
    <n v="0.3218161568546194"/>
    <n v="0.13899608899479396"/>
    <n v="0.50957030744127019"/>
    <n v="9.6091584863632826E-3"/>
    <n v="2.0008288222953197E-2"/>
  </r>
  <r>
    <x v="38"/>
    <n v="28.227"/>
    <n v="12.057"/>
    <n v="41.241"/>
    <n v="0.79300000000000004"/>
    <n v="1.5509999999999999"/>
    <n v="83.869000000000014"/>
    <n v="0.33656058853688486"/>
    <n v="0.14375991129022642"/>
    <n v="0.4917311521539543"/>
    <n v="9.4552218340507206E-3"/>
    <n v="1.8493126184883565E-2"/>
  </r>
  <r>
    <x v="39"/>
    <n v="30.486999999999998"/>
    <n v="12.837"/>
    <n v="44.695"/>
    <n v="0.85499999999999998"/>
    <n v="1.63"/>
    <n v="90.504000000000005"/>
    <n v="0.33685803942367182"/>
    <n v="0.14183903473879605"/>
    <n v="0.49384557588614864"/>
    <n v="9.4470962609387431E-3"/>
    <n v="1.8010253690444619E-2"/>
  </r>
  <r>
    <x v="40"/>
    <n v="35.270000000000003"/>
    <n v="14.526"/>
    <n v="49.991"/>
    <n v="0.92200000000000004"/>
    <n v="1.6539999999999999"/>
    <n v="102.363"/>
    <n v="0.34455809227943696"/>
    <n v="0.14190674364760705"/>
    <n v="0.4883698211267743"/>
    <n v="9.0071607905200125E-3"/>
    <n v="1.6158182155661713E-2"/>
  </r>
  <r>
    <x v="41"/>
    <n v="39.968000000000004"/>
    <n v="15.808999999999999"/>
    <n v="51.74"/>
    <n v="0.99399999999999999"/>
    <n v="1.7210000000000001"/>
    <n v="110.232"/>
    <n v="0.36258073880542857"/>
    <n v="0.14341570505842224"/>
    <n v="0.46937368459249584"/>
    <n v="9.0173452355033022E-3"/>
    <n v="1.5612526308150085E-2"/>
  </r>
  <r>
    <x v="42"/>
    <n v="47.628"/>
    <n v="18.283999999999999"/>
    <n v="53.529000000000003"/>
    <n v="1.06"/>
    <n v="1.8560000000000001"/>
    <n v="122.357"/>
    <n v="0.38925439492632213"/>
    <n v="0.14943158135619539"/>
    <n v="0.43748212198729947"/>
    <n v="8.6631741543189197E-3"/>
    <n v="1.5168727575864072E-2"/>
  </r>
  <r>
    <x v="43"/>
    <n v="54.475000000000001"/>
    <n v="20.263000000000002"/>
    <n v="56.106000000000002"/>
    <n v="1.127"/>
    <n v="1.879"/>
    <n v="133.85"/>
    <n v="0.40698543145311922"/>
    <n v="0.15138587971610012"/>
    <n v="0.41917071348524471"/>
    <n v="8.4198729921553979E-3"/>
    <n v="1.4038102353380651E-2"/>
  </r>
  <r>
    <x v="44"/>
    <n v="54.411000000000001"/>
    <n v="21.321000000000002"/>
    <n v="61.603999999999999"/>
    <n v="1.1910000000000001"/>
    <n v="1.847"/>
    <n v="140.37400000000002"/>
    <n v="0.3876145155085699"/>
    <n v="0.15188710160001137"/>
    <n v="0.43885619844130669"/>
    <n v="8.4844771823842004E-3"/>
    <n v="1.315770726772764E-2"/>
  </r>
  <r>
    <x v="45"/>
    <n v="59.420999999999999"/>
    <n v="23.427"/>
    <n v="65.040000000000006"/>
    <n v="1.26"/>
    <n v="1.923"/>
    <n v="151.071"/>
    <n v="0.3933316122882618"/>
    <n v="0.15507278034831304"/>
    <n v="0.43052604404551509"/>
    <n v="8.3404491927636677E-3"/>
    <n v="1.272911412514645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43DF3-C683-4FF2-83B1-CDA71976413E}" name="SupplyPiePivot" cacheId="33"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6">
  <location ref="A3:AJ8"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dataField="1" numFmtId="176" showAll="0"/>
    <pivotField dataField="1" numFmtId="176" showAll="0"/>
    <pivotField dataField="1" numFmtId="176" showAll="0"/>
    <pivotField dataField="1" numFmtId="176" showAll="0"/>
    <pivotField numFmtId="176" showAll="0"/>
    <pivotField numFmtId="176" showAll="0"/>
    <pivotField numFmtId="176" showAll="0"/>
    <pivotField numFmtId="176" showAll="0"/>
    <pivotField numFmtId="176" showAll="0"/>
    <pivotField numFmtId="176" showAll="0"/>
  </pivotFields>
  <rowFields count="1">
    <field x="-2"/>
  </rowFields>
  <rowItems count="4">
    <i>
      <x/>
    </i>
    <i i="1">
      <x v="1"/>
    </i>
    <i i="2">
      <x v="2"/>
    </i>
    <i i="3">
      <x v="3"/>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4">
    <dataField name="Sum of Losses in transmission" fld="5" baseField="0" baseItem="0"/>
    <dataField name="Sum of Electricity available" fld="4" baseField="0" baseItem="0"/>
    <dataField name="Sum of Net Imports" fld="3" baseField="0" baseItem="0"/>
    <dataField name="Sum of Purchases from other producers" fld="2" baseField="0" baseItem="0"/>
  </dataFields>
  <chartFormats count="340">
    <chartFormat chart="0" format="374" series="1">
      <pivotArea type="data" outline="0" fieldPosition="0">
        <references count="2">
          <reference field="4294967294" count="1" selected="0">
            <x v="0"/>
          </reference>
          <reference field="0" count="1" selected="0">
            <x v="0"/>
          </reference>
        </references>
      </pivotArea>
    </chartFormat>
    <chartFormat chart="0" format="375">
      <pivotArea type="data" outline="0" fieldPosition="0">
        <references count="2">
          <reference field="4294967294" count="1" selected="0">
            <x v="0"/>
          </reference>
          <reference field="0" count="1" selected="0">
            <x v="0"/>
          </reference>
        </references>
      </pivotArea>
    </chartFormat>
    <chartFormat chart="0" format="376">
      <pivotArea type="data" outline="0" fieldPosition="0">
        <references count="2">
          <reference field="4294967294" count="1" selected="0">
            <x v="1"/>
          </reference>
          <reference field="0" count="1" selected="0">
            <x v="0"/>
          </reference>
        </references>
      </pivotArea>
    </chartFormat>
    <chartFormat chart="0" format="377">
      <pivotArea type="data" outline="0" fieldPosition="0">
        <references count="2">
          <reference field="4294967294" count="1" selected="0">
            <x v="2"/>
          </reference>
          <reference field="0" count="1" selected="0">
            <x v="0"/>
          </reference>
        </references>
      </pivotArea>
    </chartFormat>
    <chartFormat chart="0" format="378">
      <pivotArea type="data" outline="0" fieldPosition="0">
        <references count="2">
          <reference field="4294967294" count="1" selected="0">
            <x v="3"/>
          </reference>
          <reference field="0" count="1" selected="0">
            <x v="0"/>
          </reference>
        </references>
      </pivotArea>
    </chartFormat>
    <chartFormat chart="0" format="379" series="1">
      <pivotArea type="data" outline="0" fieldPosition="0">
        <references count="2">
          <reference field="4294967294" count="1" selected="0">
            <x v="0"/>
          </reference>
          <reference field="0" count="1" selected="0">
            <x v="1"/>
          </reference>
        </references>
      </pivotArea>
    </chartFormat>
    <chartFormat chart="0" format="380">
      <pivotArea type="data" outline="0" fieldPosition="0">
        <references count="2">
          <reference field="4294967294" count="1" selected="0">
            <x v="0"/>
          </reference>
          <reference field="0" count="1" selected="0">
            <x v="1"/>
          </reference>
        </references>
      </pivotArea>
    </chartFormat>
    <chartFormat chart="0" format="381">
      <pivotArea type="data" outline="0" fieldPosition="0">
        <references count="2">
          <reference field="4294967294" count="1" selected="0">
            <x v="1"/>
          </reference>
          <reference field="0" count="1" selected="0">
            <x v="1"/>
          </reference>
        </references>
      </pivotArea>
    </chartFormat>
    <chartFormat chart="0" format="382">
      <pivotArea type="data" outline="0" fieldPosition="0">
        <references count="2">
          <reference field="4294967294" count="1" selected="0">
            <x v="2"/>
          </reference>
          <reference field="0" count="1" selected="0">
            <x v="1"/>
          </reference>
        </references>
      </pivotArea>
    </chartFormat>
    <chartFormat chart="0" format="383">
      <pivotArea type="data" outline="0" fieldPosition="0">
        <references count="2">
          <reference field="4294967294" count="1" selected="0">
            <x v="3"/>
          </reference>
          <reference field="0" count="1" selected="0">
            <x v="1"/>
          </reference>
        </references>
      </pivotArea>
    </chartFormat>
    <chartFormat chart="0" format="384" series="1">
      <pivotArea type="data" outline="0" fieldPosition="0">
        <references count="2">
          <reference field="4294967294" count="1" selected="0">
            <x v="0"/>
          </reference>
          <reference field="0" count="1" selected="0">
            <x v="2"/>
          </reference>
        </references>
      </pivotArea>
    </chartFormat>
    <chartFormat chart="0" format="385">
      <pivotArea type="data" outline="0" fieldPosition="0">
        <references count="2">
          <reference field="4294967294" count="1" selected="0">
            <x v="0"/>
          </reference>
          <reference field="0" count="1" selected="0">
            <x v="2"/>
          </reference>
        </references>
      </pivotArea>
    </chartFormat>
    <chartFormat chart="0" format="386">
      <pivotArea type="data" outline="0" fieldPosition="0">
        <references count="2">
          <reference field="4294967294" count="1" selected="0">
            <x v="1"/>
          </reference>
          <reference field="0" count="1" selected="0">
            <x v="2"/>
          </reference>
        </references>
      </pivotArea>
    </chartFormat>
    <chartFormat chart="0" format="387">
      <pivotArea type="data" outline="0" fieldPosition="0">
        <references count="2">
          <reference field="4294967294" count="1" selected="0">
            <x v="2"/>
          </reference>
          <reference field="0" count="1" selected="0">
            <x v="2"/>
          </reference>
        </references>
      </pivotArea>
    </chartFormat>
    <chartFormat chart="0" format="388">
      <pivotArea type="data" outline="0" fieldPosition="0">
        <references count="2">
          <reference field="4294967294" count="1" selected="0">
            <x v="3"/>
          </reference>
          <reference field="0" count="1" selected="0">
            <x v="2"/>
          </reference>
        </references>
      </pivotArea>
    </chartFormat>
    <chartFormat chart="0" format="389" series="1">
      <pivotArea type="data" outline="0" fieldPosition="0">
        <references count="2">
          <reference field="4294967294" count="1" selected="0">
            <x v="0"/>
          </reference>
          <reference field="0" count="1" selected="0">
            <x v="3"/>
          </reference>
        </references>
      </pivotArea>
    </chartFormat>
    <chartFormat chart="0" format="390">
      <pivotArea type="data" outline="0" fieldPosition="0">
        <references count="2">
          <reference field="4294967294" count="1" selected="0">
            <x v="0"/>
          </reference>
          <reference field="0" count="1" selected="0">
            <x v="3"/>
          </reference>
        </references>
      </pivotArea>
    </chartFormat>
    <chartFormat chart="0" format="391">
      <pivotArea type="data" outline="0" fieldPosition="0">
        <references count="2">
          <reference field="4294967294" count="1" selected="0">
            <x v="1"/>
          </reference>
          <reference field="0" count="1" selected="0">
            <x v="3"/>
          </reference>
        </references>
      </pivotArea>
    </chartFormat>
    <chartFormat chart="0" format="392">
      <pivotArea type="data" outline="0" fieldPosition="0">
        <references count="2">
          <reference field="4294967294" count="1" selected="0">
            <x v="2"/>
          </reference>
          <reference field="0" count="1" selected="0">
            <x v="3"/>
          </reference>
        </references>
      </pivotArea>
    </chartFormat>
    <chartFormat chart="0" format="393">
      <pivotArea type="data" outline="0" fieldPosition="0">
        <references count="2">
          <reference field="4294967294" count="1" selected="0">
            <x v="3"/>
          </reference>
          <reference field="0" count="1" selected="0">
            <x v="3"/>
          </reference>
        </references>
      </pivotArea>
    </chartFormat>
    <chartFormat chart="0" format="394" series="1">
      <pivotArea type="data" outline="0" fieldPosition="0">
        <references count="2">
          <reference field="4294967294" count="1" selected="0">
            <x v="0"/>
          </reference>
          <reference field="0" count="1" selected="0">
            <x v="4"/>
          </reference>
        </references>
      </pivotArea>
    </chartFormat>
    <chartFormat chart="0" format="395">
      <pivotArea type="data" outline="0" fieldPosition="0">
        <references count="2">
          <reference field="4294967294" count="1" selected="0">
            <x v="0"/>
          </reference>
          <reference field="0" count="1" selected="0">
            <x v="4"/>
          </reference>
        </references>
      </pivotArea>
    </chartFormat>
    <chartFormat chart="0" format="396">
      <pivotArea type="data" outline="0" fieldPosition="0">
        <references count="2">
          <reference field="4294967294" count="1" selected="0">
            <x v="1"/>
          </reference>
          <reference field="0" count="1" selected="0">
            <x v="4"/>
          </reference>
        </references>
      </pivotArea>
    </chartFormat>
    <chartFormat chart="0" format="397">
      <pivotArea type="data" outline="0" fieldPosition="0">
        <references count="2">
          <reference field="4294967294" count="1" selected="0">
            <x v="2"/>
          </reference>
          <reference field="0" count="1" selected="0">
            <x v="4"/>
          </reference>
        </references>
      </pivotArea>
    </chartFormat>
    <chartFormat chart="0" format="398">
      <pivotArea type="data" outline="0" fieldPosition="0">
        <references count="2">
          <reference field="4294967294" count="1" selected="0">
            <x v="3"/>
          </reference>
          <reference field="0" count="1" selected="0">
            <x v="4"/>
          </reference>
        </references>
      </pivotArea>
    </chartFormat>
    <chartFormat chart="0" format="399" series="1">
      <pivotArea type="data" outline="0" fieldPosition="0">
        <references count="2">
          <reference field="4294967294" count="1" selected="0">
            <x v="0"/>
          </reference>
          <reference field="0" count="1" selected="0">
            <x v="5"/>
          </reference>
        </references>
      </pivotArea>
    </chartFormat>
    <chartFormat chart="0" format="400">
      <pivotArea type="data" outline="0" fieldPosition="0">
        <references count="2">
          <reference field="4294967294" count="1" selected="0">
            <x v="0"/>
          </reference>
          <reference field="0" count="1" selected="0">
            <x v="5"/>
          </reference>
        </references>
      </pivotArea>
    </chartFormat>
    <chartFormat chart="0" format="401">
      <pivotArea type="data" outline="0" fieldPosition="0">
        <references count="2">
          <reference field="4294967294" count="1" selected="0">
            <x v="1"/>
          </reference>
          <reference field="0" count="1" selected="0">
            <x v="5"/>
          </reference>
        </references>
      </pivotArea>
    </chartFormat>
    <chartFormat chart="0" format="402">
      <pivotArea type="data" outline="0" fieldPosition="0">
        <references count="2">
          <reference field="4294967294" count="1" selected="0">
            <x v="2"/>
          </reference>
          <reference field="0" count="1" selected="0">
            <x v="5"/>
          </reference>
        </references>
      </pivotArea>
    </chartFormat>
    <chartFormat chart="0" format="403">
      <pivotArea type="data" outline="0" fieldPosition="0">
        <references count="2">
          <reference field="4294967294" count="1" selected="0">
            <x v="3"/>
          </reference>
          <reference field="0" count="1" selected="0">
            <x v="5"/>
          </reference>
        </references>
      </pivotArea>
    </chartFormat>
    <chartFormat chart="0" format="404" series="1">
      <pivotArea type="data" outline="0" fieldPosition="0">
        <references count="2">
          <reference field="4294967294" count="1" selected="0">
            <x v="0"/>
          </reference>
          <reference field="0" count="1" selected="0">
            <x v="6"/>
          </reference>
        </references>
      </pivotArea>
    </chartFormat>
    <chartFormat chart="0" format="405">
      <pivotArea type="data" outline="0" fieldPosition="0">
        <references count="2">
          <reference field="4294967294" count="1" selected="0">
            <x v="0"/>
          </reference>
          <reference field="0" count="1" selected="0">
            <x v="6"/>
          </reference>
        </references>
      </pivotArea>
    </chartFormat>
    <chartFormat chart="0" format="406">
      <pivotArea type="data" outline="0" fieldPosition="0">
        <references count="2">
          <reference field="4294967294" count="1" selected="0">
            <x v="1"/>
          </reference>
          <reference field="0" count="1" selected="0">
            <x v="6"/>
          </reference>
        </references>
      </pivotArea>
    </chartFormat>
    <chartFormat chart="0" format="407">
      <pivotArea type="data" outline="0" fieldPosition="0">
        <references count="2">
          <reference field="4294967294" count="1" selected="0">
            <x v="2"/>
          </reference>
          <reference field="0" count="1" selected="0">
            <x v="6"/>
          </reference>
        </references>
      </pivotArea>
    </chartFormat>
    <chartFormat chart="0" format="408">
      <pivotArea type="data" outline="0" fieldPosition="0">
        <references count="2">
          <reference field="4294967294" count="1" selected="0">
            <x v="3"/>
          </reference>
          <reference field="0" count="1" selected="0">
            <x v="6"/>
          </reference>
        </references>
      </pivotArea>
    </chartFormat>
    <chartFormat chart="0" format="409" series="1">
      <pivotArea type="data" outline="0" fieldPosition="0">
        <references count="2">
          <reference field="4294967294" count="1" selected="0">
            <x v="0"/>
          </reference>
          <reference field="0" count="1" selected="0">
            <x v="7"/>
          </reference>
        </references>
      </pivotArea>
    </chartFormat>
    <chartFormat chart="0" format="410">
      <pivotArea type="data" outline="0" fieldPosition="0">
        <references count="2">
          <reference field="4294967294" count="1" selected="0">
            <x v="0"/>
          </reference>
          <reference field="0" count="1" selected="0">
            <x v="7"/>
          </reference>
        </references>
      </pivotArea>
    </chartFormat>
    <chartFormat chart="0" format="411">
      <pivotArea type="data" outline="0" fieldPosition="0">
        <references count="2">
          <reference field="4294967294" count="1" selected="0">
            <x v="1"/>
          </reference>
          <reference field="0" count="1" selected="0">
            <x v="7"/>
          </reference>
        </references>
      </pivotArea>
    </chartFormat>
    <chartFormat chart="0" format="412">
      <pivotArea type="data" outline="0" fieldPosition="0">
        <references count="2">
          <reference field="4294967294" count="1" selected="0">
            <x v="2"/>
          </reference>
          <reference field="0" count="1" selected="0">
            <x v="7"/>
          </reference>
        </references>
      </pivotArea>
    </chartFormat>
    <chartFormat chart="0" format="413">
      <pivotArea type="data" outline="0" fieldPosition="0">
        <references count="2">
          <reference field="4294967294" count="1" selected="0">
            <x v="3"/>
          </reference>
          <reference field="0" count="1" selected="0">
            <x v="7"/>
          </reference>
        </references>
      </pivotArea>
    </chartFormat>
    <chartFormat chart="0" format="414" series="1">
      <pivotArea type="data" outline="0" fieldPosition="0">
        <references count="2">
          <reference field="4294967294" count="1" selected="0">
            <x v="0"/>
          </reference>
          <reference field="0" count="1" selected="0">
            <x v="8"/>
          </reference>
        </references>
      </pivotArea>
    </chartFormat>
    <chartFormat chart="0" format="415">
      <pivotArea type="data" outline="0" fieldPosition="0">
        <references count="2">
          <reference field="4294967294" count="1" selected="0">
            <x v="0"/>
          </reference>
          <reference field="0" count="1" selected="0">
            <x v="8"/>
          </reference>
        </references>
      </pivotArea>
    </chartFormat>
    <chartFormat chart="0" format="416">
      <pivotArea type="data" outline="0" fieldPosition="0">
        <references count="2">
          <reference field="4294967294" count="1" selected="0">
            <x v="1"/>
          </reference>
          <reference field="0" count="1" selected="0">
            <x v="8"/>
          </reference>
        </references>
      </pivotArea>
    </chartFormat>
    <chartFormat chart="0" format="417">
      <pivotArea type="data" outline="0" fieldPosition="0">
        <references count="2">
          <reference field="4294967294" count="1" selected="0">
            <x v="2"/>
          </reference>
          <reference field="0" count="1" selected="0">
            <x v="8"/>
          </reference>
        </references>
      </pivotArea>
    </chartFormat>
    <chartFormat chart="0" format="418">
      <pivotArea type="data" outline="0" fieldPosition="0">
        <references count="2">
          <reference field="4294967294" count="1" selected="0">
            <x v="3"/>
          </reference>
          <reference field="0" count="1" selected="0">
            <x v="8"/>
          </reference>
        </references>
      </pivotArea>
    </chartFormat>
    <chartFormat chart="0" format="419" series="1">
      <pivotArea type="data" outline="0" fieldPosition="0">
        <references count="2">
          <reference field="4294967294" count="1" selected="0">
            <x v="0"/>
          </reference>
          <reference field="0" count="1" selected="0">
            <x v="9"/>
          </reference>
        </references>
      </pivotArea>
    </chartFormat>
    <chartFormat chart="0" format="420">
      <pivotArea type="data" outline="0" fieldPosition="0">
        <references count="2">
          <reference field="4294967294" count="1" selected="0">
            <x v="0"/>
          </reference>
          <reference field="0" count="1" selected="0">
            <x v="9"/>
          </reference>
        </references>
      </pivotArea>
    </chartFormat>
    <chartFormat chart="0" format="421">
      <pivotArea type="data" outline="0" fieldPosition="0">
        <references count="2">
          <reference field="4294967294" count="1" selected="0">
            <x v="1"/>
          </reference>
          <reference field="0" count="1" selected="0">
            <x v="9"/>
          </reference>
        </references>
      </pivotArea>
    </chartFormat>
    <chartFormat chart="0" format="422">
      <pivotArea type="data" outline="0" fieldPosition="0">
        <references count="2">
          <reference field="4294967294" count="1" selected="0">
            <x v="2"/>
          </reference>
          <reference field="0" count="1" selected="0">
            <x v="9"/>
          </reference>
        </references>
      </pivotArea>
    </chartFormat>
    <chartFormat chart="0" format="423">
      <pivotArea type="data" outline="0" fieldPosition="0">
        <references count="2">
          <reference field="4294967294" count="1" selected="0">
            <x v="3"/>
          </reference>
          <reference field="0" count="1" selected="0">
            <x v="9"/>
          </reference>
        </references>
      </pivotArea>
    </chartFormat>
    <chartFormat chart="0" format="424" series="1">
      <pivotArea type="data" outline="0" fieldPosition="0">
        <references count="2">
          <reference field="4294967294" count="1" selected="0">
            <x v="0"/>
          </reference>
          <reference field="0" count="1" selected="0">
            <x v="10"/>
          </reference>
        </references>
      </pivotArea>
    </chartFormat>
    <chartFormat chart="0" format="425">
      <pivotArea type="data" outline="0" fieldPosition="0">
        <references count="2">
          <reference field="4294967294" count="1" selected="0">
            <x v="0"/>
          </reference>
          <reference field="0" count="1" selected="0">
            <x v="10"/>
          </reference>
        </references>
      </pivotArea>
    </chartFormat>
    <chartFormat chart="0" format="426">
      <pivotArea type="data" outline="0" fieldPosition="0">
        <references count="2">
          <reference field="4294967294" count="1" selected="0">
            <x v="1"/>
          </reference>
          <reference field="0" count="1" selected="0">
            <x v="10"/>
          </reference>
        </references>
      </pivotArea>
    </chartFormat>
    <chartFormat chart="0" format="427">
      <pivotArea type="data" outline="0" fieldPosition="0">
        <references count="2">
          <reference field="4294967294" count="1" selected="0">
            <x v="2"/>
          </reference>
          <reference field="0" count="1" selected="0">
            <x v="10"/>
          </reference>
        </references>
      </pivotArea>
    </chartFormat>
    <chartFormat chart="0" format="428">
      <pivotArea type="data" outline="0" fieldPosition="0">
        <references count="2">
          <reference field="4294967294" count="1" selected="0">
            <x v="3"/>
          </reference>
          <reference field="0" count="1" selected="0">
            <x v="10"/>
          </reference>
        </references>
      </pivotArea>
    </chartFormat>
    <chartFormat chart="0" format="429" series="1">
      <pivotArea type="data" outline="0" fieldPosition="0">
        <references count="2">
          <reference field="4294967294" count="1" selected="0">
            <x v="0"/>
          </reference>
          <reference field="0" count="1" selected="0">
            <x v="11"/>
          </reference>
        </references>
      </pivotArea>
    </chartFormat>
    <chartFormat chart="0" format="430">
      <pivotArea type="data" outline="0" fieldPosition="0">
        <references count="2">
          <reference field="4294967294" count="1" selected="0">
            <x v="0"/>
          </reference>
          <reference field="0" count="1" selected="0">
            <x v="11"/>
          </reference>
        </references>
      </pivotArea>
    </chartFormat>
    <chartFormat chart="0" format="431">
      <pivotArea type="data" outline="0" fieldPosition="0">
        <references count="2">
          <reference field="4294967294" count="1" selected="0">
            <x v="1"/>
          </reference>
          <reference field="0" count="1" selected="0">
            <x v="11"/>
          </reference>
        </references>
      </pivotArea>
    </chartFormat>
    <chartFormat chart="0" format="432">
      <pivotArea type="data" outline="0" fieldPosition="0">
        <references count="2">
          <reference field="4294967294" count="1" selected="0">
            <x v="2"/>
          </reference>
          <reference field="0" count="1" selected="0">
            <x v="11"/>
          </reference>
        </references>
      </pivotArea>
    </chartFormat>
    <chartFormat chart="0" format="433">
      <pivotArea type="data" outline="0" fieldPosition="0">
        <references count="2">
          <reference field="4294967294" count="1" selected="0">
            <x v="3"/>
          </reference>
          <reference field="0" count="1" selected="0">
            <x v="11"/>
          </reference>
        </references>
      </pivotArea>
    </chartFormat>
    <chartFormat chart="0" format="434" series="1">
      <pivotArea type="data" outline="0" fieldPosition="0">
        <references count="2">
          <reference field="4294967294" count="1" selected="0">
            <x v="0"/>
          </reference>
          <reference field="0" count="1" selected="0">
            <x v="12"/>
          </reference>
        </references>
      </pivotArea>
    </chartFormat>
    <chartFormat chart="0" format="435">
      <pivotArea type="data" outline="0" fieldPosition="0">
        <references count="2">
          <reference field="4294967294" count="1" selected="0">
            <x v="0"/>
          </reference>
          <reference field="0" count="1" selected="0">
            <x v="12"/>
          </reference>
        </references>
      </pivotArea>
    </chartFormat>
    <chartFormat chart="0" format="436">
      <pivotArea type="data" outline="0" fieldPosition="0">
        <references count="2">
          <reference field="4294967294" count="1" selected="0">
            <x v="1"/>
          </reference>
          <reference field="0" count="1" selected="0">
            <x v="12"/>
          </reference>
        </references>
      </pivotArea>
    </chartFormat>
    <chartFormat chart="0" format="437">
      <pivotArea type="data" outline="0" fieldPosition="0">
        <references count="2">
          <reference field="4294967294" count="1" selected="0">
            <x v="2"/>
          </reference>
          <reference field="0" count="1" selected="0">
            <x v="12"/>
          </reference>
        </references>
      </pivotArea>
    </chartFormat>
    <chartFormat chart="0" format="438">
      <pivotArea type="data" outline="0" fieldPosition="0">
        <references count="2">
          <reference field="4294967294" count="1" selected="0">
            <x v="3"/>
          </reference>
          <reference field="0" count="1" selected="0">
            <x v="12"/>
          </reference>
        </references>
      </pivotArea>
    </chartFormat>
    <chartFormat chart="0" format="439" series="1">
      <pivotArea type="data" outline="0" fieldPosition="0">
        <references count="2">
          <reference field="4294967294" count="1" selected="0">
            <x v="0"/>
          </reference>
          <reference field="0" count="1" selected="0">
            <x v="13"/>
          </reference>
        </references>
      </pivotArea>
    </chartFormat>
    <chartFormat chart="0" format="440">
      <pivotArea type="data" outline="0" fieldPosition="0">
        <references count="2">
          <reference field="4294967294" count="1" selected="0">
            <x v="0"/>
          </reference>
          <reference field="0" count="1" selected="0">
            <x v="13"/>
          </reference>
        </references>
      </pivotArea>
    </chartFormat>
    <chartFormat chart="0" format="441">
      <pivotArea type="data" outline="0" fieldPosition="0">
        <references count="2">
          <reference field="4294967294" count="1" selected="0">
            <x v="1"/>
          </reference>
          <reference field="0" count="1" selected="0">
            <x v="13"/>
          </reference>
        </references>
      </pivotArea>
    </chartFormat>
    <chartFormat chart="0" format="442">
      <pivotArea type="data" outline="0" fieldPosition="0">
        <references count="2">
          <reference field="4294967294" count="1" selected="0">
            <x v="2"/>
          </reference>
          <reference field="0" count="1" selected="0">
            <x v="13"/>
          </reference>
        </references>
      </pivotArea>
    </chartFormat>
    <chartFormat chart="0" format="443">
      <pivotArea type="data" outline="0" fieldPosition="0">
        <references count="2">
          <reference field="4294967294" count="1" selected="0">
            <x v="3"/>
          </reference>
          <reference field="0" count="1" selected="0">
            <x v="13"/>
          </reference>
        </references>
      </pivotArea>
    </chartFormat>
    <chartFormat chart="0" format="444" series="1">
      <pivotArea type="data" outline="0" fieldPosition="0">
        <references count="2">
          <reference field="4294967294" count="1" selected="0">
            <x v="0"/>
          </reference>
          <reference field="0" count="1" selected="0">
            <x v="14"/>
          </reference>
        </references>
      </pivotArea>
    </chartFormat>
    <chartFormat chart="0" format="445">
      <pivotArea type="data" outline="0" fieldPosition="0">
        <references count="2">
          <reference field="4294967294" count="1" selected="0">
            <x v="0"/>
          </reference>
          <reference field="0" count="1" selected="0">
            <x v="14"/>
          </reference>
        </references>
      </pivotArea>
    </chartFormat>
    <chartFormat chart="0" format="446">
      <pivotArea type="data" outline="0" fieldPosition="0">
        <references count="2">
          <reference field="4294967294" count="1" selected="0">
            <x v="1"/>
          </reference>
          <reference field="0" count="1" selected="0">
            <x v="14"/>
          </reference>
        </references>
      </pivotArea>
    </chartFormat>
    <chartFormat chart="0" format="447">
      <pivotArea type="data" outline="0" fieldPosition="0">
        <references count="2">
          <reference field="4294967294" count="1" selected="0">
            <x v="2"/>
          </reference>
          <reference field="0" count="1" selected="0">
            <x v="14"/>
          </reference>
        </references>
      </pivotArea>
    </chartFormat>
    <chartFormat chart="0" format="448">
      <pivotArea type="data" outline="0" fieldPosition="0">
        <references count="2">
          <reference field="4294967294" count="1" selected="0">
            <x v="3"/>
          </reference>
          <reference field="0" count="1" selected="0">
            <x v="14"/>
          </reference>
        </references>
      </pivotArea>
    </chartFormat>
    <chartFormat chart="0" format="449" series="1">
      <pivotArea type="data" outline="0" fieldPosition="0">
        <references count="2">
          <reference field="4294967294" count="1" selected="0">
            <x v="0"/>
          </reference>
          <reference field="0" count="1" selected="0">
            <x v="15"/>
          </reference>
        </references>
      </pivotArea>
    </chartFormat>
    <chartFormat chart="0" format="450">
      <pivotArea type="data" outline="0" fieldPosition="0">
        <references count="2">
          <reference field="4294967294" count="1" selected="0">
            <x v="0"/>
          </reference>
          <reference field="0" count="1" selected="0">
            <x v="15"/>
          </reference>
        </references>
      </pivotArea>
    </chartFormat>
    <chartFormat chart="0" format="451">
      <pivotArea type="data" outline="0" fieldPosition="0">
        <references count="2">
          <reference field="4294967294" count="1" selected="0">
            <x v="1"/>
          </reference>
          <reference field="0" count="1" selected="0">
            <x v="15"/>
          </reference>
        </references>
      </pivotArea>
    </chartFormat>
    <chartFormat chart="0" format="452">
      <pivotArea type="data" outline="0" fieldPosition="0">
        <references count="2">
          <reference field="4294967294" count="1" selected="0">
            <x v="2"/>
          </reference>
          <reference field="0" count="1" selected="0">
            <x v="15"/>
          </reference>
        </references>
      </pivotArea>
    </chartFormat>
    <chartFormat chart="0" format="453">
      <pivotArea type="data" outline="0" fieldPosition="0">
        <references count="2">
          <reference field="4294967294" count="1" selected="0">
            <x v="3"/>
          </reference>
          <reference field="0" count="1" selected="0">
            <x v="15"/>
          </reference>
        </references>
      </pivotArea>
    </chartFormat>
    <chartFormat chart="0" format="454" series="1">
      <pivotArea type="data" outline="0" fieldPosition="0">
        <references count="2">
          <reference field="4294967294" count="1" selected="0">
            <x v="0"/>
          </reference>
          <reference field="0" count="1" selected="0">
            <x v="16"/>
          </reference>
        </references>
      </pivotArea>
    </chartFormat>
    <chartFormat chart="0" format="455">
      <pivotArea type="data" outline="0" fieldPosition="0">
        <references count="2">
          <reference field="4294967294" count="1" selected="0">
            <x v="0"/>
          </reference>
          <reference field="0" count="1" selected="0">
            <x v="16"/>
          </reference>
        </references>
      </pivotArea>
    </chartFormat>
    <chartFormat chart="0" format="456">
      <pivotArea type="data" outline="0" fieldPosition="0">
        <references count="2">
          <reference field="4294967294" count="1" selected="0">
            <x v="1"/>
          </reference>
          <reference field="0" count="1" selected="0">
            <x v="16"/>
          </reference>
        </references>
      </pivotArea>
    </chartFormat>
    <chartFormat chart="0" format="457">
      <pivotArea type="data" outline="0" fieldPosition="0">
        <references count="2">
          <reference field="4294967294" count="1" selected="0">
            <x v="2"/>
          </reference>
          <reference field="0" count="1" selected="0">
            <x v="16"/>
          </reference>
        </references>
      </pivotArea>
    </chartFormat>
    <chartFormat chart="0" format="458">
      <pivotArea type="data" outline="0" fieldPosition="0">
        <references count="2">
          <reference field="4294967294" count="1" selected="0">
            <x v="3"/>
          </reference>
          <reference field="0" count="1" selected="0">
            <x v="16"/>
          </reference>
        </references>
      </pivotArea>
    </chartFormat>
    <chartFormat chart="0" format="459" series="1">
      <pivotArea type="data" outline="0" fieldPosition="0">
        <references count="2">
          <reference field="4294967294" count="1" selected="0">
            <x v="0"/>
          </reference>
          <reference field="0" count="1" selected="0">
            <x v="17"/>
          </reference>
        </references>
      </pivotArea>
    </chartFormat>
    <chartFormat chart="0" format="460">
      <pivotArea type="data" outline="0" fieldPosition="0">
        <references count="2">
          <reference field="4294967294" count="1" selected="0">
            <x v="0"/>
          </reference>
          <reference field="0" count="1" selected="0">
            <x v="17"/>
          </reference>
        </references>
      </pivotArea>
    </chartFormat>
    <chartFormat chart="0" format="461">
      <pivotArea type="data" outline="0" fieldPosition="0">
        <references count="2">
          <reference field="4294967294" count="1" selected="0">
            <x v="1"/>
          </reference>
          <reference field="0" count="1" selected="0">
            <x v="17"/>
          </reference>
        </references>
      </pivotArea>
    </chartFormat>
    <chartFormat chart="0" format="462">
      <pivotArea type="data" outline="0" fieldPosition="0">
        <references count="2">
          <reference field="4294967294" count="1" selected="0">
            <x v="2"/>
          </reference>
          <reference field="0" count="1" selected="0">
            <x v="17"/>
          </reference>
        </references>
      </pivotArea>
    </chartFormat>
    <chartFormat chart="0" format="463">
      <pivotArea type="data" outline="0" fieldPosition="0">
        <references count="2">
          <reference field="4294967294" count="1" selected="0">
            <x v="3"/>
          </reference>
          <reference field="0" count="1" selected="0">
            <x v="17"/>
          </reference>
        </references>
      </pivotArea>
    </chartFormat>
    <chartFormat chart="0" format="464" series="1">
      <pivotArea type="data" outline="0" fieldPosition="0">
        <references count="2">
          <reference field="4294967294" count="1" selected="0">
            <x v="0"/>
          </reference>
          <reference field="0" count="1" selected="0">
            <x v="18"/>
          </reference>
        </references>
      </pivotArea>
    </chartFormat>
    <chartFormat chart="0" format="465">
      <pivotArea type="data" outline="0" fieldPosition="0">
        <references count="2">
          <reference field="4294967294" count="1" selected="0">
            <x v="0"/>
          </reference>
          <reference field="0" count="1" selected="0">
            <x v="18"/>
          </reference>
        </references>
      </pivotArea>
    </chartFormat>
    <chartFormat chart="0" format="466">
      <pivotArea type="data" outline="0" fieldPosition="0">
        <references count="2">
          <reference field="4294967294" count="1" selected="0">
            <x v="1"/>
          </reference>
          <reference field="0" count="1" selected="0">
            <x v="18"/>
          </reference>
        </references>
      </pivotArea>
    </chartFormat>
    <chartFormat chart="0" format="467">
      <pivotArea type="data" outline="0" fieldPosition="0">
        <references count="2">
          <reference field="4294967294" count="1" selected="0">
            <x v="2"/>
          </reference>
          <reference field="0" count="1" selected="0">
            <x v="18"/>
          </reference>
        </references>
      </pivotArea>
    </chartFormat>
    <chartFormat chart="0" format="468">
      <pivotArea type="data" outline="0" fieldPosition="0">
        <references count="2">
          <reference field="4294967294" count="1" selected="0">
            <x v="3"/>
          </reference>
          <reference field="0" count="1" selected="0">
            <x v="18"/>
          </reference>
        </references>
      </pivotArea>
    </chartFormat>
    <chartFormat chart="0" format="469" series="1">
      <pivotArea type="data" outline="0" fieldPosition="0">
        <references count="2">
          <reference field="4294967294" count="1" selected="0">
            <x v="0"/>
          </reference>
          <reference field="0" count="1" selected="0">
            <x v="19"/>
          </reference>
        </references>
      </pivotArea>
    </chartFormat>
    <chartFormat chart="0" format="470">
      <pivotArea type="data" outline="0" fieldPosition="0">
        <references count="2">
          <reference field="4294967294" count="1" selected="0">
            <x v="0"/>
          </reference>
          <reference field="0" count="1" selected="0">
            <x v="19"/>
          </reference>
        </references>
      </pivotArea>
    </chartFormat>
    <chartFormat chart="0" format="471">
      <pivotArea type="data" outline="0" fieldPosition="0">
        <references count="2">
          <reference field="4294967294" count="1" selected="0">
            <x v="1"/>
          </reference>
          <reference field="0" count="1" selected="0">
            <x v="19"/>
          </reference>
        </references>
      </pivotArea>
    </chartFormat>
    <chartFormat chart="0" format="472">
      <pivotArea type="data" outline="0" fieldPosition="0">
        <references count="2">
          <reference field="4294967294" count="1" selected="0">
            <x v="2"/>
          </reference>
          <reference field="0" count="1" selected="0">
            <x v="19"/>
          </reference>
        </references>
      </pivotArea>
    </chartFormat>
    <chartFormat chart="0" format="473">
      <pivotArea type="data" outline="0" fieldPosition="0">
        <references count="2">
          <reference field="4294967294" count="1" selected="0">
            <x v="3"/>
          </reference>
          <reference field="0" count="1" selected="0">
            <x v="19"/>
          </reference>
        </references>
      </pivotArea>
    </chartFormat>
    <chartFormat chart="0" format="474" series="1">
      <pivotArea type="data" outline="0" fieldPosition="0">
        <references count="2">
          <reference field="4294967294" count="1" selected="0">
            <x v="0"/>
          </reference>
          <reference field="0" count="1" selected="0">
            <x v="20"/>
          </reference>
        </references>
      </pivotArea>
    </chartFormat>
    <chartFormat chart="0" format="475">
      <pivotArea type="data" outline="0" fieldPosition="0">
        <references count="2">
          <reference field="4294967294" count="1" selected="0">
            <x v="0"/>
          </reference>
          <reference field="0" count="1" selected="0">
            <x v="20"/>
          </reference>
        </references>
      </pivotArea>
    </chartFormat>
    <chartFormat chart="0" format="476">
      <pivotArea type="data" outline="0" fieldPosition="0">
        <references count="2">
          <reference field="4294967294" count="1" selected="0">
            <x v="1"/>
          </reference>
          <reference field="0" count="1" selected="0">
            <x v="20"/>
          </reference>
        </references>
      </pivotArea>
    </chartFormat>
    <chartFormat chart="0" format="477">
      <pivotArea type="data" outline="0" fieldPosition="0">
        <references count="2">
          <reference field="4294967294" count="1" selected="0">
            <x v="2"/>
          </reference>
          <reference field="0" count="1" selected="0">
            <x v="20"/>
          </reference>
        </references>
      </pivotArea>
    </chartFormat>
    <chartFormat chart="0" format="478">
      <pivotArea type="data" outline="0" fieldPosition="0">
        <references count="2">
          <reference field="4294967294" count="1" selected="0">
            <x v="3"/>
          </reference>
          <reference field="0" count="1" selected="0">
            <x v="20"/>
          </reference>
        </references>
      </pivotArea>
    </chartFormat>
    <chartFormat chart="0" format="479" series="1">
      <pivotArea type="data" outline="0" fieldPosition="0">
        <references count="2">
          <reference field="4294967294" count="1" selected="0">
            <x v="0"/>
          </reference>
          <reference field="0" count="1" selected="0">
            <x v="21"/>
          </reference>
        </references>
      </pivotArea>
    </chartFormat>
    <chartFormat chart="0" format="480">
      <pivotArea type="data" outline="0" fieldPosition="0">
        <references count="2">
          <reference field="4294967294" count="1" selected="0">
            <x v="0"/>
          </reference>
          <reference field="0" count="1" selected="0">
            <x v="21"/>
          </reference>
        </references>
      </pivotArea>
    </chartFormat>
    <chartFormat chart="0" format="481">
      <pivotArea type="data" outline="0" fieldPosition="0">
        <references count="2">
          <reference field="4294967294" count="1" selected="0">
            <x v="1"/>
          </reference>
          <reference field="0" count="1" selected="0">
            <x v="21"/>
          </reference>
        </references>
      </pivotArea>
    </chartFormat>
    <chartFormat chart="0" format="482">
      <pivotArea type="data" outline="0" fieldPosition="0">
        <references count="2">
          <reference field="4294967294" count="1" selected="0">
            <x v="2"/>
          </reference>
          <reference field="0" count="1" selected="0">
            <x v="21"/>
          </reference>
        </references>
      </pivotArea>
    </chartFormat>
    <chartFormat chart="0" format="483">
      <pivotArea type="data" outline="0" fieldPosition="0">
        <references count="2">
          <reference field="4294967294" count="1" selected="0">
            <x v="3"/>
          </reference>
          <reference field="0" count="1" selected="0">
            <x v="21"/>
          </reference>
        </references>
      </pivotArea>
    </chartFormat>
    <chartFormat chart="0" format="484" series="1">
      <pivotArea type="data" outline="0" fieldPosition="0">
        <references count="2">
          <reference field="4294967294" count="1" selected="0">
            <x v="0"/>
          </reference>
          <reference field="0" count="1" selected="0">
            <x v="22"/>
          </reference>
        </references>
      </pivotArea>
    </chartFormat>
    <chartFormat chart="0" format="485">
      <pivotArea type="data" outline="0" fieldPosition="0">
        <references count="2">
          <reference field="4294967294" count="1" selected="0">
            <x v="0"/>
          </reference>
          <reference field="0" count="1" selected="0">
            <x v="22"/>
          </reference>
        </references>
      </pivotArea>
    </chartFormat>
    <chartFormat chart="0" format="486">
      <pivotArea type="data" outline="0" fieldPosition="0">
        <references count="2">
          <reference field="4294967294" count="1" selected="0">
            <x v="1"/>
          </reference>
          <reference field="0" count="1" selected="0">
            <x v="22"/>
          </reference>
        </references>
      </pivotArea>
    </chartFormat>
    <chartFormat chart="0" format="487">
      <pivotArea type="data" outline="0" fieldPosition="0">
        <references count="2">
          <reference field="4294967294" count="1" selected="0">
            <x v="2"/>
          </reference>
          <reference field="0" count="1" selected="0">
            <x v="22"/>
          </reference>
        </references>
      </pivotArea>
    </chartFormat>
    <chartFormat chart="0" format="488">
      <pivotArea type="data" outline="0" fieldPosition="0">
        <references count="2">
          <reference field="4294967294" count="1" selected="0">
            <x v="3"/>
          </reference>
          <reference field="0" count="1" selected="0">
            <x v="22"/>
          </reference>
        </references>
      </pivotArea>
    </chartFormat>
    <chartFormat chart="0" format="489" series="1">
      <pivotArea type="data" outline="0" fieldPosition="0">
        <references count="2">
          <reference field="4294967294" count="1" selected="0">
            <x v="0"/>
          </reference>
          <reference field="0" count="1" selected="0">
            <x v="23"/>
          </reference>
        </references>
      </pivotArea>
    </chartFormat>
    <chartFormat chart="0" format="490">
      <pivotArea type="data" outline="0" fieldPosition="0">
        <references count="2">
          <reference field="4294967294" count="1" selected="0">
            <x v="0"/>
          </reference>
          <reference field="0" count="1" selected="0">
            <x v="23"/>
          </reference>
        </references>
      </pivotArea>
    </chartFormat>
    <chartFormat chart="0" format="491">
      <pivotArea type="data" outline="0" fieldPosition="0">
        <references count="2">
          <reference field="4294967294" count="1" selected="0">
            <x v="1"/>
          </reference>
          <reference field="0" count="1" selected="0">
            <x v="23"/>
          </reference>
        </references>
      </pivotArea>
    </chartFormat>
    <chartFormat chart="0" format="492">
      <pivotArea type="data" outline="0" fieldPosition="0">
        <references count="2">
          <reference field="4294967294" count="1" selected="0">
            <x v="2"/>
          </reference>
          <reference field="0" count="1" selected="0">
            <x v="23"/>
          </reference>
        </references>
      </pivotArea>
    </chartFormat>
    <chartFormat chart="0" format="493">
      <pivotArea type="data" outline="0" fieldPosition="0">
        <references count="2">
          <reference field="4294967294" count="1" selected="0">
            <x v="3"/>
          </reference>
          <reference field="0" count="1" selected="0">
            <x v="23"/>
          </reference>
        </references>
      </pivotArea>
    </chartFormat>
    <chartFormat chart="0" format="494" series="1">
      <pivotArea type="data" outline="0" fieldPosition="0">
        <references count="2">
          <reference field="4294967294" count="1" selected="0">
            <x v="0"/>
          </reference>
          <reference field="0" count="1" selected="0">
            <x v="24"/>
          </reference>
        </references>
      </pivotArea>
    </chartFormat>
    <chartFormat chart="0" format="495">
      <pivotArea type="data" outline="0" fieldPosition="0">
        <references count="2">
          <reference field="4294967294" count="1" selected="0">
            <x v="0"/>
          </reference>
          <reference field="0" count="1" selected="0">
            <x v="24"/>
          </reference>
        </references>
      </pivotArea>
    </chartFormat>
    <chartFormat chart="0" format="496">
      <pivotArea type="data" outline="0" fieldPosition="0">
        <references count="2">
          <reference field="4294967294" count="1" selected="0">
            <x v="1"/>
          </reference>
          <reference field="0" count="1" selected="0">
            <x v="24"/>
          </reference>
        </references>
      </pivotArea>
    </chartFormat>
    <chartFormat chart="0" format="497">
      <pivotArea type="data" outline="0" fieldPosition="0">
        <references count="2">
          <reference field="4294967294" count="1" selected="0">
            <x v="2"/>
          </reference>
          <reference field="0" count="1" selected="0">
            <x v="24"/>
          </reference>
        </references>
      </pivotArea>
    </chartFormat>
    <chartFormat chart="0" format="498">
      <pivotArea type="data" outline="0" fieldPosition="0">
        <references count="2">
          <reference field="4294967294" count="1" selected="0">
            <x v="3"/>
          </reference>
          <reference field="0" count="1" selected="0">
            <x v="24"/>
          </reference>
        </references>
      </pivotArea>
    </chartFormat>
    <chartFormat chart="0" format="499" series="1">
      <pivotArea type="data" outline="0" fieldPosition="0">
        <references count="2">
          <reference field="4294967294" count="1" selected="0">
            <x v="0"/>
          </reference>
          <reference field="0" count="1" selected="0">
            <x v="25"/>
          </reference>
        </references>
      </pivotArea>
    </chartFormat>
    <chartFormat chart="0" format="500">
      <pivotArea type="data" outline="0" fieldPosition="0">
        <references count="2">
          <reference field="4294967294" count="1" selected="0">
            <x v="0"/>
          </reference>
          <reference field="0" count="1" selected="0">
            <x v="25"/>
          </reference>
        </references>
      </pivotArea>
    </chartFormat>
    <chartFormat chart="0" format="501">
      <pivotArea type="data" outline="0" fieldPosition="0">
        <references count="2">
          <reference field="4294967294" count="1" selected="0">
            <x v="1"/>
          </reference>
          <reference field="0" count="1" selected="0">
            <x v="25"/>
          </reference>
        </references>
      </pivotArea>
    </chartFormat>
    <chartFormat chart="0" format="502">
      <pivotArea type="data" outline="0" fieldPosition="0">
        <references count="2">
          <reference field="4294967294" count="1" selected="0">
            <x v="2"/>
          </reference>
          <reference field="0" count="1" selected="0">
            <x v="25"/>
          </reference>
        </references>
      </pivotArea>
    </chartFormat>
    <chartFormat chart="0" format="503">
      <pivotArea type="data" outline="0" fieldPosition="0">
        <references count="2">
          <reference field="4294967294" count="1" selected="0">
            <x v="3"/>
          </reference>
          <reference field="0" count="1" selected="0">
            <x v="25"/>
          </reference>
        </references>
      </pivotArea>
    </chartFormat>
    <chartFormat chart="0" format="504" series="1">
      <pivotArea type="data" outline="0" fieldPosition="0">
        <references count="2">
          <reference field="4294967294" count="1" selected="0">
            <x v="0"/>
          </reference>
          <reference field="0" count="1" selected="0">
            <x v="26"/>
          </reference>
        </references>
      </pivotArea>
    </chartFormat>
    <chartFormat chart="0" format="505">
      <pivotArea type="data" outline="0" fieldPosition="0">
        <references count="2">
          <reference field="4294967294" count="1" selected="0">
            <x v="0"/>
          </reference>
          <reference field="0" count="1" selected="0">
            <x v="26"/>
          </reference>
        </references>
      </pivotArea>
    </chartFormat>
    <chartFormat chart="0" format="506">
      <pivotArea type="data" outline="0" fieldPosition="0">
        <references count="2">
          <reference field="4294967294" count="1" selected="0">
            <x v="1"/>
          </reference>
          <reference field="0" count="1" selected="0">
            <x v="26"/>
          </reference>
        </references>
      </pivotArea>
    </chartFormat>
    <chartFormat chart="0" format="507">
      <pivotArea type="data" outline="0" fieldPosition="0">
        <references count="2">
          <reference field="4294967294" count="1" selected="0">
            <x v="2"/>
          </reference>
          <reference field="0" count="1" selected="0">
            <x v="26"/>
          </reference>
        </references>
      </pivotArea>
    </chartFormat>
    <chartFormat chart="0" format="508">
      <pivotArea type="data" outline="0" fieldPosition="0">
        <references count="2">
          <reference field="4294967294" count="1" selected="0">
            <x v="3"/>
          </reference>
          <reference field="0" count="1" selected="0">
            <x v="26"/>
          </reference>
        </references>
      </pivotArea>
    </chartFormat>
    <chartFormat chart="0" format="509" series="1">
      <pivotArea type="data" outline="0" fieldPosition="0">
        <references count="2">
          <reference field="4294967294" count="1" selected="0">
            <x v="0"/>
          </reference>
          <reference field="0" count="1" selected="0">
            <x v="27"/>
          </reference>
        </references>
      </pivotArea>
    </chartFormat>
    <chartFormat chart="0" format="510">
      <pivotArea type="data" outline="0" fieldPosition="0">
        <references count="2">
          <reference field="4294967294" count="1" selected="0">
            <x v="0"/>
          </reference>
          <reference field="0" count="1" selected="0">
            <x v="27"/>
          </reference>
        </references>
      </pivotArea>
    </chartFormat>
    <chartFormat chart="0" format="511">
      <pivotArea type="data" outline="0" fieldPosition="0">
        <references count="2">
          <reference field="4294967294" count="1" selected="0">
            <x v="1"/>
          </reference>
          <reference field="0" count="1" selected="0">
            <x v="27"/>
          </reference>
        </references>
      </pivotArea>
    </chartFormat>
    <chartFormat chart="0" format="512">
      <pivotArea type="data" outline="0" fieldPosition="0">
        <references count="2">
          <reference field="4294967294" count="1" selected="0">
            <x v="2"/>
          </reference>
          <reference field="0" count="1" selected="0">
            <x v="27"/>
          </reference>
        </references>
      </pivotArea>
    </chartFormat>
    <chartFormat chart="0" format="513">
      <pivotArea type="data" outline="0" fieldPosition="0">
        <references count="2">
          <reference field="4294967294" count="1" selected="0">
            <x v="3"/>
          </reference>
          <reference field="0" count="1" selected="0">
            <x v="27"/>
          </reference>
        </references>
      </pivotArea>
    </chartFormat>
    <chartFormat chart="0" format="514" series="1">
      <pivotArea type="data" outline="0" fieldPosition="0">
        <references count="2">
          <reference field="4294967294" count="1" selected="0">
            <x v="0"/>
          </reference>
          <reference field="0" count="1" selected="0">
            <x v="28"/>
          </reference>
        </references>
      </pivotArea>
    </chartFormat>
    <chartFormat chart="0" format="515">
      <pivotArea type="data" outline="0" fieldPosition="0">
        <references count="2">
          <reference field="4294967294" count="1" selected="0">
            <x v="0"/>
          </reference>
          <reference field="0" count="1" selected="0">
            <x v="28"/>
          </reference>
        </references>
      </pivotArea>
    </chartFormat>
    <chartFormat chart="0" format="516">
      <pivotArea type="data" outline="0" fieldPosition="0">
        <references count="2">
          <reference field="4294967294" count="1" selected="0">
            <x v="1"/>
          </reference>
          <reference field="0" count="1" selected="0">
            <x v="28"/>
          </reference>
        </references>
      </pivotArea>
    </chartFormat>
    <chartFormat chart="0" format="517">
      <pivotArea type="data" outline="0" fieldPosition="0">
        <references count="2">
          <reference field="4294967294" count="1" selected="0">
            <x v="2"/>
          </reference>
          <reference field="0" count="1" selected="0">
            <x v="28"/>
          </reference>
        </references>
      </pivotArea>
    </chartFormat>
    <chartFormat chart="0" format="518">
      <pivotArea type="data" outline="0" fieldPosition="0">
        <references count="2">
          <reference field="4294967294" count="1" selected="0">
            <x v="3"/>
          </reference>
          <reference field="0" count="1" selected="0">
            <x v="28"/>
          </reference>
        </references>
      </pivotArea>
    </chartFormat>
    <chartFormat chart="0" format="519" series="1">
      <pivotArea type="data" outline="0" fieldPosition="0">
        <references count="2">
          <reference field="4294967294" count="1" selected="0">
            <x v="0"/>
          </reference>
          <reference field="0" count="1" selected="0">
            <x v="29"/>
          </reference>
        </references>
      </pivotArea>
    </chartFormat>
    <chartFormat chart="0" format="520">
      <pivotArea type="data" outline="0" fieldPosition="0">
        <references count="2">
          <reference field="4294967294" count="1" selected="0">
            <x v="0"/>
          </reference>
          <reference field="0" count="1" selected="0">
            <x v="29"/>
          </reference>
        </references>
      </pivotArea>
    </chartFormat>
    <chartFormat chart="0" format="521">
      <pivotArea type="data" outline="0" fieldPosition="0">
        <references count="2">
          <reference field="4294967294" count="1" selected="0">
            <x v="1"/>
          </reference>
          <reference field="0" count="1" selected="0">
            <x v="29"/>
          </reference>
        </references>
      </pivotArea>
    </chartFormat>
    <chartFormat chart="0" format="522">
      <pivotArea type="data" outline="0" fieldPosition="0">
        <references count="2">
          <reference field="4294967294" count="1" selected="0">
            <x v="2"/>
          </reference>
          <reference field="0" count="1" selected="0">
            <x v="29"/>
          </reference>
        </references>
      </pivotArea>
    </chartFormat>
    <chartFormat chart="0" format="523">
      <pivotArea type="data" outline="0" fieldPosition="0">
        <references count="2">
          <reference field="4294967294" count="1" selected="0">
            <x v="3"/>
          </reference>
          <reference field="0" count="1" selected="0">
            <x v="29"/>
          </reference>
        </references>
      </pivotArea>
    </chartFormat>
    <chartFormat chart="0" format="524" series="1">
      <pivotArea type="data" outline="0" fieldPosition="0">
        <references count="2">
          <reference field="4294967294" count="1" selected="0">
            <x v="0"/>
          </reference>
          <reference field="0" count="1" selected="0">
            <x v="30"/>
          </reference>
        </references>
      </pivotArea>
    </chartFormat>
    <chartFormat chart="0" format="525">
      <pivotArea type="data" outline="0" fieldPosition="0">
        <references count="2">
          <reference field="4294967294" count="1" selected="0">
            <x v="0"/>
          </reference>
          <reference field="0" count="1" selected="0">
            <x v="30"/>
          </reference>
        </references>
      </pivotArea>
    </chartFormat>
    <chartFormat chart="0" format="526">
      <pivotArea type="data" outline="0" fieldPosition="0">
        <references count="2">
          <reference field="4294967294" count="1" selected="0">
            <x v="1"/>
          </reference>
          <reference field="0" count="1" selected="0">
            <x v="30"/>
          </reference>
        </references>
      </pivotArea>
    </chartFormat>
    <chartFormat chart="0" format="527">
      <pivotArea type="data" outline="0" fieldPosition="0">
        <references count="2">
          <reference field="4294967294" count="1" selected="0">
            <x v="2"/>
          </reference>
          <reference field="0" count="1" selected="0">
            <x v="30"/>
          </reference>
        </references>
      </pivotArea>
    </chartFormat>
    <chartFormat chart="0" format="528">
      <pivotArea type="data" outline="0" fieldPosition="0">
        <references count="2">
          <reference field="4294967294" count="1" selected="0">
            <x v="3"/>
          </reference>
          <reference field="0" count="1" selected="0">
            <x v="30"/>
          </reference>
        </references>
      </pivotArea>
    </chartFormat>
    <chartFormat chart="0" format="529" series="1">
      <pivotArea type="data" outline="0" fieldPosition="0">
        <references count="2">
          <reference field="4294967294" count="1" selected="0">
            <x v="0"/>
          </reference>
          <reference field="0" count="1" selected="0">
            <x v="31"/>
          </reference>
        </references>
      </pivotArea>
    </chartFormat>
    <chartFormat chart="0" format="530">
      <pivotArea type="data" outline="0" fieldPosition="0">
        <references count="2">
          <reference field="4294967294" count="1" selected="0">
            <x v="0"/>
          </reference>
          <reference field="0" count="1" selected="0">
            <x v="31"/>
          </reference>
        </references>
      </pivotArea>
    </chartFormat>
    <chartFormat chart="0" format="531">
      <pivotArea type="data" outline="0" fieldPosition="0">
        <references count="2">
          <reference field="4294967294" count="1" selected="0">
            <x v="1"/>
          </reference>
          <reference field="0" count="1" selected="0">
            <x v="31"/>
          </reference>
        </references>
      </pivotArea>
    </chartFormat>
    <chartFormat chart="0" format="532">
      <pivotArea type="data" outline="0" fieldPosition="0">
        <references count="2">
          <reference field="4294967294" count="1" selected="0">
            <x v="2"/>
          </reference>
          <reference field="0" count="1" selected="0">
            <x v="31"/>
          </reference>
        </references>
      </pivotArea>
    </chartFormat>
    <chartFormat chart="0" format="533">
      <pivotArea type="data" outline="0" fieldPosition="0">
        <references count="2">
          <reference field="4294967294" count="1" selected="0">
            <x v="3"/>
          </reference>
          <reference field="0" count="1" selected="0">
            <x v="31"/>
          </reference>
        </references>
      </pivotArea>
    </chartFormat>
    <chartFormat chart="0" format="534" series="1">
      <pivotArea type="data" outline="0" fieldPosition="0">
        <references count="2">
          <reference field="4294967294" count="1" selected="0">
            <x v="0"/>
          </reference>
          <reference field="0" count="1" selected="0">
            <x v="32"/>
          </reference>
        </references>
      </pivotArea>
    </chartFormat>
    <chartFormat chart="0" format="535">
      <pivotArea type="data" outline="0" fieldPosition="0">
        <references count="2">
          <reference field="4294967294" count="1" selected="0">
            <x v="0"/>
          </reference>
          <reference field="0" count="1" selected="0">
            <x v="32"/>
          </reference>
        </references>
      </pivotArea>
    </chartFormat>
    <chartFormat chart="0" format="536">
      <pivotArea type="data" outline="0" fieldPosition="0">
        <references count="2">
          <reference field="4294967294" count="1" selected="0">
            <x v="1"/>
          </reference>
          <reference field="0" count="1" selected="0">
            <x v="32"/>
          </reference>
        </references>
      </pivotArea>
    </chartFormat>
    <chartFormat chart="0" format="537">
      <pivotArea type="data" outline="0" fieldPosition="0">
        <references count="2">
          <reference field="4294967294" count="1" selected="0">
            <x v="2"/>
          </reference>
          <reference field="0" count="1" selected="0">
            <x v="32"/>
          </reference>
        </references>
      </pivotArea>
    </chartFormat>
    <chartFormat chart="0" format="538">
      <pivotArea type="data" outline="0" fieldPosition="0">
        <references count="2">
          <reference field="4294967294" count="1" selected="0">
            <x v="3"/>
          </reference>
          <reference field="0" count="1" selected="0">
            <x v="32"/>
          </reference>
        </references>
      </pivotArea>
    </chartFormat>
    <chartFormat chart="0" format="539" series="1">
      <pivotArea type="data" outline="0" fieldPosition="0">
        <references count="2">
          <reference field="4294967294" count="1" selected="0">
            <x v="0"/>
          </reference>
          <reference field="0" count="1" selected="0">
            <x v="33"/>
          </reference>
        </references>
      </pivotArea>
    </chartFormat>
    <chartFormat chart="0" format="540">
      <pivotArea type="data" outline="0" fieldPosition="0">
        <references count="2">
          <reference field="4294967294" count="1" selected="0">
            <x v="0"/>
          </reference>
          <reference field="0" count="1" selected="0">
            <x v="33"/>
          </reference>
        </references>
      </pivotArea>
    </chartFormat>
    <chartFormat chart="0" format="541">
      <pivotArea type="data" outline="0" fieldPosition="0">
        <references count="2">
          <reference field="4294967294" count="1" selected="0">
            <x v="1"/>
          </reference>
          <reference field="0" count="1" selected="0">
            <x v="33"/>
          </reference>
        </references>
      </pivotArea>
    </chartFormat>
    <chartFormat chart="0" format="542">
      <pivotArea type="data" outline="0" fieldPosition="0">
        <references count="2">
          <reference field="4294967294" count="1" selected="0">
            <x v="2"/>
          </reference>
          <reference field="0" count="1" selected="0">
            <x v="33"/>
          </reference>
        </references>
      </pivotArea>
    </chartFormat>
    <chartFormat chart="0" format="543">
      <pivotArea type="data" outline="0" fieldPosition="0">
        <references count="2">
          <reference field="4294967294" count="1" selected="0">
            <x v="3"/>
          </reference>
          <reference field="0" count="1" selected="0">
            <x v="33"/>
          </reference>
        </references>
      </pivotArea>
    </chartFormat>
    <chartFormat chart="5" format="714" series="1">
      <pivotArea type="data" outline="0" fieldPosition="0">
        <references count="2">
          <reference field="4294967294" count="1" selected="0">
            <x v="0"/>
          </reference>
          <reference field="0" count="1" selected="0">
            <x v="0"/>
          </reference>
        </references>
      </pivotArea>
    </chartFormat>
    <chartFormat chart="5" format="715">
      <pivotArea type="data" outline="0" fieldPosition="0">
        <references count="2">
          <reference field="4294967294" count="1" selected="0">
            <x v="0"/>
          </reference>
          <reference field="0" count="1" selected="0">
            <x v="0"/>
          </reference>
        </references>
      </pivotArea>
    </chartFormat>
    <chartFormat chart="5" format="716">
      <pivotArea type="data" outline="0" fieldPosition="0">
        <references count="2">
          <reference field="4294967294" count="1" selected="0">
            <x v="1"/>
          </reference>
          <reference field="0" count="1" selected="0">
            <x v="0"/>
          </reference>
        </references>
      </pivotArea>
    </chartFormat>
    <chartFormat chart="5" format="717">
      <pivotArea type="data" outline="0" fieldPosition="0">
        <references count="2">
          <reference field="4294967294" count="1" selected="0">
            <x v="2"/>
          </reference>
          <reference field="0" count="1" selected="0">
            <x v="0"/>
          </reference>
        </references>
      </pivotArea>
    </chartFormat>
    <chartFormat chart="5" format="718">
      <pivotArea type="data" outline="0" fieldPosition="0">
        <references count="2">
          <reference field="4294967294" count="1" selected="0">
            <x v="3"/>
          </reference>
          <reference field="0" count="1" selected="0">
            <x v="0"/>
          </reference>
        </references>
      </pivotArea>
    </chartFormat>
    <chartFormat chart="5" format="719" series="1">
      <pivotArea type="data" outline="0" fieldPosition="0">
        <references count="2">
          <reference field="4294967294" count="1" selected="0">
            <x v="0"/>
          </reference>
          <reference field="0" count="1" selected="0">
            <x v="1"/>
          </reference>
        </references>
      </pivotArea>
    </chartFormat>
    <chartFormat chart="5" format="720">
      <pivotArea type="data" outline="0" fieldPosition="0">
        <references count="2">
          <reference field="4294967294" count="1" selected="0">
            <x v="0"/>
          </reference>
          <reference field="0" count="1" selected="0">
            <x v="1"/>
          </reference>
        </references>
      </pivotArea>
    </chartFormat>
    <chartFormat chart="5" format="721">
      <pivotArea type="data" outline="0" fieldPosition="0">
        <references count="2">
          <reference field="4294967294" count="1" selected="0">
            <x v="1"/>
          </reference>
          <reference field="0" count="1" selected="0">
            <x v="1"/>
          </reference>
        </references>
      </pivotArea>
    </chartFormat>
    <chartFormat chart="5" format="722">
      <pivotArea type="data" outline="0" fieldPosition="0">
        <references count="2">
          <reference field="4294967294" count="1" selected="0">
            <x v="2"/>
          </reference>
          <reference field="0" count="1" selected="0">
            <x v="1"/>
          </reference>
        </references>
      </pivotArea>
    </chartFormat>
    <chartFormat chart="5" format="723">
      <pivotArea type="data" outline="0" fieldPosition="0">
        <references count="2">
          <reference field="4294967294" count="1" selected="0">
            <x v="3"/>
          </reference>
          <reference field="0" count="1" selected="0">
            <x v="1"/>
          </reference>
        </references>
      </pivotArea>
    </chartFormat>
    <chartFormat chart="5" format="724" series="1">
      <pivotArea type="data" outline="0" fieldPosition="0">
        <references count="2">
          <reference field="4294967294" count="1" selected="0">
            <x v="0"/>
          </reference>
          <reference field="0" count="1" selected="0">
            <x v="2"/>
          </reference>
        </references>
      </pivotArea>
    </chartFormat>
    <chartFormat chart="5" format="725">
      <pivotArea type="data" outline="0" fieldPosition="0">
        <references count="2">
          <reference field="4294967294" count="1" selected="0">
            <x v="0"/>
          </reference>
          <reference field="0" count="1" selected="0">
            <x v="2"/>
          </reference>
        </references>
      </pivotArea>
    </chartFormat>
    <chartFormat chart="5" format="726">
      <pivotArea type="data" outline="0" fieldPosition="0">
        <references count="2">
          <reference field="4294967294" count="1" selected="0">
            <x v="1"/>
          </reference>
          <reference field="0" count="1" selected="0">
            <x v="2"/>
          </reference>
        </references>
      </pivotArea>
    </chartFormat>
    <chartFormat chart="5" format="727">
      <pivotArea type="data" outline="0" fieldPosition="0">
        <references count="2">
          <reference field="4294967294" count="1" selected="0">
            <x v="2"/>
          </reference>
          <reference field="0" count="1" selected="0">
            <x v="2"/>
          </reference>
        </references>
      </pivotArea>
    </chartFormat>
    <chartFormat chart="5" format="728">
      <pivotArea type="data" outline="0" fieldPosition="0">
        <references count="2">
          <reference field="4294967294" count="1" selected="0">
            <x v="3"/>
          </reference>
          <reference field="0" count="1" selected="0">
            <x v="2"/>
          </reference>
        </references>
      </pivotArea>
    </chartFormat>
    <chartFormat chart="5" format="729" series="1">
      <pivotArea type="data" outline="0" fieldPosition="0">
        <references count="2">
          <reference field="4294967294" count="1" selected="0">
            <x v="0"/>
          </reference>
          <reference field="0" count="1" selected="0">
            <x v="3"/>
          </reference>
        </references>
      </pivotArea>
    </chartFormat>
    <chartFormat chart="5" format="730">
      <pivotArea type="data" outline="0" fieldPosition="0">
        <references count="2">
          <reference field="4294967294" count="1" selected="0">
            <x v="0"/>
          </reference>
          <reference field="0" count="1" selected="0">
            <x v="3"/>
          </reference>
        </references>
      </pivotArea>
    </chartFormat>
    <chartFormat chart="5" format="731">
      <pivotArea type="data" outline="0" fieldPosition="0">
        <references count="2">
          <reference field="4294967294" count="1" selected="0">
            <x v="1"/>
          </reference>
          <reference field="0" count="1" selected="0">
            <x v="3"/>
          </reference>
        </references>
      </pivotArea>
    </chartFormat>
    <chartFormat chart="5" format="732">
      <pivotArea type="data" outline="0" fieldPosition="0">
        <references count="2">
          <reference field="4294967294" count="1" selected="0">
            <x v="2"/>
          </reference>
          <reference field="0" count="1" selected="0">
            <x v="3"/>
          </reference>
        </references>
      </pivotArea>
    </chartFormat>
    <chartFormat chart="5" format="733">
      <pivotArea type="data" outline="0" fieldPosition="0">
        <references count="2">
          <reference field="4294967294" count="1" selected="0">
            <x v="3"/>
          </reference>
          <reference field="0" count="1" selected="0">
            <x v="3"/>
          </reference>
        </references>
      </pivotArea>
    </chartFormat>
    <chartFormat chart="5" format="734" series="1">
      <pivotArea type="data" outline="0" fieldPosition="0">
        <references count="2">
          <reference field="4294967294" count="1" selected="0">
            <x v="0"/>
          </reference>
          <reference field="0" count="1" selected="0">
            <x v="4"/>
          </reference>
        </references>
      </pivotArea>
    </chartFormat>
    <chartFormat chart="5" format="735">
      <pivotArea type="data" outline="0" fieldPosition="0">
        <references count="2">
          <reference field="4294967294" count="1" selected="0">
            <x v="0"/>
          </reference>
          <reference field="0" count="1" selected="0">
            <x v="4"/>
          </reference>
        </references>
      </pivotArea>
    </chartFormat>
    <chartFormat chart="5" format="736">
      <pivotArea type="data" outline="0" fieldPosition="0">
        <references count="2">
          <reference field="4294967294" count="1" selected="0">
            <x v="1"/>
          </reference>
          <reference field="0" count="1" selected="0">
            <x v="4"/>
          </reference>
        </references>
      </pivotArea>
    </chartFormat>
    <chartFormat chart="5" format="737">
      <pivotArea type="data" outline="0" fieldPosition="0">
        <references count="2">
          <reference field="4294967294" count="1" selected="0">
            <x v="2"/>
          </reference>
          <reference field="0" count="1" selected="0">
            <x v="4"/>
          </reference>
        </references>
      </pivotArea>
    </chartFormat>
    <chartFormat chart="5" format="738">
      <pivotArea type="data" outline="0" fieldPosition="0">
        <references count="2">
          <reference field="4294967294" count="1" selected="0">
            <x v="3"/>
          </reference>
          <reference field="0" count="1" selected="0">
            <x v="4"/>
          </reference>
        </references>
      </pivotArea>
    </chartFormat>
    <chartFormat chart="5" format="739" series="1">
      <pivotArea type="data" outline="0" fieldPosition="0">
        <references count="2">
          <reference field="4294967294" count="1" selected="0">
            <x v="0"/>
          </reference>
          <reference field="0" count="1" selected="0">
            <x v="5"/>
          </reference>
        </references>
      </pivotArea>
    </chartFormat>
    <chartFormat chart="5" format="740">
      <pivotArea type="data" outline="0" fieldPosition="0">
        <references count="2">
          <reference field="4294967294" count="1" selected="0">
            <x v="0"/>
          </reference>
          <reference field="0" count="1" selected="0">
            <x v="5"/>
          </reference>
        </references>
      </pivotArea>
    </chartFormat>
    <chartFormat chart="5" format="741">
      <pivotArea type="data" outline="0" fieldPosition="0">
        <references count="2">
          <reference field="4294967294" count="1" selected="0">
            <x v="1"/>
          </reference>
          <reference field="0" count="1" selected="0">
            <x v="5"/>
          </reference>
        </references>
      </pivotArea>
    </chartFormat>
    <chartFormat chart="5" format="742">
      <pivotArea type="data" outline="0" fieldPosition="0">
        <references count="2">
          <reference field="4294967294" count="1" selected="0">
            <x v="2"/>
          </reference>
          <reference field="0" count="1" selected="0">
            <x v="5"/>
          </reference>
        </references>
      </pivotArea>
    </chartFormat>
    <chartFormat chart="5" format="743">
      <pivotArea type="data" outline="0" fieldPosition="0">
        <references count="2">
          <reference field="4294967294" count="1" selected="0">
            <x v="3"/>
          </reference>
          <reference field="0" count="1" selected="0">
            <x v="5"/>
          </reference>
        </references>
      </pivotArea>
    </chartFormat>
    <chartFormat chart="5" format="744" series="1">
      <pivotArea type="data" outline="0" fieldPosition="0">
        <references count="2">
          <reference field="4294967294" count="1" selected="0">
            <x v="0"/>
          </reference>
          <reference field="0" count="1" selected="0">
            <x v="6"/>
          </reference>
        </references>
      </pivotArea>
    </chartFormat>
    <chartFormat chart="5" format="745">
      <pivotArea type="data" outline="0" fieldPosition="0">
        <references count="2">
          <reference field="4294967294" count="1" selected="0">
            <x v="0"/>
          </reference>
          <reference field="0" count="1" selected="0">
            <x v="6"/>
          </reference>
        </references>
      </pivotArea>
    </chartFormat>
    <chartFormat chart="5" format="746">
      <pivotArea type="data" outline="0" fieldPosition="0">
        <references count="2">
          <reference field="4294967294" count="1" selected="0">
            <x v="1"/>
          </reference>
          <reference field="0" count="1" selected="0">
            <x v="6"/>
          </reference>
        </references>
      </pivotArea>
    </chartFormat>
    <chartFormat chart="5" format="747">
      <pivotArea type="data" outline="0" fieldPosition="0">
        <references count="2">
          <reference field="4294967294" count="1" selected="0">
            <x v="2"/>
          </reference>
          <reference field="0" count="1" selected="0">
            <x v="6"/>
          </reference>
        </references>
      </pivotArea>
    </chartFormat>
    <chartFormat chart="5" format="748">
      <pivotArea type="data" outline="0" fieldPosition="0">
        <references count="2">
          <reference field="4294967294" count="1" selected="0">
            <x v="3"/>
          </reference>
          <reference field="0" count="1" selected="0">
            <x v="6"/>
          </reference>
        </references>
      </pivotArea>
    </chartFormat>
    <chartFormat chart="5" format="749" series="1">
      <pivotArea type="data" outline="0" fieldPosition="0">
        <references count="2">
          <reference field="4294967294" count="1" selected="0">
            <x v="0"/>
          </reference>
          <reference field="0" count="1" selected="0">
            <x v="7"/>
          </reference>
        </references>
      </pivotArea>
    </chartFormat>
    <chartFormat chart="5" format="750">
      <pivotArea type="data" outline="0" fieldPosition="0">
        <references count="2">
          <reference field="4294967294" count="1" selected="0">
            <x v="0"/>
          </reference>
          <reference field="0" count="1" selected="0">
            <x v="7"/>
          </reference>
        </references>
      </pivotArea>
    </chartFormat>
    <chartFormat chart="5" format="751">
      <pivotArea type="data" outline="0" fieldPosition="0">
        <references count="2">
          <reference field="4294967294" count="1" selected="0">
            <x v="1"/>
          </reference>
          <reference field="0" count="1" selected="0">
            <x v="7"/>
          </reference>
        </references>
      </pivotArea>
    </chartFormat>
    <chartFormat chart="5" format="752">
      <pivotArea type="data" outline="0" fieldPosition="0">
        <references count="2">
          <reference field="4294967294" count="1" selected="0">
            <x v="2"/>
          </reference>
          <reference field="0" count="1" selected="0">
            <x v="7"/>
          </reference>
        </references>
      </pivotArea>
    </chartFormat>
    <chartFormat chart="5" format="753">
      <pivotArea type="data" outline="0" fieldPosition="0">
        <references count="2">
          <reference field="4294967294" count="1" selected="0">
            <x v="3"/>
          </reference>
          <reference field="0" count="1" selected="0">
            <x v="7"/>
          </reference>
        </references>
      </pivotArea>
    </chartFormat>
    <chartFormat chart="5" format="754" series="1">
      <pivotArea type="data" outline="0" fieldPosition="0">
        <references count="2">
          <reference field="4294967294" count="1" selected="0">
            <x v="0"/>
          </reference>
          <reference field="0" count="1" selected="0">
            <x v="8"/>
          </reference>
        </references>
      </pivotArea>
    </chartFormat>
    <chartFormat chart="5" format="755">
      <pivotArea type="data" outline="0" fieldPosition="0">
        <references count="2">
          <reference field="4294967294" count="1" selected="0">
            <x v="0"/>
          </reference>
          <reference field="0" count="1" selected="0">
            <x v="8"/>
          </reference>
        </references>
      </pivotArea>
    </chartFormat>
    <chartFormat chart="5" format="756">
      <pivotArea type="data" outline="0" fieldPosition="0">
        <references count="2">
          <reference field="4294967294" count="1" selected="0">
            <x v="1"/>
          </reference>
          <reference field="0" count="1" selected="0">
            <x v="8"/>
          </reference>
        </references>
      </pivotArea>
    </chartFormat>
    <chartFormat chart="5" format="757">
      <pivotArea type="data" outline="0" fieldPosition="0">
        <references count="2">
          <reference field="4294967294" count="1" selected="0">
            <x v="2"/>
          </reference>
          <reference field="0" count="1" selected="0">
            <x v="8"/>
          </reference>
        </references>
      </pivotArea>
    </chartFormat>
    <chartFormat chart="5" format="758">
      <pivotArea type="data" outline="0" fieldPosition="0">
        <references count="2">
          <reference field="4294967294" count="1" selected="0">
            <x v="3"/>
          </reference>
          <reference field="0" count="1" selected="0">
            <x v="8"/>
          </reference>
        </references>
      </pivotArea>
    </chartFormat>
    <chartFormat chart="5" format="759" series="1">
      <pivotArea type="data" outline="0" fieldPosition="0">
        <references count="2">
          <reference field="4294967294" count="1" selected="0">
            <x v="0"/>
          </reference>
          <reference field="0" count="1" selected="0">
            <x v="9"/>
          </reference>
        </references>
      </pivotArea>
    </chartFormat>
    <chartFormat chart="5" format="760">
      <pivotArea type="data" outline="0" fieldPosition="0">
        <references count="2">
          <reference field="4294967294" count="1" selected="0">
            <x v="0"/>
          </reference>
          <reference field="0" count="1" selected="0">
            <x v="9"/>
          </reference>
        </references>
      </pivotArea>
    </chartFormat>
    <chartFormat chart="5" format="761">
      <pivotArea type="data" outline="0" fieldPosition="0">
        <references count="2">
          <reference field="4294967294" count="1" selected="0">
            <x v="1"/>
          </reference>
          <reference field="0" count="1" selected="0">
            <x v="9"/>
          </reference>
        </references>
      </pivotArea>
    </chartFormat>
    <chartFormat chart="5" format="762">
      <pivotArea type="data" outline="0" fieldPosition="0">
        <references count="2">
          <reference field="4294967294" count="1" selected="0">
            <x v="2"/>
          </reference>
          <reference field="0" count="1" selected="0">
            <x v="9"/>
          </reference>
        </references>
      </pivotArea>
    </chartFormat>
    <chartFormat chart="5" format="763">
      <pivotArea type="data" outline="0" fieldPosition="0">
        <references count="2">
          <reference field="4294967294" count="1" selected="0">
            <x v="3"/>
          </reference>
          <reference field="0" count="1" selected="0">
            <x v="9"/>
          </reference>
        </references>
      </pivotArea>
    </chartFormat>
    <chartFormat chart="5" format="764" series="1">
      <pivotArea type="data" outline="0" fieldPosition="0">
        <references count="2">
          <reference field="4294967294" count="1" selected="0">
            <x v="0"/>
          </reference>
          <reference field="0" count="1" selected="0">
            <x v="10"/>
          </reference>
        </references>
      </pivotArea>
    </chartFormat>
    <chartFormat chart="5" format="765">
      <pivotArea type="data" outline="0" fieldPosition="0">
        <references count="2">
          <reference field="4294967294" count="1" selected="0">
            <x v="0"/>
          </reference>
          <reference field="0" count="1" selected="0">
            <x v="10"/>
          </reference>
        </references>
      </pivotArea>
    </chartFormat>
    <chartFormat chart="5" format="766">
      <pivotArea type="data" outline="0" fieldPosition="0">
        <references count="2">
          <reference field="4294967294" count="1" selected="0">
            <x v="1"/>
          </reference>
          <reference field="0" count="1" selected="0">
            <x v="10"/>
          </reference>
        </references>
      </pivotArea>
    </chartFormat>
    <chartFormat chart="5" format="767">
      <pivotArea type="data" outline="0" fieldPosition="0">
        <references count="2">
          <reference field="4294967294" count="1" selected="0">
            <x v="2"/>
          </reference>
          <reference field="0" count="1" selected="0">
            <x v="10"/>
          </reference>
        </references>
      </pivotArea>
    </chartFormat>
    <chartFormat chart="5" format="768">
      <pivotArea type="data" outline="0" fieldPosition="0">
        <references count="2">
          <reference field="4294967294" count="1" selected="0">
            <x v="3"/>
          </reference>
          <reference field="0" count="1" selected="0">
            <x v="10"/>
          </reference>
        </references>
      </pivotArea>
    </chartFormat>
    <chartFormat chart="5" format="769" series="1">
      <pivotArea type="data" outline="0" fieldPosition="0">
        <references count="2">
          <reference field="4294967294" count="1" selected="0">
            <x v="0"/>
          </reference>
          <reference field="0" count="1" selected="0">
            <x v="11"/>
          </reference>
        </references>
      </pivotArea>
    </chartFormat>
    <chartFormat chart="5" format="770">
      <pivotArea type="data" outline="0" fieldPosition="0">
        <references count="2">
          <reference field="4294967294" count="1" selected="0">
            <x v="0"/>
          </reference>
          <reference field="0" count="1" selected="0">
            <x v="11"/>
          </reference>
        </references>
      </pivotArea>
    </chartFormat>
    <chartFormat chart="5" format="771">
      <pivotArea type="data" outline="0" fieldPosition="0">
        <references count="2">
          <reference field="4294967294" count="1" selected="0">
            <x v="1"/>
          </reference>
          <reference field="0" count="1" selected="0">
            <x v="11"/>
          </reference>
        </references>
      </pivotArea>
    </chartFormat>
    <chartFormat chart="5" format="772">
      <pivotArea type="data" outline="0" fieldPosition="0">
        <references count="2">
          <reference field="4294967294" count="1" selected="0">
            <x v="2"/>
          </reference>
          <reference field="0" count="1" selected="0">
            <x v="11"/>
          </reference>
        </references>
      </pivotArea>
    </chartFormat>
    <chartFormat chart="5" format="773">
      <pivotArea type="data" outline="0" fieldPosition="0">
        <references count="2">
          <reference field="4294967294" count="1" selected="0">
            <x v="3"/>
          </reference>
          <reference field="0" count="1" selected="0">
            <x v="11"/>
          </reference>
        </references>
      </pivotArea>
    </chartFormat>
    <chartFormat chart="5" format="774" series="1">
      <pivotArea type="data" outline="0" fieldPosition="0">
        <references count="2">
          <reference field="4294967294" count="1" selected="0">
            <x v="0"/>
          </reference>
          <reference field="0" count="1" selected="0">
            <x v="12"/>
          </reference>
        </references>
      </pivotArea>
    </chartFormat>
    <chartFormat chart="5" format="775">
      <pivotArea type="data" outline="0" fieldPosition="0">
        <references count="2">
          <reference field="4294967294" count="1" selected="0">
            <x v="0"/>
          </reference>
          <reference field="0" count="1" selected="0">
            <x v="12"/>
          </reference>
        </references>
      </pivotArea>
    </chartFormat>
    <chartFormat chart="5" format="776">
      <pivotArea type="data" outline="0" fieldPosition="0">
        <references count="2">
          <reference field="4294967294" count="1" selected="0">
            <x v="1"/>
          </reference>
          <reference field="0" count="1" selected="0">
            <x v="12"/>
          </reference>
        </references>
      </pivotArea>
    </chartFormat>
    <chartFormat chart="5" format="777">
      <pivotArea type="data" outline="0" fieldPosition="0">
        <references count="2">
          <reference field="4294967294" count="1" selected="0">
            <x v="2"/>
          </reference>
          <reference field="0" count="1" selected="0">
            <x v="12"/>
          </reference>
        </references>
      </pivotArea>
    </chartFormat>
    <chartFormat chart="5" format="778">
      <pivotArea type="data" outline="0" fieldPosition="0">
        <references count="2">
          <reference field="4294967294" count="1" selected="0">
            <x v="3"/>
          </reference>
          <reference field="0" count="1" selected="0">
            <x v="12"/>
          </reference>
        </references>
      </pivotArea>
    </chartFormat>
    <chartFormat chart="5" format="779" series="1">
      <pivotArea type="data" outline="0" fieldPosition="0">
        <references count="2">
          <reference field="4294967294" count="1" selected="0">
            <x v="0"/>
          </reference>
          <reference field="0" count="1" selected="0">
            <x v="13"/>
          </reference>
        </references>
      </pivotArea>
    </chartFormat>
    <chartFormat chart="5" format="780">
      <pivotArea type="data" outline="0" fieldPosition="0">
        <references count="2">
          <reference field="4294967294" count="1" selected="0">
            <x v="0"/>
          </reference>
          <reference field="0" count="1" selected="0">
            <x v="13"/>
          </reference>
        </references>
      </pivotArea>
    </chartFormat>
    <chartFormat chart="5" format="781">
      <pivotArea type="data" outline="0" fieldPosition="0">
        <references count="2">
          <reference field="4294967294" count="1" selected="0">
            <x v="1"/>
          </reference>
          <reference field="0" count="1" selected="0">
            <x v="13"/>
          </reference>
        </references>
      </pivotArea>
    </chartFormat>
    <chartFormat chart="5" format="782">
      <pivotArea type="data" outline="0" fieldPosition="0">
        <references count="2">
          <reference field="4294967294" count="1" selected="0">
            <x v="2"/>
          </reference>
          <reference field="0" count="1" selected="0">
            <x v="13"/>
          </reference>
        </references>
      </pivotArea>
    </chartFormat>
    <chartFormat chart="5" format="783">
      <pivotArea type="data" outline="0" fieldPosition="0">
        <references count="2">
          <reference field="4294967294" count="1" selected="0">
            <x v="3"/>
          </reference>
          <reference field="0" count="1" selected="0">
            <x v="13"/>
          </reference>
        </references>
      </pivotArea>
    </chartFormat>
    <chartFormat chart="5" format="784" series="1">
      <pivotArea type="data" outline="0" fieldPosition="0">
        <references count="2">
          <reference field="4294967294" count="1" selected="0">
            <x v="0"/>
          </reference>
          <reference field="0" count="1" selected="0">
            <x v="14"/>
          </reference>
        </references>
      </pivotArea>
    </chartFormat>
    <chartFormat chart="5" format="785">
      <pivotArea type="data" outline="0" fieldPosition="0">
        <references count="2">
          <reference field="4294967294" count="1" selected="0">
            <x v="0"/>
          </reference>
          <reference field="0" count="1" selected="0">
            <x v="14"/>
          </reference>
        </references>
      </pivotArea>
    </chartFormat>
    <chartFormat chart="5" format="786">
      <pivotArea type="data" outline="0" fieldPosition="0">
        <references count="2">
          <reference field="4294967294" count="1" selected="0">
            <x v="1"/>
          </reference>
          <reference field="0" count="1" selected="0">
            <x v="14"/>
          </reference>
        </references>
      </pivotArea>
    </chartFormat>
    <chartFormat chart="5" format="787">
      <pivotArea type="data" outline="0" fieldPosition="0">
        <references count="2">
          <reference field="4294967294" count="1" selected="0">
            <x v="2"/>
          </reference>
          <reference field="0" count="1" selected="0">
            <x v="14"/>
          </reference>
        </references>
      </pivotArea>
    </chartFormat>
    <chartFormat chart="5" format="788">
      <pivotArea type="data" outline="0" fieldPosition="0">
        <references count="2">
          <reference field="4294967294" count="1" selected="0">
            <x v="3"/>
          </reference>
          <reference field="0" count="1" selected="0">
            <x v="14"/>
          </reference>
        </references>
      </pivotArea>
    </chartFormat>
    <chartFormat chart="5" format="789" series="1">
      <pivotArea type="data" outline="0" fieldPosition="0">
        <references count="2">
          <reference field="4294967294" count="1" selected="0">
            <x v="0"/>
          </reference>
          <reference field="0" count="1" selected="0">
            <x v="15"/>
          </reference>
        </references>
      </pivotArea>
    </chartFormat>
    <chartFormat chart="5" format="790">
      <pivotArea type="data" outline="0" fieldPosition="0">
        <references count="2">
          <reference field="4294967294" count="1" selected="0">
            <x v="0"/>
          </reference>
          <reference field="0" count="1" selected="0">
            <x v="15"/>
          </reference>
        </references>
      </pivotArea>
    </chartFormat>
    <chartFormat chart="5" format="791">
      <pivotArea type="data" outline="0" fieldPosition="0">
        <references count="2">
          <reference field="4294967294" count="1" selected="0">
            <x v="1"/>
          </reference>
          <reference field="0" count="1" selected="0">
            <x v="15"/>
          </reference>
        </references>
      </pivotArea>
    </chartFormat>
    <chartFormat chart="5" format="792">
      <pivotArea type="data" outline="0" fieldPosition="0">
        <references count="2">
          <reference field="4294967294" count="1" selected="0">
            <x v="2"/>
          </reference>
          <reference field="0" count="1" selected="0">
            <x v="15"/>
          </reference>
        </references>
      </pivotArea>
    </chartFormat>
    <chartFormat chart="5" format="793">
      <pivotArea type="data" outline="0" fieldPosition="0">
        <references count="2">
          <reference field="4294967294" count="1" selected="0">
            <x v="3"/>
          </reference>
          <reference field="0" count="1" selected="0">
            <x v="15"/>
          </reference>
        </references>
      </pivotArea>
    </chartFormat>
    <chartFormat chart="5" format="794" series="1">
      <pivotArea type="data" outline="0" fieldPosition="0">
        <references count="2">
          <reference field="4294967294" count="1" selected="0">
            <x v="0"/>
          </reference>
          <reference field="0" count="1" selected="0">
            <x v="16"/>
          </reference>
        </references>
      </pivotArea>
    </chartFormat>
    <chartFormat chart="5" format="795">
      <pivotArea type="data" outline="0" fieldPosition="0">
        <references count="2">
          <reference field="4294967294" count="1" selected="0">
            <x v="0"/>
          </reference>
          <reference field="0" count="1" selected="0">
            <x v="16"/>
          </reference>
        </references>
      </pivotArea>
    </chartFormat>
    <chartFormat chart="5" format="796">
      <pivotArea type="data" outline="0" fieldPosition="0">
        <references count="2">
          <reference field="4294967294" count="1" selected="0">
            <x v="1"/>
          </reference>
          <reference field="0" count="1" selected="0">
            <x v="16"/>
          </reference>
        </references>
      </pivotArea>
    </chartFormat>
    <chartFormat chart="5" format="797">
      <pivotArea type="data" outline="0" fieldPosition="0">
        <references count="2">
          <reference field="4294967294" count="1" selected="0">
            <x v="2"/>
          </reference>
          <reference field="0" count="1" selected="0">
            <x v="16"/>
          </reference>
        </references>
      </pivotArea>
    </chartFormat>
    <chartFormat chart="5" format="798">
      <pivotArea type="data" outline="0" fieldPosition="0">
        <references count="2">
          <reference field="4294967294" count="1" selected="0">
            <x v="3"/>
          </reference>
          <reference field="0" count="1" selected="0">
            <x v="16"/>
          </reference>
        </references>
      </pivotArea>
    </chartFormat>
    <chartFormat chart="5" format="799" series="1">
      <pivotArea type="data" outline="0" fieldPosition="0">
        <references count="2">
          <reference field="4294967294" count="1" selected="0">
            <x v="0"/>
          </reference>
          <reference field="0" count="1" selected="0">
            <x v="17"/>
          </reference>
        </references>
      </pivotArea>
    </chartFormat>
    <chartFormat chart="5" format="800">
      <pivotArea type="data" outline="0" fieldPosition="0">
        <references count="2">
          <reference field="4294967294" count="1" selected="0">
            <x v="0"/>
          </reference>
          <reference field="0" count="1" selected="0">
            <x v="17"/>
          </reference>
        </references>
      </pivotArea>
    </chartFormat>
    <chartFormat chart="5" format="801">
      <pivotArea type="data" outline="0" fieldPosition="0">
        <references count="2">
          <reference field="4294967294" count="1" selected="0">
            <x v="1"/>
          </reference>
          <reference field="0" count="1" selected="0">
            <x v="17"/>
          </reference>
        </references>
      </pivotArea>
    </chartFormat>
    <chartFormat chart="5" format="802">
      <pivotArea type="data" outline="0" fieldPosition="0">
        <references count="2">
          <reference field="4294967294" count="1" selected="0">
            <x v="2"/>
          </reference>
          <reference field="0" count="1" selected="0">
            <x v="17"/>
          </reference>
        </references>
      </pivotArea>
    </chartFormat>
    <chartFormat chart="5" format="803">
      <pivotArea type="data" outline="0" fieldPosition="0">
        <references count="2">
          <reference field="4294967294" count="1" selected="0">
            <x v="3"/>
          </reference>
          <reference field="0" count="1" selected="0">
            <x v="17"/>
          </reference>
        </references>
      </pivotArea>
    </chartFormat>
    <chartFormat chart="5" format="804" series="1">
      <pivotArea type="data" outline="0" fieldPosition="0">
        <references count="2">
          <reference field="4294967294" count="1" selected="0">
            <x v="0"/>
          </reference>
          <reference field="0" count="1" selected="0">
            <x v="18"/>
          </reference>
        </references>
      </pivotArea>
    </chartFormat>
    <chartFormat chart="5" format="805">
      <pivotArea type="data" outline="0" fieldPosition="0">
        <references count="2">
          <reference field="4294967294" count="1" selected="0">
            <x v="0"/>
          </reference>
          <reference field="0" count="1" selected="0">
            <x v="18"/>
          </reference>
        </references>
      </pivotArea>
    </chartFormat>
    <chartFormat chart="5" format="806">
      <pivotArea type="data" outline="0" fieldPosition="0">
        <references count="2">
          <reference field="4294967294" count="1" selected="0">
            <x v="1"/>
          </reference>
          <reference field="0" count="1" selected="0">
            <x v="18"/>
          </reference>
        </references>
      </pivotArea>
    </chartFormat>
    <chartFormat chart="5" format="807">
      <pivotArea type="data" outline="0" fieldPosition="0">
        <references count="2">
          <reference field="4294967294" count="1" selected="0">
            <x v="2"/>
          </reference>
          <reference field="0" count="1" selected="0">
            <x v="18"/>
          </reference>
        </references>
      </pivotArea>
    </chartFormat>
    <chartFormat chart="5" format="808">
      <pivotArea type="data" outline="0" fieldPosition="0">
        <references count="2">
          <reference field="4294967294" count="1" selected="0">
            <x v="3"/>
          </reference>
          <reference field="0" count="1" selected="0">
            <x v="18"/>
          </reference>
        </references>
      </pivotArea>
    </chartFormat>
    <chartFormat chart="5" format="809" series="1">
      <pivotArea type="data" outline="0" fieldPosition="0">
        <references count="2">
          <reference field="4294967294" count="1" selected="0">
            <x v="0"/>
          </reference>
          <reference field="0" count="1" selected="0">
            <x v="19"/>
          </reference>
        </references>
      </pivotArea>
    </chartFormat>
    <chartFormat chart="5" format="810">
      <pivotArea type="data" outline="0" fieldPosition="0">
        <references count="2">
          <reference field="4294967294" count="1" selected="0">
            <x v="0"/>
          </reference>
          <reference field="0" count="1" selected="0">
            <x v="19"/>
          </reference>
        </references>
      </pivotArea>
    </chartFormat>
    <chartFormat chart="5" format="811">
      <pivotArea type="data" outline="0" fieldPosition="0">
        <references count="2">
          <reference field="4294967294" count="1" selected="0">
            <x v="1"/>
          </reference>
          <reference field="0" count="1" selected="0">
            <x v="19"/>
          </reference>
        </references>
      </pivotArea>
    </chartFormat>
    <chartFormat chart="5" format="812">
      <pivotArea type="data" outline="0" fieldPosition="0">
        <references count="2">
          <reference field="4294967294" count="1" selected="0">
            <x v="2"/>
          </reference>
          <reference field="0" count="1" selected="0">
            <x v="19"/>
          </reference>
        </references>
      </pivotArea>
    </chartFormat>
    <chartFormat chart="5" format="813">
      <pivotArea type="data" outline="0" fieldPosition="0">
        <references count="2">
          <reference field="4294967294" count="1" selected="0">
            <x v="3"/>
          </reference>
          <reference field="0" count="1" selected="0">
            <x v="19"/>
          </reference>
        </references>
      </pivotArea>
    </chartFormat>
    <chartFormat chart="5" format="814" series="1">
      <pivotArea type="data" outline="0" fieldPosition="0">
        <references count="2">
          <reference field="4294967294" count="1" selected="0">
            <x v="0"/>
          </reference>
          <reference field="0" count="1" selected="0">
            <x v="20"/>
          </reference>
        </references>
      </pivotArea>
    </chartFormat>
    <chartFormat chart="5" format="815">
      <pivotArea type="data" outline="0" fieldPosition="0">
        <references count="2">
          <reference field="4294967294" count="1" selected="0">
            <x v="0"/>
          </reference>
          <reference field="0" count="1" selected="0">
            <x v="20"/>
          </reference>
        </references>
      </pivotArea>
    </chartFormat>
    <chartFormat chart="5" format="816">
      <pivotArea type="data" outline="0" fieldPosition="0">
        <references count="2">
          <reference field="4294967294" count="1" selected="0">
            <x v="1"/>
          </reference>
          <reference field="0" count="1" selected="0">
            <x v="20"/>
          </reference>
        </references>
      </pivotArea>
    </chartFormat>
    <chartFormat chart="5" format="817">
      <pivotArea type="data" outline="0" fieldPosition="0">
        <references count="2">
          <reference field="4294967294" count="1" selected="0">
            <x v="2"/>
          </reference>
          <reference field="0" count="1" selected="0">
            <x v="20"/>
          </reference>
        </references>
      </pivotArea>
    </chartFormat>
    <chartFormat chart="5" format="818">
      <pivotArea type="data" outline="0" fieldPosition="0">
        <references count="2">
          <reference field="4294967294" count="1" selected="0">
            <x v="3"/>
          </reference>
          <reference field="0" count="1" selected="0">
            <x v="20"/>
          </reference>
        </references>
      </pivotArea>
    </chartFormat>
    <chartFormat chart="5" format="819" series="1">
      <pivotArea type="data" outline="0" fieldPosition="0">
        <references count="2">
          <reference field="4294967294" count="1" selected="0">
            <x v="0"/>
          </reference>
          <reference field="0" count="1" selected="0">
            <x v="21"/>
          </reference>
        </references>
      </pivotArea>
    </chartFormat>
    <chartFormat chart="5" format="820">
      <pivotArea type="data" outline="0" fieldPosition="0">
        <references count="2">
          <reference field="4294967294" count="1" selected="0">
            <x v="0"/>
          </reference>
          <reference field="0" count="1" selected="0">
            <x v="21"/>
          </reference>
        </references>
      </pivotArea>
    </chartFormat>
    <chartFormat chart="5" format="821">
      <pivotArea type="data" outline="0" fieldPosition="0">
        <references count="2">
          <reference field="4294967294" count="1" selected="0">
            <x v="1"/>
          </reference>
          <reference field="0" count="1" selected="0">
            <x v="21"/>
          </reference>
        </references>
      </pivotArea>
    </chartFormat>
    <chartFormat chart="5" format="822">
      <pivotArea type="data" outline="0" fieldPosition="0">
        <references count="2">
          <reference field="4294967294" count="1" selected="0">
            <x v="2"/>
          </reference>
          <reference field="0" count="1" selected="0">
            <x v="21"/>
          </reference>
        </references>
      </pivotArea>
    </chartFormat>
    <chartFormat chart="5" format="823">
      <pivotArea type="data" outline="0" fieldPosition="0">
        <references count="2">
          <reference field="4294967294" count="1" selected="0">
            <x v="3"/>
          </reference>
          <reference field="0" count="1" selected="0">
            <x v="21"/>
          </reference>
        </references>
      </pivotArea>
    </chartFormat>
    <chartFormat chart="5" format="824" series="1">
      <pivotArea type="data" outline="0" fieldPosition="0">
        <references count="2">
          <reference field="4294967294" count="1" selected="0">
            <x v="0"/>
          </reference>
          <reference field="0" count="1" selected="0">
            <x v="22"/>
          </reference>
        </references>
      </pivotArea>
    </chartFormat>
    <chartFormat chart="5" format="825">
      <pivotArea type="data" outline="0" fieldPosition="0">
        <references count="2">
          <reference field="4294967294" count="1" selected="0">
            <x v="0"/>
          </reference>
          <reference field="0" count="1" selected="0">
            <x v="22"/>
          </reference>
        </references>
      </pivotArea>
    </chartFormat>
    <chartFormat chart="5" format="826">
      <pivotArea type="data" outline="0" fieldPosition="0">
        <references count="2">
          <reference field="4294967294" count="1" selected="0">
            <x v="1"/>
          </reference>
          <reference field="0" count="1" selected="0">
            <x v="22"/>
          </reference>
        </references>
      </pivotArea>
    </chartFormat>
    <chartFormat chart="5" format="827">
      <pivotArea type="data" outline="0" fieldPosition="0">
        <references count="2">
          <reference field="4294967294" count="1" selected="0">
            <x v="2"/>
          </reference>
          <reference field="0" count="1" selected="0">
            <x v="22"/>
          </reference>
        </references>
      </pivotArea>
    </chartFormat>
    <chartFormat chart="5" format="828">
      <pivotArea type="data" outline="0" fieldPosition="0">
        <references count="2">
          <reference field="4294967294" count="1" selected="0">
            <x v="3"/>
          </reference>
          <reference field="0" count="1" selected="0">
            <x v="22"/>
          </reference>
        </references>
      </pivotArea>
    </chartFormat>
    <chartFormat chart="5" format="829" series="1">
      <pivotArea type="data" outline="0" fieldPosition="0">
        <references count="2">
          <reference field="4294967294" count="1" selected="0">
            <x v="0"/>
          </reference>
          <reference field="0" count="1" selected="0">
            <x v="23"/>
          </reference>
        </references>
      </pivotArea>
    </chartFormat>
    <chartFormat chart="5" format="830">
      <pivotArea type="data" outline="0" fieldPosition="0">
        <references count="2">
          <reference field="4294967294" count="1" selected="0">
            <x v="0"/>
          </reference>
          <reference field="0" count="1" selected="0">
            <x v="23"/>
          </reference>
        </references>
      </pivotArea>
    </chartFormat>
    <chartFormat chart="5" format="831">
      <pivotArea type="data" outline="0" fieldPosition="0">
        <references count="2">
          <reference field="4294967294" count="1" selected="0">
            <x v="1"/>
          </reference>
          <reference field="0" count="1" selected="0">
            <x v="23"/>
          </reference>
        </references>
      </pivotArea>
    </chartFormat>
    <chartFormat chart="5" format="832">
      <pivotArea type="data" outline="0" fieldPosition="0">
        <references count="2">
          <reference field="4294967294" count="1" selected="0">
            <x v="2"/>
          </reference>
          <reference field="0" count="1" selected="0">
            <x v="23"/>
          </reference>
        </references>
      </pivotArea>
    </chartFormat>
    <chartFormat chart="5" format="833">
      <pivotArea type="data" outline="0" fieldPosition="0">
        <references count="2">
          <reference field="4294967294" count="1" selected="0">
            <x v="3"/>
          </reference>
          <reference field="0" count="1" selected="0">
            <x v="23"/>
          </reference>
        </references>
      </pivotArea>
    </chartFormat>
    <chartFormat chart="5" format="834" series="1">
      <pivotArea type="data" outline="0" fieldPosition="0">
        <references count="2">
          <reference field="4294967294" count="1" selected="0">
            <x v="0"/>
          </reference>
          <reference field="0" count="1" selected="0">
            <x v="24"/>
          </reference>
        </references>
      </pivotArea>
    </chartFormat>
    <chartFormat chart="5" format="835">
      <pivotArea type="data" outline="0" fieldPosition="0">
        <references count="2">
          <reference field="4294967294" count="1" selected="0">
            <x v="0"/>
          </reference>
          <reference field="0" count="1" selected="0">
            <x v="24"/>
          </reference>
        </references>
      </pivotArea>
    </chartFormat>
    <chartFormat chart="5" format="836">
      <pivotArea type="data" outline="0" fieldPosition="0">
        <references count="2">
          <reference field="4294967294" count="1" selected="0">
            <x v="1"/>
          </reference>
          <reference field="0" count="1" selected="0">
            <x v="24"/>
          </reference>
        </references>
      </pivotArea>
    </chartFormat>
    <chartFormat chart="5" format="837">
      <pivotArea type="data" outline="0" fieldPosition="0">
        <references count="2">
          <reference field="4294967294" count="1" selected="0">
            <x v="2"/>
          </reference>
          <reference field="0" count="1" selected="0">
            <x v="24"/>
          </reference>
        </references>
      </pivotArea>
    </chartFormat>
    <chartFormat chart="5" format="838">
      <pivotArea type="data" outline="0" fieldPosition="0">
        <references count="2">
          <reference field="4294967294" count="1" selected="0">
            <x v="3"/>
          </reference>
          <reference field="0" count="1" selected="0">
            <x v="24"/>
          </reference>
        </references>
      </pivotArea>
    </chartFormat>
    <chartFormat chart="5" format="839" series="1">
      <pivotArea type="data" outline="0" fieldPosition="0">
        <references count="2">
          <reference field="4294967294" count="1" selected="0">
            <x v="0"/>
          </reference>
          <reference field="0" count="1" selected="0">
            <x v="25"/>
          </reference>
        </references>
      </pivotArea>
    </chartFormat>
    <chartFormat chart="5" format="840">
      <pivotArea type="data" outline="0" fieldPosition="0">
        <references count="2">
          <reference field="4294967294" count="1" selected="0">
            <x v="0"/>
          </reference>
          <reference field="0" count="1" selected="0">
            <x v="25"/>
          </reference>
        </references>
      </pivotArea>
    </chartFormat>
    <chartFormat chart="5" format="841">
      <pivotArea type="data" outline="0" fieldPosition="0">
        <references count="2">
          <reference field="4294967294" count="1" selected="0">
            <x v="1"/>
          </reference>
          <reference field="0" count="1" selected="0">
            <x v="25"/>
          </reference>
        </references>
      </pivotArea>
    </chartFormat>
    <chartFormat chart="5" format="842">
      <pivotArea type="data" outline="0" fieldPosition="0">
        <references count="2">
          <reference field="4294967294" count="1" selected="0">
            <x v="2"/>
          </reference>
          <reference field="0" count="1" selected="0">
            <x v="25"/>
          </reference>
        </references>
      </pivotArea>
    </chartFormat>
    <chartFormat chart="5" format="843">
      <pivotArea type="data" outline="0" fieldPosition="0">
        <references count="2">
          <reference field="4294967294" count="1" selected="0">
            <x v="3"/>
          </reference>
          <reference field="0" count="1" selected="0">
            <x v="25"/>
          </reference>
        </references>
      </pivotArea>
    </chartFormat>
    <chartFormat chart="5" format="844" series="1">
      <pivotArea type="data" outline="0" fieldPosition="0">
        <references count="2">
          <reference field="4294967294" count="1" selected="0">
            <x v="0"/>
          </reference>
          <reference field="0" count="1" selected="0">
            <x v="26"/>
          </reference>
        </references>
      </pivotArea>
    </chartFormat>
    <chartFormat chart="5" format="845">
      <pivotArea type="data" outline="0" fieldPosition="0">
        <references count="2">
          <reference field="4294967294" count="1" selected="0">
            <x v="0"/>
          </reference>
          <reference field="0" count="1" selected="0">
            <x v="26"/>
          </reference>
        </references>
      </pivotArea>
    </chartFormat>
    <chartFormat chart="5" format="846">
      <pivotArea type="data" outline="0" fieldPosition="0">
        <references count="2">
          <reference field="4294967294" count="1" selected="0">
            <x v="1"/>
          </reference>
          <reference field="0" count="1" selected="0">
            <x v="26"/>
          </reference>
        </references>
      </pivotArea>
    </chartFormat>
    <chartFormat chart="5" format="847">
      <pivotArea type="data" outline="0" fieldPosition="0">
        <references count="2">
          <reference field="4294967294" count="1" selected="0">
            <x v="2"/>
          </reference>
          <reference field="0" count="1" selected="0">
            <x v="26"/>
          </reference>
        </references>
      </pivotArea>
    </chartFormat>
    <chartFormat chart="5" format="848">
      <pivotArea type="data" outline="0" fieldPosition="0">
        <references count="2">
          <reference field="4294967294" count="1" selected="0">
            <x v="3"/>
          </reference>
          <reference field="0" count="1" selected="0">
            <x v="26"/>
          </reference>
        </references>
      </pivotArea>
    </chartFormat>
    <chartFormat chart="5" format="849" series="1">
      <pivotArea type="data" outline="0" fieldPosition="0">
        <references count="2">
          <reference field="4294967294" count="1" selected="0">
            <x v="0"/>
          </reference>
          <reference field="0" count="1" selected="0">
            <x v="27"/>
          </reference>
        </references>
      </pivotArea>
    </chartFormat>
    <chartFormat chart="5" format="850">
      <pivotArea type="data" outline="0" fieldPosition="0">
        <references count="2">
          <reference field="4294967294" count="1" selected="0">
            <x v="0"/>
          </reference>
          <reference field="0" count="1" selected="0">
            <x v="27"/>
          </reference>
        </references>
      </pivotArea>
    </chartFormat>
    <chartFormat chart="5" format="851">
      <pivotArea type="data" outline="0" fieldPosition="0">
        <references count="2">
          <reference field="4294967294" count="1" selected="0">
            <x v="1"/>
          </reference>
          <reference field="0" count="1" selected="0">
            <x v="27"/>
          </reference>
        </references>
      </pivotArea>
    </chartFormat>
    <chartFormat chart="5" format="852">
      <pivotArea type="data" outline="0" fieldPosition="0">
        <references count="2">
          <reference field="4294967294" count="1" selected="0">
            <x v="2"/>
          </reference>
          <reference field="0" count="1" selected="0">
            <x v="27"/>
          </reference>
        </references>
      </pivotArea>
    </chartFormat>
    <chartFormat chart="5" format="853">
      <pivotArea type="data" outline="0" fieldPosition="0">
        <references count="2">
          <reference field="4294967294" count="1" selected="0">
            <x v="3"/>
          </reference>
          <reference field="0" count="1" selected="0">
            <x v="27"/>
          </reference>
        </references>
      </pivotArea>
    </chartFormat>
    <chartFormat chart="5" format="854" series="1">
      <pivotArea type="data" outline="0" fieldPosition="0">
        <references count="2">
          <reference field="4294967294" count="1" selected="0">
            <x v="0"/>
          </reference>
          <reference field="0" count="1" selected="0">
            <x v="28"/>
          </reference>
        </references>
      </pivotArea>
    </chartFormat>
    <chartFormat chart="5" format="855">
      <pivotArea type="data" outline="0" fieldPosition="0">
        <references count="2">
          <reference field="4294967294" count="1" selected="0">
            <x v="0"/>
          </reference>
          <reference field="0" count="1" selected="0">
            <x v="28"/>
          </reference>
        </references>
      </pivotArea>
    </chartFormat>
    <chartFormat chart="5" format="856">
      <pivotArea type="data" outline="0" fieldPosition="0">
        <references count="2">
          <reference field="4294967294" count="1" selected="0">
            <x v="1"/>
          </reference>
          <reference field="0" count="1" selected="0">
            <x v="28"/>
          </reference>
        </references>
      </pivotArea>
    </chartFormat>
    <chartFormat chart="5" format="857">
      <pivotArea type="data" outline="0" fieldPosition="0">
        <references count="2">
          <reference field="4294967294" count="1" selected="0">
            <x v="2"/>
          </reference>
          <reference field="0" count="1" selected="0">
            <x v="28"/>
          </reference>
        </references>
      </pivotArea>
    </chartFormat>
    <chartFormat chart="5" format="858">
      <pivotArea type="data" outline="0" fieldPosition="0">
        <references count="2">
          <reference field="4294967294" count="1" selected="0">
            <x v="3"/>
          </reference>
          <reference field="0" count="1" selected="0">
            <x v="28"/>
          </reference>
        </references>
      </pivotArea>
    </chartFormat>
    <chartFormat chart="5" format="859" series="1">
      <pivotArea type="data" outline="0" fieldPosition="0">
        <references count="2">
          <reference field="4294967294" count="1" selected="0">
            <x v="0"/>
          </reference>
          <reference field="0" count="1" selected="0">
            <x v="29"/>
          </reference>
        </references>
      </pivotArea>
    </chartFormat>
    <chartFormat chart="5" format="860">
      <pivotArea type="data" outline="0" fieldPosition="0">
        <references count="2">
          <reference field="4294967294" count="1" selected="0">
            <x v="0"/>
          </reference>
          <reference field="0" count="1" selected="0">
            <x v="29"/>
          </reference>
        </references>
      </pivotArea>
    </chartFormat>
    <chartFormat chart="5" format="861">
      <pivotArea type="data" outline="0" fieldPosition="0">
        <references count="2">
          <reference field="4294967294" count="1" selected="0">
            <x v="1"/>
          </reference>
          <reference field="0" count="1" selected="0">
            <x v="29"/>
          </reference>
        </references>
      </pivotArea>
    </chartFormat>
    <chartFormat chart="5" format="862">
      <pivotArea type="data" outline="0" fieldPosition="0">
        <references count="2">
          <reference field="4294967294" count="1" selected="0">
            <x v="2"/>
          </reference>
          <reference field="0" count="1" selected="0">
            <x v="29"/>
          </reference>
        </references>
      </pivotArea>
    </chartFormat>
    <chartFormat chart="5" format="863">
      <pivotArea type="data" outline="0" fieldPosition="0">
        <references count="2">
          <reference field="4294967294" count="1" selected="0">
            <x v="3"/>
          </reference>
          <reference field="0" count="1" selected="0">
            <x v="29"/>
          </reference>
        </references>
      </pivotArea>
    </chartFormat>
    <chartFormat chart="5" format="864" series="1">
      <pivotArea type="data" outline="0" fieldPosition="0">
        <references count="2">
          <reference field="4294967294" count="1" selected="0">
            <x v="0"/>
          </reference>
          <reference field="0" count="1" selected="0">
            <x v="30"/>
          </reference>
        </references>
      </pivotArea>
    </chartFormat>
    <chartFormat chart="5" format="865">
      <pivotArea type="data" outline="0" fieldPosition="0">
        <references count="2">
          <reference field="4294967294" count="1" selected="0">
            <x v="0"/>
          </reference>
          <reference field="0" count="1" selected="0">
            <x v="30"/>
          </reference>
        </references>
      </pivotArea>
    </chartFormat>
    <chartFormat chart="5" format="866">
      <pivotArea type="data" outline="0" fieldPosition="0">
        <references count="2">
          <reference field="4294967294" count="1" selected="0">
            <x v="1"/>
          </reference>
          <reference field="0" count="1" selected="0">
            <x v="30"/>
          </reference>
        </references>
      </pivotArea>
    </chartFormat>
    <chartFormat chart="5" format="867">
      <pivotArea type="data" outline="0" fieldPosition="0">
        <references count="2">
          <reference field="4294967294" count="1" selected="0">
            <x v="2"/>
          </reference>
          <reference field="0" count="1" selected="0">
            <x v="30"/>
          </reference>
        </references>
      </pivotArea>
    </chartFormat>
    <chartFormat chart="5" format="868">
      <pivotArea type="data" outline="0" fieldPosition="0">
        <references count="2">
          <reference field="4294967294" count="1" selected="0">
            <x v="3"/>
          </reference>
          <reference field="0" count="1" selected="0">
            <x v="30"/>
          </reference>
        </references>
      </pivotArea>
    </chartFormat>
    <chartFormat chart="5" format="869" series="1">
      <pivotArea type="data" outline="0" fieldPosition="0">
        <references count="2">
          <reference field="4294967294" count="1" selected="0">
            <x v="0"/>
          </reference>
          <reference field="0" count="1" selected="0">
            <x v="31"/>
          </reference>
        </references>
      </pivotArea>
    </chartFormat>
    <chartFormat chart="5" format="870">
      <pivotArea type="data" outline="0" fieldPosition="0">
        <references count="2">
          <reference field="4294967294" count="1" selected="0">
            <x v="0"/>
          </reference>
          <reference field="0" count="1" selected="0">
            <x v="31"/>
          </reference>
        </references>
      </pivotArea>
    </chartFormat>
    <chartFormat chart="5" format="871">
      <pivotArea type="data" outline="0" fieldPosition="0">
        <references count="2">
          <reference field="4294967294" count="1" selected="0">
            <x v="1"/>
          </reference>
          <reference field="0" count="1" selected="0">
            <x v="31"/>
          </reference>
        </references>
      </pivotArea>
    </chartFormat>
    <chartFormat chart="5" format="872">
      <pivotArea type="data" outline="0" fieldPosition="0">
        <references count="2">
          <reference field="4294967294" count="1" selected="0">
            <x v="2"/>
          </reference>
          <reference field="0" count="1" selected="0">
            <x v="31"/>
          </reference>
        </references>
      </pivotArea>
    </chartFormat>
    <chartFormat chart="5" format="873">
      <pivotArea type="data" outline="0" fieldPosition="0">
        <references count="2">
          <reference field="4294967294" count="1" selected="0">
            <x v="3"/>
          </reference>
          <reference field="0" count="1" selected="0">
            <x v="31"/>
          </reference>
        </references>
      </pivotArea>
    </chartFormat>
    <chartFormat chart="5" format="874" series="1">
      <pivotArea type="data" outline="0" fieldPosition="0">
        <references count="2">
          <reference field="4294967294" count="1" selected="0">
            <x v="0"/>
          </reference>
          <reference field="0" count="1" selected="0">
            <x v="32"/>
          </reference>
        </references>
      </pivotArea>
    </chartFormat>
    <chartFormat chart="5" format="875">
      <pivotArea type="data" outline="0" fieldPosition="0">
        <references count="2">
          <reference field="4294967294" count="1" selected="0">
            <x v="0"/>
          </reference>
          <reference field="0" count="1" selected="0">
            <x v="32"/>
          </reference>
        </references>
      </pivotArea>
    </chartFormat>
    <chartFormat chart="5" format="876">
      <pivotArea type="data" outline="0" fieldPosition="0">
        <references count="2">
          <reference field="4294967294" count="1" selected="0">
            <x v="1"/>
          </reference>
          <reference field="0" count="1" selected="0">
            <x v="32"/>
          </reference>
        </references>
      </pivotArea>
    </chartFormat>
    <chartFormat chart="5" format="877">
      <pivotArea type="data" outline="0" fieldPosition="0">
        <references count="2">
          <reference field="4294967294" count="1" selected="0">
            <x v="2"/>
          </reference>
          <reference field="0" count="1" selected="0">
            <x v="32"/>
          </reference>
        </references>
      </pivotArea>
    </chartFormat>
    <chartFormat chart="5" format="878">
      <pivotArea type="data" outline="0" fieldPosition="0">
        <references count="2">
          <reference field="4294967294" count="1" selected="0">
            <x v="3"/>
          </reference>
          <reference field="0" count="1" selected="0">
            <x v="32"/>
          </reference>
        </references>
      </pivotArea>
    </chartFormat>
    <chartFormat chart="5" format="879" series="1">
      <pivotArea type="data" outline="0" fieldPosition="0">
        <references count="2">
          <reference field="4294967294" count="1" selected="0">
            <x v="0"/>
          </reference>
          <reference field="0" count="1" selected="0">
            <x v="33"/>
          </reference>
        </references>
      </pivotArea>
    </chartFormat>
    <chartFormat chart="5" format="880">
      <pivotArea type="data" outline="0" fieldPosition="0">
        <references count="2">
          <reference field="4294967294" count="1" selected="0">
            <x v="0"/>
          </reference>
          <reference field="0" count="1" selected="0">
            <x v="33"/>
          </reference>
        </references>
      </pivotArea>
    </chartFormat>
    <chartFormat chart="5" format="881">
      <pivotArea type="data" outline="0" fieldPosition="0">
        <references count="2">
          <reference field="4294967294" count="1" selected="0">
            <x v="1"/>
          </reference>
          <reference field="0" count="1" selected="0">
            <x v="33"/>
          </reference>
        </references>
      </pivotArea>
    </chartFormat>
    <chartFormat chart="5" format="882">
      <pivotArea type="data" outline="0" fieldPosition="0">
        <references count="2">
          <reference field="4294967294" count="1" selected="0">
            <x v="2"/>
          </reference>
          <reference field="0" count="1" selected="0">
            <x v="33"/>
          </reference>
        </references>
      </pivotArea>
    </chartFormat>
    <chartFormat chart="5" format="883">
      <pivotArea type="data" outline="0" fieldPosition="0">
        <references count="2">
          <reference field="4294967294" count="1" selected="0">
            <x v="3"/>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301BB-3215-46C0-91D0-1EE41B39CE60}" name="SupplyPiePivot" cacheId="33" dataOnRows="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7">
  <location ref="A3:AI7"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numFmtId="176" showAll="0"/>
    <pivotField numFmtId="176" showAll="0"/>
    <pivotField numFmtId="176" showAll="0"/>
    <pivotField numFmtId="176" showAll="0"/>
    <pivotField numFmtId="176" showAll="0"/>
    <pivotField numFmtId="176" showAll="0"/>
    <pivotField dataField="1" numFmtId="176" showAll="0"/>
    <pivotField dataField="1" numFmtId="176" showAll="0"/>
    <pivotField dataField="1" numFmtId="176" showAll="0"/>
    <pivotField numFmtId="176" showAll="0"/>
  </pivotFields>
  <rowFields count="1">
    <field x="-2"/>
  </rowFields>
  <rowItems count="3">
    <i>
      <x/>
    </i>
    <i i="1">
      <x v="1"/>
    </i>
    <i i="2">
      <x v="2"/>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colItems>
  <dataFields count="3">
    <dataField name="Sum of User Domestic" fld="9" baseField="0" baseItem="0" numFmtId="178"/>
    <dataField name="Sum of User Other" fld="10" baseField="0" baseItem="0" numFmtId="178"/>
    <dataField name="Sum of User Industrial" fld="8" baseField="0" baseItem="0" numFmtId="178"/>
  </dataFields>
  <chartFormats count="211">
    <chartFormat chart="3" format="748" series="1">
      <pivotArea type="data" outline="0" fieldPosition="0">
        <references count="2">
          <reference field="4294967294" count="1" selected="0">
            <x v="2"/>
          </reference>
          <reference field="0" count="1" selected="0">
            <x v="0"/>
          </reference>
        </references>
      </pivotArea>
    </chartFormat>
    <chartFormat chart="3" format="749" series="1">
      <pivotArea type="data" outline="0" fieldPosition="0">
        <references count="2">
          <reference field="4294967294" count="1" selected="0">
            <x v="2"/>
          </reference>
          <reference field="0" count="1" selected="0">
            <x v="1"/>
          </reference>
        </references>
      </pivotArea>
    </chartFormat>
    <chartFormat chart="3" format="750" series="1">
      <pivotArea type="data" outline="0" fieldPosition="0">
        <references count="2">
          <reference field="4294967294" count="1" selected="0">
            <x v="2"/>
          </reference>
          <reference field="0" count="1" selected="0">
            <x v="2"/>
          </reference>
        </references>
      </pivotArea>
    </chartFormat>
    <chartFormat chart="3" format="751" series="1">
      <pivotArea type="data" outline="0" fieldPosition="0">
        <references count="2">
          <reference field="4294967294" count="1" selected="0">
            <x v="2"/>
          </reference>
          <reference field="0" count="1" selected="0">
            <x v="3"/>
          </reference>
        </references>
      </pivotArea>
    </chartFormat>
    <chartFormat chart="3" format="752" series="1">
      <pivotArea type="data" outline="0" fieldPosition="0">
        <references count="2">
          <reference field="4294967294" count="1" selected="0">
            <x v="2"/>
          </reference>
          <reference field="0" count="1" selected="0">
            <x v="4"/>
          </reference>
        </references>
      </pivotArea>
    </chartFormat>
    <chartFormat chart="3" format="753" series="1">
      <pivotArea type="data" outline="0" fieldPosition="0">
        <references count="2">
          <reference field="4294967294" count="1" selected="0">
            <x v="2"/>
          </reference>
          <reference field="0" count="1" selected="0">
            <x v="5"/>
          </reference>
        </references>
      </pivotArea>
    </chartFormat>
    <chartFormat chart="3" format="754" series="1">
      <pivotArea type="data" outline="0" fieldPosition="0">
        <references count="2">
          <reference field="4294967294" count="1" selected="0">
            <x v="2"/>
          </reference>
          <reference field="0" count="1" selected="0">
            <x v="6"/>
          </reference>
        </references>
      </pivotArea>
    </chartFormat>
    <chartFormat chart="3" format="755" series="1">
      <pivotArea type="data" outline="0" fieldPosition="0">
        <references count="2">
          <reference field="4294967294" count="1" selected="0">
            <x v="2"/>
          </reference>
          <reference field="0" count="1" selected="0">
            <x v="7"/>
          </reference>
        </references>
      </pivotArea>
    </chartFormat>
    <chartFormat chart="3" format="756" series="1">
      <pivotArea type="data" outline="0" fieldPosition="0">
        <references count="2">
          <reference field="4294967294" count="1" selected="0">
            <x v="2"/>
          </reference>
          <reference field="0" count="1" selected="0">
            <x v="8"/>
          </reference>
        </references>
      </pivotArea>
    </chartFormat>
    <chartFormat chart="3" format="757" series="1">
      <pivotArea type="data" outline="0" fieldPosition="0">
        <references count="2">
          <reference field="4294967294" count="1" selected="0">
            <x v="2"/>
          </reference>
          <reference field="0" count="1" selected="0">
            <x v="9"/>
          </reference>
        </references>
      </pivotArea>
    </chartFormat>
    <chartFormat chart="3" format="758" series="1">
      <pivotArea type="data" outline="0" fieldPosition="0">
        <references count="2">
          <reference field="4294967294" count="1" selected="0">
            <x v="2"/>
          </reference>
          <reference field="0" count="1" selected="0">
            <x v="10"/>
          </reference>
        </references>
      </pivotArea>
    </chartFormat>
    <chartFormat chart="3" format="759" series="1">
      <pivotArea type="data" outline="0" fieldPosition="0">
        <references count="2">
          <reference field="4294967294" count="1" selected="0">
            <x v="2"/>
          </reference>
          <reference field="0" count="1" selected="0">
            <x v="11"/>
          </reference>
        </references>
      </pivotArea>
    </chartFormat>
    <chartFormat chart="3" format="760" series="1">
      <pivotArea type="data" outline="0" fieldPosition="0">
        <references count="2">
          <reference field="4294967294" count="1" selected="0">
            <x v="2"/>
          </reference>
          <reference field="0" count="1" selected="0">
            <x v="12"/>
          </reference>
        </references>
      </pivotArea>
    </chartFormat>
    <chartFormat chart="3" format="761" series="1">
      <pivotArea type="data" outline="0" fieldPosition="0">
        <references count="2">
          <reference field="4294967294" count="1" selected="0">
            <x v="2"/>
          </reference>
          <reference field="0" count="1" selected="0">
            <x v="13"/>
          </reference>
        </references>
      </pivotArea>
    </chartFormat>
    <chartFormat chart="3" format="762" series="1">
      <pivotArea type="data" outline="0" fieldPosition="0">
        <references count="2">
          <reference field="4294967294" count="1" selected="0">
            <x v="2"/>
          </reference>
          <reference field="0" count="1" selected="0">
            <x v="14"/>
          </reference>
        </references>
      </pivotArea>
    </chartFormat>
    <chartFormat chart="3" format="763" series="1">
      <pivotArea type="data" outline="0" fieldPosition="0">
        <references count="2">
          <reference field="4294967294" count="1" selected="0">
            <x v="2"/>
          </reference>
          <reference field="0" count="1" selected="0">
            <x v="15"/>
          </reference>
        </references>
      </pivotArea>
    </chartFormat>
    <chartFormat chart="3" format="764" series="1">
      <pivotArea type="data" outline="0" fieldPosition="0">
        <references count="2">
          <reference field="4294967294" count="1" selected="0">
            <x v="2"/>
          </reference>
          <reference field="0" count="1" selected="0">
            <x v="16"/>
          </reference>
        </references>
      </pivotArea>
    </chartFormat>
    <chartFormat chart="3" format="765" series="1">
      <pivotArea type="data" outline="0" fieldPosition="0">
        <references count="2">
          <reference field="4294967294" count="1" selected="0">
            <x v="2"/>
          </reference>
          <reference field="0" count="1" selected="0">
            <x v="17"/>
          </reference>
        </references>
      </pivotArea>
    </chartFormat>
    <chartFormat chart="3" format="766" series="1">
      <pivotArea type="data" outline="0" fieldPosition="0">
        <references count="2">
          <reference field="4294967294" count="1" selected="0">
            <x v="2"/>
          </reference>
          <reference field="0" count="1" selected="0">
            <x v="18"/>
          </reference>
        </references>
      </pivotArea>
    </chartFormat>
    <chartFormat chart="3" format="767" series="1">
      <pivotArea type="data" outline="0" fieldPosition="0">
        <references count="2">
          <reference field="4294967294" count="1" selected="0">
            <x v="2"/>
          </reference>
          <reference field="0" count="1" selected="0">
            <x v="19"/>
          </reference>
        </references>
      </pivotArea>
    </chartFormat>
    <chartFormat chart="3" format="768" series="1">
      <pivotArea type="data" outline="0" fieldPosition="0">
        <references count="2">
          <reference field="4294967294" count="1" selected="0">
            <x v="2"/>
          </reference>
          <reference field="0" count="1" selected="0">
            <x v="20"/>
          </reference>
        </references>
      </pivotArea>
    </chartFormat>
    <chartFormat chart="3" format="769" series="1">
      <pivotArea type="data" outline="0" fieldPosition="0">
        <references count="2">
          <reference field="4294967294" count="1" selected="0">
            <x v="2"/>
          </reference>
          <reference field="0" count="1" selected="0">
            <x v="21"/>
          </reference>
        </references>
      </pivotArea>
    </chartFormat>
    <chartFormat chart="3" format="770" series="1">
      <pivotArea type="data" outline="0" fieldPosition="0">
        <references count="2">
          <reference field="4294967294" count="1" selected="0">
            <x v="2"/>
          </reference>
          <reference field="0" count="1" selected="0">
            <x v="22"/>
          </reference>
        </references>
      </pivotArea>
    </chartFormat>
    <chartFormat chart="3" format="771" series="1">
      <pivotArea type="data" outline="0" fieldPosition="0">
        <references count="2">
          <reference field="4294967294" count="1" selected="0">
            <x v="2"/>
          </reference>
          <reference field="0" count="1" selected="0">
            <x v="23"/>
          </reference>
        </references>
      </pivotArea>
    </chartFormat>
    <chartFormat chart="3" format="772" series="1">
      <pivotArea type="data" outline="0" fieldPosition="0">
        <references count="2">
          <reference field="4294967294" count="1" selected="0">
            <x v="2"/>
          </reference>
          <reference field="0" count="1" selected="0">
            <x v="24"/>
          </reference>
        </references>
      </pivotArea>
    </chartFormat>
    <chartFormat chart="3" format="773" series="1">
      <pivotArea type="data" outline="0" fieldPosition="0">
        <references count="2">
          <reference field="4294967294" count="1" selected="0">
            <x v="2"/>
          </reference>
          <reference field="0" count="1" selected="0">
            <x v="25"/>
          </reference>
        </references>
      </pivotArea>
    </chartFormat>
    <chartFormat chart="3" format="774" series="1">
      <pivotArea type="data" outline="0" fieldPosition="0">
        <references count="2">
          <reference field="4294967294" count="1" selected="0">
            <x v="2"/>
          </reference>
          <reference field="0" count="1" selected="0">
            <x v="26"/>
          </reference>
        </references>
      </pivotArea>
    </chartFormat>
    <chartFormat chart="3" format="775" series="1">
      <pivotArea type="data" outline="0" fieldPosition="0">
        <references count="2">
          <reference field="4294967294" count="1" selected="0">
            <x v="2"/>
          </reference>
          <reference field="0" count="1" selected="0">
            <x v="27"/>
          </reference>
        </references>
      </pivotArea>
    </chartFormat>
    <chartFormat chart="3" format="776" series="1">
      <pivotArea type="data" outline="0" fieldPosition="0">
        <references count="2">
          <reference field="4294967294" count="1" selected="0">
            <x v="2"/>
          </reference>
          <reference field="0" count="1" selected="0">
            <x v="28"/>
          </reference>
        </references>
      </pivotArea>
    </chartFormat>
    <chartFormat chart="3" format="777" series="1">
      <pivotArea type="data" outline="0" fieldPosition="0">
        <references count="2">
          <reference field="4294967294" count="1" selected="0">
            <x v="2"/>
          </reference>
          <reference field="0" count="1" selected="0">
            <x v="29"/>
          </reference>
        </references>
      </pivotArea>
    </chartFormat>
    <chartFormat chart="3" format="778" series="1">
      <pivotArea type="data" outline="0" fieldPosition="0">
        <references count="2">
          <reference field="4294967294" count="1" selected="0">
            <x v="2"/>
          </reference>
          <reference field="0" count="1" selected="0">
            <x v="30"/>
          </reference>
        </references>
      </pivotArea>
    </chartFormat>
    <chartFormat chart="3" format="779" series="1">
      <pivotArea type="data" outline="0" fieldPosition="0">
        <references count="2">
          <reference field="4294967294" count="1" selected="0">
            <x v="2"/>
          </reference>
          <reference field="0" count="1" selected="0">
            <x v="31"/>
          </reference>
        </references>
      </pivotArea>
    </chartFormat>
    <chartFormat chart="3" format="780" series="1">
      <pivotArea type="data" outline="0" fieldPosition="0">
        <references count="2">
          <reference field="4294967294" count="1" selected="0">
            <x v="2"/>
          </reference>
          <reference field="0" count="1" selected="0">
            <x v="32"/>
          </reference>
        </references>
      </pivotArea>
    </chartFormat>
    <chartFormat chart="3" format="781" series="1">
      <pivotArea type="data" outline="0" fieldPosition="0">
        <references count="2">
          <reference field="4294967294" count="1" selected="0">
            <x v="2"/>
          </reference>
          <reference field="0" count="1" selected="0">
            <x v="33"/>
          </reference>
        </references>
      </pivotArea>
    </chartFormat>
    <chartFormat chart="3" format="782" series="1">
      <pivotArea type="data" outline="0" fieldPosition="0">
        <references count="2">
          <reference field="4294967294" count="1" selected="0">
            <x v="0"/>
          </reference>
          <reference field="0" count="1" selected="0">
            <x v="25"/>
          </reference>
        </references>
      </pivotArea>
    </chartFormat>
    <chartFormat chart="3" format="783" series="1">
      <pivotArea type="data" outline="0" fieldPosition="0">
        <references count="2">
          <reference field="4294967294" count="1" selected="0">
            <x v="1"/>
          </reference>
          <reference field="0" count="1" selected="0">
            <x v="25"/>
          </reference>
        </references>
      </pivotArea>
    </chartFormat>
    <chartFormat chart="3" format="786">
      <pivotArea type="data" outline="0" fieldPosition="0">
        <references count="2">
          <reference field="4294967294" count="1" selected="0">
            <x v="1"/>
          </reference>
          <reference field="0" count="1" selected="0">
            <x v="25"/>
          </reference>
        </references>
      </pivotArea>
    </chartFormat>
    <chartFormat chart="3" format="788" series="1">
      <pivotArea type="data" outline="0" fieldPosition="0">
        <references count="1">
          <reference field="4294967294" count="1" selected="0">
            <x v="0"/>
          </reference>
        </references>
      </pivotArea>
    </chartFormat>
    <chartFormat chart="3" format="789" series="1">
      <pivotArea type="data" outline="0" fieldPosition="0">
        <references count="1">
          <reference field="4294967294" count="1" selected="0">
            <x v="1"/>
          </reference>
        </references>
      </pivotArea>
    </chartFormat>
    <chartFormat chart="3" format="791" series="1">
      <pivotArea type="data" outline="0" fieldPosition="0">
        <references count="1">
          <reference field="4294967294" count="1" selected="0">
            <x v="2"/>
          </reference>
        </references>
      </pivotArea>
    </chartFormat>
    <chartFormat chart="3" format="795">
      <pivotArea type="data" outline="0" fieldPosition="0">
        <references count="2">
          <reference field="4294967294" count="1" selected="0">
            <x v="0"/>
          </reference>
          <reference field="0" count="1" selected="0">
            <x v="5"/>
          </reference>
        </references>
      </pivotArea>
    </chartFormat>
    <chartFormat chart="6" format="799" series="1">
      <pivotArea type="data" outline="0" fieldPosition="0">
        <references count="2">
          <reference field="4294967294" count="1" selected="0">
            <x v="0"/>
          </reference>
          <reference field="0" count="1" selected="0">
            <x v="5"/>
          </reference>
        </references>
      </pivotArea>
    </chartFormat>
    <chartFormat chart="6" format="800" series="1">
      <pivotArea type="data" outline="0" fieldPosition="0">
        <references count="2">
          <reference field="4294967294" count="1" selected="0">
            <x v="0"/>
          </reference>
          <reference field="0" count="1" selected="0">
            <x v="25"/>
          </reference>
        </references>
      </pivotArea>
    </chartFormat>
    <chartFormat chart="6" format="801" series="1">
      <pivotArea type="data" outline="0" fieldPosition="0">
        <references count="2">
          <reference field="4294967294" count="1" selected="0">
            <x v="0"/>
          </reference>
          <reference field="0" count="1" selected="0">
            <x v="32"/>
          </reference>
        </references>
      </pivotArea>
    </chartFormat>
    <chartFormat chart="6" format="802" series="1">
      <pivotArea type="data" outline="0" fieldPosition="0">
        <references count="1">
          <reference field="4294967294" count="1" selected="0">
            <x v="0"/>
          </reference>
        </references>
      </pivotArea>
    </chartFormat>
    <chartFormat chart="6" format="803" series="1">
      <pivotArea type="data" outline="0" fieldPosition="0">
        <references count="2">
          <reference field="4294967294" count="1" selected="0">
            <x v="0"/>
          </reference>
          <reference field="0" count="1" selected="0">
            <x v="1"/>
          </reference>
        </references>
      </pivotArea>
    </chartFormat>
    <chartFormat chart="6" format="804" series="1">
      <pivotArea type="data" outline="0" fieldPosition="0">
        <references count="2">
          <reference field="4294967294" count="1" selected="0">
            <x v="0"/>
          </reference>
          <reference field="0" count="1" selected="0">
            <x v="2"/>
          </reference>
        </references>
      </pivotArea>
    </chartFormat>
    <chartFormat chart="6" format="805" series="1">
      <pivotArea type="data" outline="0" fieldPosition="0">
        <references count="2">
          <reference field="4294967294" count="1" selected="0">
            <x v="0"/>
          </reference>
          <reference field="0" count="1" selected="0">
            <x v="3"/>
          </reference>
        </references>
      </pivotArea>
    </chartFormat>
    <chartFormat chart="6" format="806" series="1">
      <pivotArea type="data" outline="0" fieldPosition="0">
        <references count="2">
          <reference field="4294967294" count="1" selected="0">
            <x v="0"/>
          </reference>
          <reference field="0" count="1" selected="0">
            <x v="4"/>
          </reference>
        </references>
      </pivotArea>
    </chartFormat>
    <chartFormat chart="6" format="807" series="1">
      <pivotArea type="data" outline="0" fieldPosition="0">
        <references count="2">
          <reference field="4294967294" count="1" selected="0">
            <x v="0"/>
          </reference>
          <reference field="0" count="1" selected="0">
            <x v="6"/>
          </reference>
        </references>
      </pivotArea>
    </chartFormat>
    <chartFormat chart="6" format="808" series="1">
      <pivotArea type="data" outline="0" fieldPosition="0">
        <references count="2">
          <reference field="4294967294" count="1" selected="0">
            <x v="0"/>
          </reference>
          <reference field="0" count="1" selected="0">
            <x v="7"/>
          </reference>
        </references>
      </pivotArea>
    </chartFormat>
    <chartFormat chart="6" format="809" series="1">
      <pivotArea type="data" outline="0" fieldPosition="0">
        <references count="2">
          <reference field="4294967294" count="1" selected="0">
            <x v="0"/>
          </reference>
          <reference field="0" count="1" selected="0">
            <x v="8"/>
          </reference>
        </references>
      </pivotArea>
    </chartFormat>
    <chartFormat chart="6" format="810" series="1">
      <pivotArea type="data" outline="0" fieldPosition="0">
        <references count="2">
          <reference field="4294967294" count="1" selected="0">
            <x v="0"/>
          </reference>
          <reference field="0" count="1" selected="0">
            <x v="9"/>
          </reference>
        </references>
      </pivotArea>
    </chartFormat>
    <chartFormat chart="6" format="811" series="1">
      <pivotArea type="data" outline="0" fieldPosition="0">
        <references count="2">
          <reference field="4294967294" count="1" selected="0">
            <x v="0"/>
          </reference>
          <reference field="0" count="1" selected="0">
            <x v="10"/>
          </reference>
        </references>
      </pivotArea>
    </chartFormat>
    <chartFormat chart="6" format="812" series="1">
      <pivotArea type="data" outline="0" fieldPosition="0">
        <references count="2">
          <reference field="4294967294" count="1" selected="0">
            <x v="0"/>
          </reference>
          <reference field="0" count="1" selected="0">
            <x v="11"/>
          </reference>
        </references>
      </pivotArea>
    </chartFormat>
    <chartFormat chart="6" format="813" series="1">
      <pivotArea type="data" outline="0" fieldPosition="0">
        <references count="2">
          <reference field="4294967294" count="1" selected="0">
            <x v="0"/>
          </reference>
          <reference field="0" count="1" selected="0">
            <x v="12"/>
          </reference>
        </references>
      </pivotArea>
    </chartFormat>
    <chartFormat chart="6" format="814" series="1">
      <pivotArea type="data" outline="0" fieldPosition="0">
        <references count="2">
          <reference field="4294967294" count="1" selected="0">
            <x v="0"/>
          </reference>
          <reference field="0" count="1" selected="0">
            <x v="13"/>
          </reference>
        </references>
      </pivotArea>
    </chartFormat>
    <chartFormat chart="6" format="815" series="1">
      <pivotArea type="data" outline="0" fieldPosition="0">
        <references count="2">
          <reference field="4294967294" count="1" selected="0">
            <x v="0"/>
          </reference>
          <reference field="0" count="1" selected="0">
            <x v="14"/>
          </reference>
        </references>
      </pivotArea>
    </chartFormat>
    <chartFormat chart="6" format="816" series="1">
      <pivotArea type="data" outline="0" fieldPosition="0">
        <references count="2">
          <reference field="4294967294" count="1" selected="0">
            <x v="0"/>
          </reference>
          <reference field="0" count="1" selected="0">
            <x v="15"/>
          </reference>
        </references>
      </pivotArea>
    </chartFormat>
    <chartFormat chart="6" format="817" series="1">
      <pivotArea type="data" outline="0" fieldPosition="0">
        <references count="2">
          <reference field="4294967294" count="1" selected="0">
            <x v="0"/>
          </reference>
          <reference field="0" count="1" selected="0">
            <x v="16"/>
          </reference>
        </references>
      </pivotArea>
    </chartFormat>
    <chartFormat chart="6" format="818" series="1">
      <pivotArea type="data" outline="0" fieldPosition="0">
        <references count="2">
          <reference field="4294967294" count="1" selected="0">
            <x v="0"/>
          </reference>
          <reference field="0" count="1" selected="0">
            <x v="17"/>
          </reference>
        </references>
      </pivotArea>
    </chartFormat>
    <chartFormat chart="6" format="819" series="1">
      <pivotArea type="data" outline="0" fieldPosition="0">
        <references count="2">
          <reference field="4294967294" count="1" selected="0">
            <x v="0"/>
          </reference>
          <reference field="0" count="1" selected="0">
            <x v="18"/>
          </reference>
        </references>
      </pivotArea>
    </chartFormat>
    <chartFormat chart="6" format="820" series="1">
      <pivotArea type="data" outline="0" fieldPosition="0">
        <references count="2">
          <reference field="4294967294" count="1" selected="0">
            <x v="0"/>
          </reference>
          <reference field="0" count="1" selected="0">
            <x v="19"/>
          </reference>
        </references>
      </pivotArea>
    </chartFormat>
    <chartFormat chart="6" format="821" series="1">
      <pivotArea type="data" outline="0" fieldPosition="0">
        <references count="2">
          <reference field="4294967294" count="1" selected="0">
            <x v="0"/>
          </reference>
          <reference field="0" count="1" selected="0">
            <x v="20"/>
          </reference>
        </references>
      </pivotArea>
    </chartFormat>
    <chartFormat chart="6" format="822" series="1">
      <pivotArea type="data" outline="0" fieldPosition="0">
        <references count="2">
          <reference field="4294967294" count="1" selected="0">
            <x v="0"/>
          </reference>
          <reference field="0" count="1" selected="0">
            <x v="21"/>
          </reference>
        </references>
      </pivotArea>
    </chartFormat>
    <chartFormat chart="6" format="823" series="1">
      <pivotArea type="data" outline="0" fieldPosition="0">
        <references count="2">
          <reference field="4294967294" count="1" selected="0">
            <x v="0"/>
          </reference>
          <reference field="0" count="1" selected="0">
            <x v="22"/>
          </reference>
        </references>
      </pivotArea>
    </chartFormat>
    <chartFormat chart="6" format="824" series="1">
      <pivotArea type="data" outline="0" fieldPosition="0">
        <references count="2">
          <reference field="4294967294" count="1" selected="0">
            <x v="0"/>
          </reference>
          <reference field="0" count="1" selected="0">
            <x v="23"/>
          </reference>
        </references>
      </pivotArea>
    </chartFormat>
    <chartFormat chart="6" format="825" series="1">
      <pivotArea type="data" outline="0" fieldPosition="0">
        <references count="2">
          <reference field="4294967294" count="1" selected="0">
            <x v="0"/>
          </reference>
          <reference field="0" count="1" selected="0">
            <x v="24"/>
          </reference>
        </references>
      </pivotArea>
    </chartFormat>
    <chartFormat chart="6" format="826" series="1">
      <pivotArea type="data" outline="0" fieldPosition="0">
        <references count="2">
          <reference field="4294967294" count="1" selected="0">
            <x v="0"/>
          </reference>
          <reference field="0" count="1" selected="0">
            <x v="26"/>
          </reference>
        </references>
      </pivotArea>
    </chartFormat>
    <chartFormat chart="6" format="827" series="1">
      <pivotArea type="data" outline="0" fieldPosition="0">
        <references count="2">
          <reference field="4294967294" count="1" selected="0">
            <x v="0"/>
          </reference>
          <reference field="0" count="1" selected="0">
            <x v="27"/>
          </reference>
        </references>
      </pivotArea>
    </chartFormat>
    <chartFormat chart="6" format="828" series="1">
      <pivotArea type="data" outline="0" fieldPosition="0">
        <references count="2">
          <reference field="4294967294" count="1" selected="0">
            <x v="0"/>
          </reference>
          <reference field="0" count="1" selected="0">
            <x v="28"/>
          </reference>
        </references>
      </pivotArea>
    </chartFormat>
    <chartFormat chart="6" format="829" series="1">
      <pivotArea type="data" outline="0" fieldPosition="0">
        <references count="2">
          <reference field="4294967294" count="1" selected="0">
            <x v="0"/>
          </reference>
          <reference field="0" count="1" selected="0">
            <x v="29"/>
          </reference>
        </references>
      </pivotArea>
    </chartFormat>
    <chartFormat chart="6" format="830" series="1">
      <pivotArea type="data" outline="0" fieldPosition="0">
        <references count="2">
          <reference field="4294967294" count="1" selected="0">
            <x v="0"/>
          </reference>
          <reference field="0" count="1" selected="0">
            <x v="30"/>
          </reference>
        </references>
      </pivotArea>
    </chartFormat>
    <chartFormat chart="6" format="831" series="1">
      <pivotArea type="data" outline="0" fieldPosition="0">
        <references count="2">
          <reference field="4294967294" count="1" selected="0">
            <x v="0"/>
          </reference>
          <reference field="0" count="1" selected="0">
            <x v="31"/>
          </reference>
        </references>
      </pivotArea>
    </chartFormat>
    <chartFormat chart="6" format="832" series="1">
      <pivotArea type="data" outline="0" fieldPosition="0">
        <references count="2">
          <reference field="4294967294" count="1" selected="0">
            <x v="0"/>
          </reference>
          <reference field="0" count="1" selected="0">
            <x v="33"/>
          </reference>
        </references>
      </pivotArea>
    </chartFormat>
    <chartFormat chart="3" format="796" series="1">
      <pivotArea type="data" outline="0" fieldPosition="0">
        <references count="2">
          <reference field="4294967294" count="1" selected="0">
            <x v="0"/>
          </reference>
          <reference field="0" count="1" selected="0">
            <x v="1"/>
          </reference>
        </references>
      </pivotArea>
    </chartFormat>
    <chartFormat chart="3" format="797" series="1">
      <pivotArea type="data" outline="0" fieldPosition="0">
        <references count="2">
          <reference field="4294967294" count="1" selected="0">
            <x v="0"/>
          </reference>
          <reference field="0" count="1" selected="0">
            <x v="2"/>
          </reference>
        </references>
      </pivotArea>
    </chartFormat>
    <chartFormat chart="3" format="798" series="1">
      <pivotArea type="data" outline="0" fieldPosition="0">
        <references count="2">
          <reference field="4294967294" count="1" selected="0">
            <x v="0"/>
          </reference>
          <reference field="0" count="1" selected="0">
            <x v="3"/>
          </reference>
        </references>
      </pivotArea>
    </chartFormat>
    <chartFormat chart="3" format="799" series="1">
      <pivotArea type="data" outline="0" fieldPosition="0">
        <references count="2">
          <reference field="4294967294" count="1" selected="0">
            <x v="0"/>
          </reference>
          <reference field="0" count="1" selected="0">
            <x v="4"/>
          </reference>
        </references>
      </pivotArea>
    </chartFormat>
    <chartFormat chart="3" format="800" series="1">
      <pivotArea type="data" outline="0" fieldPosition="0">
        <references count="2">
          <reference field="4294967294" count="1" selected="0">
            <x v="0"/>
          </reference>
          <reference field="0" count="1" selected="0">
            <x v="5"/>
          </reference>
        </references>
      </pivotArea>
    </chartFormat>
    <chartFormat chart="3" format="801" series="1">
      <pivotArea type="data" outline="0" fieldPosition="0">
        <references count="2">
          <reference field="4294967294" count="1" selected="0">
            <x v="0"/>
          </reference>
          <reference field="0" count="1" selected="0">
            <x v="6"/>
          </reference>
        </references>
      </pivotArea>
    </chartFormat>
    <chartFormat chart="3" format="802" series="1">
      <pivotArea type="data" outline="0" fieldPosition="0">
        <references count="2">
          <reference field="4294967294" count="1" selected="0">
            <x v="0"/>
          </reference>
          <reference field="0" count="1" selected="0">
            <x v="7"/>
          </reference>
        </references>
      </pivotArea>
    </chartFormat>
    <chartFormat chart="3" format="803" series="1">
      <pivotArea type="data" outline="0" fieldPosition="0">
        <references count="2">
          <reference field="4294967294" count="1" selected="0">
            <x v="0"/>
          </reference>
          <reference field="0" count="1" selected="0">
            <x v="8"/>
          </reference>
        </references>
      </pivotArea>
    </chartFormat>
    <chartFormat chart="3" format="804" series="1">
      <pivotArea type="data" outline="0" fieldPosition="0">
        <references count="2">
          <reference field="4294967294" count="1" selected="0">
            <x v="0"/>
          </reference>
          <reference field="0" count="1" selected="0">
            <x v="9"/>
          </reference>
        </references>
      </pivotArea>
    </chartFormat>
    <chartFormat chart="3" format="805" series="1">
      <pivotArea type="data" outline="0" fieldPosition="0">
        <references count="2">
          <reference field="4294967294" count="1" selected="0">
            <x v="0"/>
          </reference>
          <reference field="0" count="1" selected="0">
            <x v="10"/>
          </reference>
        </references>
      </pivotArea>
    </chartFormat>
    <chartFormat chart="3" format="806" series="1">
      <pivotArea type="data" outline="0" fieldPosition="0">
        <references count="2">
          <reference field="4294967294" count="1" selected="0">
            <x v="0"/>
          </reference>
          <reference field="0" count="1" selected="0">
            <x v="11"/>
          </reference>
        </references>
      </pivotArea>
    </chartFormat>
    <chartFormat chart="3" format="807" series="1">
      <pivotArea type="data" outline="0" fieldPosition="0">
        <references count="2">
          <reference field="4294967294" count="1" selected="0">
            <x v="0"/>
          </reference>
          <reference field="0" count="1" selected="0">
            <x v="12"/>
          </reference>
        </references>
      </pivotArea>
    </chartFormat>
    <chartFormat chart="3" format="808" series="1">
      <pivotArea type="data" outline="0" fieldPosition="0">
        <references count="2">
          <reference field="4294967294" count="1" selected="0">
            <x v="0"/>
          </reference>
          <reference field="0" count="1" selected="0">
            <x v="13"/>
          </reference>
        </references>
      </pivotArea>
    </chartFormat>
    <chartFormat chart="3" format="809" series="1">
      <pivotArea type="data" outline="0" fieldPosition="0">
        <references count="2">
          <reference field="4294967294" count="1" selected="0">
            <x v="0"/>
          </reference>
          <reference field="0" count="1" selected="0">
            <x v="14"/>
          </reference>
        </references>
      </pivotArea>
    </chartFormat>
    <chartFormat chart="3" format="810" series="1">
      <pivotArea type="data" outline="0" fieldPosition="0">
        <references count="2">
          <reference field="4294967294" count="1" selected="0">
            <x v="0"/>
          </reference>
          <reference field="0" count="1" selected="0">
            <x v="15"/>
          </reference>
        </references>
      </pivotArea>
    </chartFormat>
    <chartFormat chart="3" format="811" series="1">
      <pivotArea type="data" outline="0" fieldPosition="0">
        <references count="2">
          <reference field="4294967294" count="1" selected="0">
            <x v="0"/>
          </reference>
          <reference field="0" count="1" selected="0">
            <x v="16"/>
          </reference>
        </references>
      </pivotArea>
    </chartFormat>
    <chartFormat chart="3" format="812" series="1">
      <pivotArea type="data" outline="0" fieldPosition="0">
        <references count="2">
          <reference field="4294967294" count="1" selected="0">
            <x v="0"/>
          </reference>
          <reference field="0" count="1" selected="0">
            <x v="17"/>
          </reference>
        </references>
      </pivotArea>
    </chartFormat>
    <chartFormat chart="3" format="813" series="1">
      <pivotArea type="data" outline="0" fieldPosition="0">
        <references count="2">
          <reference field="4294967294" count="1" selected="0">
            <x v="0"/>
          </reference>
          <reference field="0" count="1" selected="0">
            <x v="18"/>
          </reference>
        </references>
      </pivotArea>
    </chartFormat>
    <chartFormat chart="3" format="814" series="1">
      <pivotArea type="data" outline="0" fieldPosition="0">
        <references count="2">
          <reference field="4294967294" count="1" selected="0">
            <x v="0"/>
          </reference>
          <reference field="0" count="1" selected="0">
            <x v="19"/>
          </reference>
        </references>
      </pivotArea>
    </chartFormat>
    <chartFormat chart="3" format="815" series="1">
      <pivotArea type="data" outline="0" fieldPosition="0">
        <references count="2">
          <reference field="4294967294" count="1" selected="0">
            <x v="0"/>
          </reference>
          <reference field="0" count="1" selected="0">
            <x v="20"/>
          </reference>
        </references>
      </pivotArea>
    </chartFormat>
    <chartFormat chart="3" format="816" series="1">
      <pivotArea type="data" outline="0" fieldPosition="0">
        <references count="2">
          <reference field="4294967294" count="1" selected="0">
            <x v="0"/>
          </reference>
          <reference field="0" count="1" selected="0">
            <x v="21"/>
          </reference>
        </references>
      </pivotArea>
    </chartFormat>
    <chartFormat chart="3" format="817" series="1">
      <pivotArea type="data" outline="0" fieldPosition="0">
        <references count="2">
          <reference field="4294967294" count="1" selected="0">
            <x v="0"/>
          </reference>
          <reference field="0" count="1" selected="0">
            <x v="22"/>
          </reference>
        </references>
      </pivotArea>
    </chartFormat>
    <chartFormat chart="3" format="818" series="1">
      <pivotArea type="data" outline="0" fieldPosition="0">
        <references count="2">
          <reference field="4294967294" count="1" selected="0">
            <x v="0"/>
          </reference>
          <reference field="0" count="1" selected="0">
            <x v="23"/>
          </reference>
        </references>
      </pivotArea>
    </chartFormat>
    <chartFormat chart="3" format="819" series="1">
      <pivotArea type="data" outline="0" fieldPosition="0">
        <references count="2">
          <reference field="4294967294" count="1" selected="0">
            <x v="0"/>
          </reference>
          <reference field="0" count="1" selected="0">
            <x v="24"/>
          </reference>
        </references>
      </pivotArea>
    </chartFormat>
    <chartFormat chart="3" format="820" series="1">
      <pivotArea type="data" outline="0" fieldPosition="0">
        <references count="2">
          <reference field="4294967294" count="1" selected="0">
            <x v="0"/>
          </reference>
          <reference field="0" count="1" selected="0">
            <x v="26"/>
          </reference>
        </references>
      </pivotArea>
    </chartFormat>
    <chartFormat chart="3" format="821" series="1">
      <pivotArea type="data" outline="0" fieldPosition="0">
        <references count="2">
          <reference field="4294967294" count="1" selected="0">
            <x v="0"/>
          </reference>
          <reference field="0" count="1" selected="0">
            <x v="27"/>
          </reference>
        </references>
      </pivotArea>
    </chartFormat>
    <chartFormat chart="3" format="822" series="1">
      <pivotArea type="data" outline="0" fieldPosition="0">
        <references count="2">
          <reference field="4294967294" count="1" selected="0">
            <x v="0"/>
          </reference>
          <reference field="0" count="1" selected="0">
            <x v="28"/>
          </reference>
        </references>
      </pivotArea>
    </chartFormat>
    <chartFormat chart="3" format="823" series="1">
      <pivotArea type="data" outline="0" fieldPosition="0">
        <references count="2">
          <reference field="4294967294" count="1" selected="0">
            <x v="0"/>
          </reference>
          <reference field="0" count="1" selected="0">
            <x v="29"/>
          </reference>
        </references>
      </pivotArea>
    </chartFormat>
    <chartFormat chart="3" format="824" series="1">
      <pivotArea type="data" outline="0" fieldPosition="0">
        <references count="2">
          <reference field="4294967294" count="1" selected="0">
            <x v="0"/>
          </reference>
          <reference field="0" count="1" selected="0">
            <x v="30"/>
          </reference>
        </references>
      </pivotArea>
    </chartFormat>
    <chartFormat chart="3" format="825" series="1">
      <pivotArea type="data" outline="0" fieldPosition="0">
        <references count="2">
          <reference field="4294967294" count="1" selected="0">
            <x v="0"/>
          </reference>
          <reference field="0" count="1" selected="0">
            <x v="31"/>
          </reference>
        </references>
      </pivotArea>
    </chartFormat>
    <chartFormat chart="3" format="826" series="1">
      <pivotArea type="data" outline="0" fieldPosition="0">
        <references count="2">
          <reference field="4294967294" count="1" selected="0">
            <x v="0"/>
          </reference>
          <reference field="0" count="1" selected="0">
            <x v="32"/>
          </reference>
        </references>
      </pivotArea>
    </chartFormat>
    <chartFormat chart="3" format="827" series="1">
      <pivotArea type="data" outline="0" fieldPosition="0">
        <references count="2">
          <reference field="4294967294" count="1" selected="0">
            <x v="0"/>
          </reference>
          <reference field="0" count="1" selected="0">
            <x v="33"/>
          </reference>
        </references>
      </pivotArea>
    </chartFormat>
    <chartFormat chart="3" format="828" series="1">
      <pivotArea type="data" outline="0" fieldPosition="0">
        <references count="2">
          <reference field="4294967294" count="1" selected="0">
            <x v="0"/>
          </reference>
          <reference field="0" count="1" selected="0">
            <x v="0"/>
          </reference>
        </references>
      </pivotArea>
    </chartFormat>
    <chartFormat chart="6" format="833" series="1">
      <pivotArea type="data" outline="0" fieldPosition="0">
        <references count="2">
          <reference field="4294967294" count="1" selected="0">
            <x v="0"/>
          </reference>
          <reference field="0" count="1" selected="0">
            <x v="0"/>
          </reference>
        </references>
      </pivotArea>
    </chartFormat>
    <chartFormat chart="6" format="834">
      <pivotArea type="data" outline="0" fieldPosition="0">
        <references count="2">
          <reference field="4294967294" count="1" selected="0">
            <x v="0"/>
          </reference>
          <reference field="0" count="1" selected="0">
            <x v="0"/>
          </reference>
        </references>
      </pivotArea>
    </chartFormat>
    <chartFormat chart="6" format="835">
      <pivotArea type="data" outline="0" fieldPosition="0">
        <references count="2">
          <reference field="4294967294" count="1" selected="0">
            <x v="1"/>
          </reference>
          <reference field="0" count="1" selected="0">
            <x v="0"/>
          </reference>
        </references>
      </pivotArea>
    </chartFormat>
    <chartFormat chart="6" format="836">
      <pivotArea type="data" outline="0" fieldPosition="0">
        <references count="2">
          <reference field="4294967294" count="1" selected="0">
            <x v="2"/>
          </reference>
          <reference field="0" count="1" selected="0">
            <x v="0"/>
          </reference>
        </references>
      </pivotArea>
    </chartFormat>
    <chartFormat chart="6" format="837">
      <pivotArea type="data" outline="0" fieldPosition="0">
        <references count="2">
          <reference field="4294967294" count="1" selected="0">
            <x v="0"/>
          </reference>
          <reference field="0" count="1" selected="0">
            <x v="1"/>
          </reference>
        </references>
      </pivotArea>
    </chartFormat>
    <chartFormat chart="6" format="838">
      <pivotArea type="data" outline="0" fieldPosition="0">
        <references count="2">
          <reference field="4294967294" count="1" selected="0">
            <x v="1"/>
          </reference>
          <reference field="0" count="1" selected="0">
            <x v="1"/>
          </reference>
        </references>
      </pivotArea>
    </chartFormat>
    <chartFormat chart="6" format="839">
      <pivotArea type="data" outline="0" fieldPosition="0">
        <references count="2">
          <reference field="4294967294" count="1" selected="0">
            <x v="2"/>
          </reference>
          <reference field="0" count="1" selected="0">
            <x v="1"/>
          </reference>
        </references>
      </pivotArea>
    </chartFormat>
    <chartFormat chart="6" format="840">
      <pivotArea type="data" outline="0" fieldPosition="0">
        <references count="2">
          <reference field="4294967294" count="1" selected="0">
            <x v="0"/>
          </reference>
          <reference field="0" count="1" selected="0">
            <x v="2"/>
          </reference>
        </references>
      </pivotArea>
    </chartFormat>
    <chartFormat chart="6" format="841">
      <pivotArea type="data" outline="0" fieldPosition="0">
        <references count="2">
          <reference field="4294967294" count="1" selected="0">
            <x v="1"/>
          </reference>
          <reference field="0" count="1" selected="0">
            <x v="2"/>
          </reference>
        </references>
      </pivotArea>
    </chartFormat>
    <chartFormat chart="6" format="842">
      <pivotArea type="data" outline="0" fieldPosition="0">
        <references count="2">
          <reference field="4294967294" count="1" selected="0">
            <x v="2"/>
          </reference>
          <reference field="0" count="1" selected="0">
            <x v="2"/>
          </reference>
        </references>
      </pivotArea>
    </chartFormat>
    <chartFormat chart="6" format="843">
      <pivotArea type="data" outline="0" fieldPosition="0">
        <references count="2">
          <reference field="4294967294" count="1" selected="0">
            <x v="0"/>
          </reference>
          <reference field="0" count="1" selected="0">
            <x v="3"/>
          </reference>
        </references>
      </pivotArea>
    </chartFormat>
    <chartFormat chart="6" format="844">
      <pivotArea type="data" outline="0" fieldPosition="0">
        <references count="2">
          <reference field="4294967294" count="1" selected="0">
            <x v="1"/>
          </reference>
          <reference field="0" count="1" selected="0">
            <x v="3"/>
          </reference>
        </references>
      </pivotArea>
    </chartFormat>
    <chartFormat chart="6" format="845">
      <pivotArea type="data" outline="0" fieldPosition="0">
        <references count="2">
          <reference field="4294967294" count="1" selected="0">
            <x v="2"/>
          </reference>
          <reference field="0" count="1" selected="0">
            <x v="3"/>
          </reference>
        </references>
      </pivotArea>
    </chartFormat>
    <chartFormat chart="6" format="846">
      <pivotArea type="data" outline="0" fieldPosition="0">
        <references count="2">
          <reference field="4294967294" count="1" selected="0">
            <x v="0"/>
          </reference>
          <reference field="0" count="1" selected="0">
            <x v="4"/>
          </reference>
        </references>
      </pivotArea>
    </chartFormat>
    <chartFormat chart="6" format="847">
      <pivotArea type="data" outline="0" fieldPosition="0">
        <references count="2">
          <reference field="4294967294" count="1" selected="0">
            <x v="1"/>
          </reference>
          <reference field="0" count="1" selected="0">
            <x v="4"/>
          </reference>
        </references>
      </pivotArea>
    </chartFormat>
    <chartFormat chart="6" format="848">
      <pivotArea type="data" outline="0" fieldPosition="0">
        <references count="2">
          <reference field="4294967294" count="1" selected="0">
            <x v="2"/>
          </reference>
          <reference field="0" count="1" selected="0">
            <x v="4"/>
          </reference>
        </references>
      </pivotArea>
    </chartFormat>
    <chartFormat chart="6" format="849">
      <pivotArea type="data" outline="0" fieldPosition="0">
        <references count="2">
          <reference field="4294967294" count="1" selected="0">
            <x v="0"/>
          </reference>
          <reference field="0" count="1" selected="0">
            <x v="5"/>
          </reference>
        </references>
      </pivotArea>
    </chartFormat>
    <chartFormat chart="6" format="850">
      <pivotArea type="data" outline="0" fieldPosition="0">
        <references count="2">
          <reference field="4294967294" count="1" selected="0">
            <x v="1"/>
          </reference>
          <reference field="0" count="1" selected="0">
            <x v="5"/>
          </reference>
        </references>
      </pivotArea>
    </chartFormat>
    <chartFormat chart="6" format="851">
      <pivotArea type="data" outline="0" fieldPosition="0">
        <references count="2">
          <reference field="4294967294" count="1" selected="0">
            <x v="2"/>
          </reference>
          <reference field="0" count="1" selected="0">
            <x v="5"/>
          </reference>
        </references>
      </pivotArea>
    </chartFormat>
    <chartFormat chart="6" format="852">
      <pivotArea type="data" outline="0" fieldPosition="0">
        <references count="2">
          <reference field="4294967294" count="1" selected="0">
            <x v="0"/>
          </reference>
          <reference field="0" count="1" selected="0">
            <x v="6"/>
          </reference>
        </references>
      </pivotArea>
    </chartFormat>
    <chartFormat chart="6" format="853">
      <pivotArea type="data" outline="0" fieldPosition="0">
        <references count="2">
          <reference field="4294967294" count="1" selected="0">
            <x v="1"/>
          </reference>
          <reference field="0" count="1" selected="0">
            <x v="6"/>
          </reference>
        </references>
      </pivotArea>
    </chartFormat>
    <chartFormat chart="6" format="854">
      <pivotArea type="data" outline="0" fieldPosition="0">
        <references count="2">
          <reference field="4294967294" count="1" selected="0">
            <x v="2"/>
          </reference>
          <reference field="0" count="1" selected="0">
            <x v="6"/>
          </reference>
        </references>
      </pivotArea>
    </chartFormat>
    <chartFormat chart="6" format="855">
      <pivotArea type="data" outline="0" fieldPosition="0">
        <references count="2">
          <reference field="4294967294" count="1" selected="0">
            <x v="0"/>
          </reference>
          <reference field="0" count="1" selected="0">
            <x v="7"/>
          </reference>
        </references>
      </pivotArea>
    </chartFormat>
    <chartFormat chart="6" format="856">
      <pivotArea type="data" outline="0" fieldPosition="0">
        <references count="2">
          <reference field="4294967294" count="1" selected="0">
            <x v="1"/>
          </reference>
          <reference field="0" count="1" selected="0">
            <x v="7"/>
          </reference>
        </references>
      </pivotArea>
    </chartFormat>
    <chartFormat chart="6" format="857">
      <pivotArea type="data" outline="0" fieldPosition="0">
        <references count="2">
          <reference field="4294967294" count="1" selected="0">
            <x v="2"/>
          </reference>
          <reference field="0" count="1" selected="0">
            <x v="7"/>
          </reference>
        </references>
      </pivotArea>
    </chartFormat>
    <chartFormat chart="6" format="858">
      <pivotArea type="data" outline="0" fieldPosition="0">
        <references count="2">
          <reference field="4294967294" count="1" selected="0">
            <x v="0"/>
          </reference>
          <reference field="0" count="1" selected="0">
            <x v="8"/>
          </reference>
        </references>
      </pivotArea>
    </chartFormat>
    <chartFormat chart="6" format="859">
      <pivotArea type="data" outline="0" fieldPosition="0">
        <references count="2">
          <reference field="4294967294" count="1" selected="0">
            <x v="1"/>
          </reference>
          <reference field="0" count="1" selected="0">
            <x v="8"/>
          </reference>
        </references>
      </pivotArea>
    </chartFormat>
    <chartFormat chart="6" format="860">
      <pivotArea type="data" outline="0" fieldPosition="0">
        <references count="2">
          <reference field="4294967294" count="1" selected="0">
            <x v="2"/>
          </reference>
          <reference field="0" count="1" selected="0">
            <x v="8"/>
          </reference>
        </references>
      </pivotArea>
    </chartFormat>
    <chartFormat chart="6" format="861">
      <pivotArea type="data" outline="0" fieldPosition="0">
        <references count="2">
          <reference field="4294967294" count="1" selected="0">
            <x v="0"/>
          </reference>
          <reference field="0" count="1" selected="0">
            <x v="9"/>
          </reference>
        </references>
      </pivotArea>
    </chartFormat>
    <chartFormat chart="6" format="862">
      <pivotArea type="data" outline="0" fieldPosition="0">
        <references count="2">
          <reference field="4294967294" count="1" selected="0">
            <x v="1"/>
          </reference>
          <reference field="0" count="1" selected="0">
            <x v="9"/>
          </reference>
        </references>
      </pivotArea>
    </chartFormat>
    <chartFormat chart="6" format="863">
      <pivotArea type="data" outline="0" fieldPosition="0">
        <references count="2">
          <reference field="4294967294" count="1" selected="0">
            <x v="2"/>
          </reference>
          <reference field="0" count="1" selected="0">
            <x v="9"/>
          </reference>
        </references>
      </pivotArea>
    </chartFormat>
    <chartFormat chart="6" format="864">
      <pivotArea type="data" outline="0" fieldPosition="0">
        <references count="2">
          <reference field="4294967294" count="1" selected="0">
            <x v="0"/>
          </reference>
          <reference field="0" count="1" selected="0">
            <x v="10"/>
          </reference>
        </references>
      </pivotArea>
    </chartFormat>
    <chartFormat chart="6" format="865">
      <pivotArea type="data" outline="0" fieldPosition="0">
        <references count="2">
          <reference field="4294967294" count="1" selected="0">
            <x v="1"/>
          </reference>
          <reference field="0" count="1" selected="0">
            <x v="10"/>
          </reference>
        </references>
      </pivotArea>
    </chartFormat>
    <chartFormat chart="6" format="866">
      <pivotArea type="data" outline="0" fieldPosition="0">
        <references count="2">
          <reference field="4294967294" count="1" selected="0">
            <x v="2"/>
          </reference>
          <reference field="0" count="1" selected="0">
            <x v="10"/>
          </reference>
        </references>
      </pivotArea>
    </chartFormat>
    <chartFormat chart="6" format="867">
      <pivotArea type="data" outline="0" fieldPosition="0">
        <references count="2">
          <reference field="4294967294" count="1" selected="0">
            <x v="0"/>
          </reference>
          <reference field="0" count="1" selected="0">
            <x v="11"/>
          </reference>
        </references>
      </pivotArea>
    </chartFormat>
    <chartFormat chart="6" format="868">
      <pivotArea type="data" outline="0" fieldPosition="0">
        <references count="2">
          <reference field="4294967294" count="1" selected="0">
            <x v="1"/>
          </reference>
          <reference field="0" count="1" selected="0">
            <x v="11"/>
          </reference>
        </references>
      </pivotArea>
    </chartFormat>
    <chartFormat chart="6" format="869">
      <pivotArea type="data" outline="0" fieldPosition="0">
        <references count="2">
          <reference field="4294967294" count="1" selected="0">
            <x v="2"/>
          </reference>
          <reference field="0" count="1" selected="0">
            <x v="11"/>
          </reference>
        </references>
      </pivotArea>
    </chartFormat>
    <chartFormat chart="6" format="870">
      <pivotArea type="data" outline="0" fieldPosition="0">
        <references count="2">
          <reference field="4294967294" count="1" selected="0">
            <x v="0"/>
          </reference>
          <reference field="0" count="1" selected="0">
            <x v="12"/>
          </reference>
        </references>
      </pivotArea>
    </chartFormat>
    <chartFormat chart="6" format="871">
      <pivotArea type="data" outline="0" fieldPosition="0">
        <references count="2">
          <reference field="4294967294" count="1" selected="0">
            <x v="1"/>
          </reference>
          <reference field="0" count="1" selected="0">
            <x v="12"/>
          </reference>
        </references>
      </pivotArea>
    </chartFormat>
    <chartFormat chart="6" format="872">
      <pivotArea type="data" outline="0" fieldPosition="0">
        <references count="2">
          <reference field="4294967294" count="1" selected="0">
            <x v="2"/>
          </reference>
          <reference field="0" count="1" selected="0">
            <x v="12"/>
          </reference>
        </references>
      </pivotArea>
    </chartFormat>
    <chartFormat chart="6" format="873">
      <pivotArea type="data" outline="0" fieldPosition="0">
        <references count="2">
          <reference field="4294967294" count="1" selected="0">
            <x v="0"/>
          </reference>
          <reference field="0" count="1" selected="0">
            <x v="13"/>
          </reference>
        </references>
      </pivotArea>
    </chartFormat>
    <chartFormat chart="6" format="874">
      <pivotArea type="data" outline="0" fieldPosition="0">
        <references count="2">
          <reference field="4294967294" count="1" selected="0">
            <x v="1"/>
          </reference>
          <reference field="0" count="1" selected="0">
            <x v="13"/>
          </reference>
        </references>
      </pivotArea>
    </chartFormat>
    <chartFormat chart="6" format="875">
      <pivotArea type="data" outline="0" fieldPosition="0">
        <references count="2">
          <reference field="4294967294" count="1" selected="0">
            <x v="2"/>
          </reference>
          <reference field="0" count="1" selected="0">
            <x v="13"/>
          </reference>
        </references>
      </pivotArea>
    </chartFormat>
    <chartFormat chart="6" format="876">
      <pivotArea type="data" outline="0" fieldPosition="0">
        <references count="2">
          <reference field="4294967294" count="1" selected="0">
            <x v="0"/>
          </reference>
          <reference field="0" count="1" selected="0">
            <x v="14"/>
          </reference>
        </references>
      </pivotArea>
    </chartFormat>
    <chartFormat chart="6" format="877">
      <pivotArea type="data" outline="0" fieldPosition="0">
        <references count="2">
          <reference field="4294967294" count="1" selected="0">
            <x v="1"/>
          </reference>
          <reference field="0" count="1" selected="0">
            <x v="14"/>
          </reference>
        </references>
      </pivotArea>
    </chartFormat>
    <chartFormat chart="6" format="878">
      <pivotArea type="data" outline="0" fieldPosition="0">
        <references count="2">
          <reference field="4294967294" count="1" selected="0">
            <x v="2"/>
          </reference>
          <reference field="0" count="1" selected="0">
            <x v="14"/>
          </reference>
        </references>
      </pivotArea>
    </chartFormat>
    <chartFormat chart="6" format="879">
      <pivotArea type="data" outline="0" fieldPosition="0">
        <references count="2">
          <reference field="4294967294" count="1" selected="0">
            <x v="0"/>
          </reference>
          <reference field="0" count="1" selected="0">
            <x v="15"/>
          </reference>
        </references>
      </pivotArea>
    </chartFormat>
    <chartFormat chart="6" format="880">
      <pivotArea type="data" outline="0" fieldPosition="0">
        <references count="2">
          <reference field="4294967294" count="1" selected="0">
            <x v="1"/>
          </reference>
          <reference field="0" count="1" selected="0">
            <x v="15"/>
          </reference>
        </references>
      </pivotArea>
    </chartFormat>
    <chartFormat chart="6" format="881">
      <pivotArea type="data" outline="0" fieldPosition="0">
        <references count="2">
          <reference field="4294967294" count="1" selected="0">
            <x v="2"/>
          </reference>
          <reference field="0" count="1" selected="0">
            <x v="15"/>
          </reference>
        </references>
      </pivotArea>
    </chartFormat>
    <chartFormat chart="6" format="882">
      <pivotArea type="data" outline="0" fieldPosition="0">
        <references count="2">
          <reference field="4294967294" count="1" selected="0">
            <x v="0"/>
          </reference>
          <reference field="0" count="1" selected="0">
            <x v="16"/>
          </reference>
        </references>
      </pivotArea>
    </chartFormat>
    <chartFormat chart="6" format="883">
      <pivotArea type="data" outline="0" fieldPosition="0">
        <references count="2">
          <reference field="4294967294" count="1" selected="0">
            <x v="1"/>
          </reference>
          <reference field="0" count="1" selected="0">
            <x v="16"/>
          </reference>
        </references>
      </pivotArea>
    </chartFormat>
    <chartFormat chart="6" format="884">
      <pivotArea type="data" outline="0" fieldPosition="0">
        <references count="2">
          <reference field="4294967294" count="1" selected="0">
            <x v="2"/>
          </reference>
          <reference field="0" count="1" selected="0">
            <x v="16"/>
          </reference>
        </references>
      </pivotArea>
    </chartFormat>
    <chartFormat chart="6" format="885">
      <pivotArea type="data" outline="0" fieldPosition="0">
        <references count="2">
          <reference field="4294967294" count="1" selected="0">
            <x v="0"/>
          </reference>
          <reference field="0" count="1" selected="0">
            <x v="17"/>
          </reference>
        </references>
      </pivotArea>
    </chartFormat>
    <chartFormat chart="6" format="886">
      <pivotArea type="data" outline="0" fieldPosition="0">
        <references count="2">
          <reference field="4294967294" count="1" selected="0">
            <x v="1"/>
          </reference>
          <reference field="0" count="1" selected="0">
            <x v="17"/>
          </reference>
        </references>
      </pivotArea>
    </chartFormat>
    <chartFormat chart="6" format="887">
      <pivotArea type="data" outline="0" fieldPosition="0">
        <references count="2">
          <reference field="4294967294" count="1" selected="0">
            <x v="2"/>
          </reference>
          <reference field="0" count="1" selected="0">
            <x v="17"/>
          </reference>
        </references>
      </pivotArea>
    </chartFormat>
    <chartFormat chart="6" format="888">
      <pivotArea type="data" outline="0" fieldPosition="0">
        <references count="2">
          <reference field="4294967294" count="1" selected="0">
            <x v="0"/>
          </reference>
          <reference field="0" count="1" selected="0">
            <x v="18"/>
          </reference>
        </references>
      </pivotArea>
    </chartFormat>
    <chartFormat chart="6" format="889">
      <pivotArea type="data" outline="0" fieldPosition="0">
        <references count="2">
          <reference field="4294967294" count="1" selected="0">
            <x v="1"/>
          </reference>
          <reference field="0" count="1" selected="0">
            <x v="18"/>
          </reference>
        </references>
      </pivotArea>
    </chartFormat>
    <chartFormat chart="6" format="890">
      <pivotArea type="data" outline="0" fieldPosition="0">
        <references count="2">
          <reference field="4294967294" count="1" selected="0">
            <x v="2"/>
          </reference>
          <reference field="0" count="1" selected="0">
            <x v="18"/>
          </reference>
        </references>
      </pivotArea>
    </chartFormat>
    <chartFormat chart="6" format="891">
      <pivotArea type="data" outline="0" fieldPosition="0">
        <references count="2">
          <reference field="4294967294" count="1" selected="0">
            <x v="0"/>
          </reference>
          <reference field="0" count="1" selected="0">
            <x v="19"/>
          </reference>
        </references>
      </pivotArea>
    </chartFormat>
    <chartFormat chart="6" format="892">
      <pivotArea type="data" outline="0" fieldPosition="0">
        <references count="2">
          <reference field="4294967294" count="1" selected="0">
            <x v="1"/>
          </reference>
          <reference field="0" count="1" selected="0">
            <x v="19"/>
          </reference>
        </references>
      </pivotArea>
    </chartFormat>
    <chartFormat chart="6" format="893">
      <pivotArea type="data" outline="0" fieldPosition="0">
        <references count="2">
          <reference field="4294967294" count="1" selected="0">
            <x v="2"/>
          </reference>
          <reference field="0" count="1" selected="0">
            <x v="19"/>
          </reference>
        </references>
      </pivotArea>
    </chartFormat>
    <chartFormat chart="6" format="894">
      <pivotArea type="data" outline="0" fieldPosition="0">
        <references count="2">
          <reference field="4294967294" count="1" selected="0">
            <x v="0"/>
          </reference>
          <reference field="0" count="1" selected="0">
            <x v="20"/>
          </reference>
        </references>
      </pivotArea>
    </chartFormat>
    <chartFormat chart="6" format="895">
      <pivotArea type="data" outline="0" fieldPosition="0">
        <references count="2">
          <reference field="4294967294" count="1" selected="0">
            <x v="1"/>
          </reference>
          <reference field="0" count="1" selected="0">
            <x v="20"/>
          </reference>
        </references>
      </pivotArea>
    </chartFormat>
    <chartFormat chart="6" format="896">
      <pivotArea type="data" outline="0" fieldPosition="0">
        <references count="2">
          <reference field="4294967294" count="1" selected="0">
            <x v="2"/>
          </reference>
          <reference field="0" count="1" selected="0">
            <x v="20"/>
          </reference>
        </references>
      </pivotArea>
    </chartFormat>
    <chartFormat chart="6" format="897">
      <pivotArea type="data" outline="0" fieldPosition="0">
        <references count="2">
          <reference field="4294967294" count="1" selected="0">
            <x v="0"/>
          </reference>
          <reference field="0" count="1" selected="0">
            <x v="21"/>
          </reference>
        </references>
      </pivotArea>
    </chartFormat>
    <chartFormat chart="6" format="898">
      <pivotArea type="data" outline="0" fieldPosition="0">
        <references count="2">
          <reference field="4294967294" count="1" selected="0">
            <x v="1"/>
          </reference>
          <reference field="0" count="1" selected="0">
            <x v="21"/>
          </reference>
        </references>
      </pivotArea>
    </chartFormat>
    <chartFormat chart="6" format="899">
      <pivotArea type="data" outline="0" fieldPosition="0">
        <references count="2">
          <reference field="4294967294" count="1" selected="0">
            <x v="2"/>
          </reference>
          <reference field="0" count="1" selected="0">
            <x v="21"/>
          </reference>
        </references>
      </pivotArea>
    </chartFormat>
    <chartFormat chart="6" format="900">
      <pivotArea type="data" outline="0" fieldPosition="0">
        <references count="2">
          <reference field="4294967294" count="1" selected="0">
            <x v="0"/>
          </reference>
          <reference field="0" count="1" selected="0">
            <x v="22"/>
          </reference>
        </references>
      </pivotArea>
    </chartFormat>
    <chartFormat chart="6" format="901">
      <pivotArea type="data" outline="0" fieldPosition="0">
        <references count="2">
          <reference field="4294967294" count="1" selected="0">
            <x v="1"/>
          </reference>
          <reference field="0" count="1" selected="0">
            <x v="22"/>
          </reference>
        </references>
      </pivotArea>
    </chartFormat>
    <chartFormat chart="6" format="902">
      <pivotArea type="data" outline="0" fieldPosition="0">
        <references count="2">
          <reference field="4294967294" count="1" selected="0">
            <x v="2"/>
          </reference>
          <reference field="0" count="1" selected="0">
            <x v="22"/>
          </reference>
        </references>
      </pivotArea>
    </chartFormat>
    <chartFormat chart="6" format="903">
      <pivotArea type="data" outline="0" fieldPosition="0">
        <references count="2">
          <reference field="4294967294" count="1" selected="0">
            <x v="0"/>
          </reference>
          <reference field="0" count="1" selected="0">
            <x v="23"/>
          </reference>
        </references>
      </pivotArea>
    </chartFormat>
    <chartFormat chart="6" format="904">
      <pivotArea type="data" outline="0" fieldPosition="0">
        <references count="2">
          <reference field="4294967294" count="1" selected="0">
            <x v="1"/>
          </reference>
          <reference field="0" count="1" selected="0">
            <x v="23"/>
          </reference>
        </references>
      </pivotArea>
    </chartFormat>
    <chartFormat chart="6" format="905">
      <pivotArea type="data" outline="0" fieldPosition="0">
        <references count="2">
          <reference field="4294967294" count="1" selected="0">
            <x v="2"/>
          </reference>
          <reference field="0" count="1" selected="0">
            <x v="23"/>
          </reference>
        </references>
      </pivotArea>
    </chartFormat>
    <chartFormat chart="6" format="906">
      <pivotArea type="data" outline="0" fieldPosition="0">
        <references count="2">
          <reference field="4294967294" count="1" selected="0">
            <x v="0"/>
          </reference>
          <reference field="0" count="1" selected="0">
            <x v="24"/>
          </reference>
        </references>
      </pivotArea>
    </chartFormat>
    <chartFormat chart="6" format="907">
      <pivotArea type="data" outline="0" fieldPosition="0">
        <references count="2">
          <reference field="4294967294" count="1" selected="0">
            <x v="1"/>
          </reference>
          <reference field="0" count="1" selected="0">
            <x v="24"/>
          </reference>
        </references>
      </pivotArea>
    </chartFormat>
    <chartFormat chart="6" format="908">
      <pivotArea type="data" outline="0" fieldPosition="0">
        <references count="2">
          <reference field="4294967294" count="1" selected="0">
            <x v="2"/>
          </reference>
          <reference field="0" count="1" selected="0">
            <x v="24"/>
          </reference>
        </references>
      </pivotArea>
    </chartFormat>
    <chartFormat chart="6" format="909">
      <pivotArea type="data" outline="0" fieldPosition="0">
        <references count="2">
          <reference field="4294967294" count="1" selected="0">
            <x v="0"/>
          </reference>
          <reference field="0" count="1" selected="0">
            <x v="25"/>
          </reference>
        </references>
      </pivotArea>
    </chartFormat>
    <chartFormat chart="6" format="910">
      <pivotArea type="data" outline="0" fieldPosition="0">
        <references count="2">
          <reference field="4294967294" count="1" selected="0">
            <x v="1"/>
          </reference>
          <reference field="0" count="1" selected="0">
            <x v="25"/>
          </reference>
        </references>
      </pivotArea>
    </chartFormat>
    <chartFormat chart="6" format="911">
      <pivotArea type="data" outline="0" fieldPosition="0">
        <references count="2">
          <reference field="4294967294" count="1" selected="0">
            <x v="2"/>
          </reference>
          <reference field="0" count="1" selected="0">
            <x v="25"/>
          </reference>
        </references>
      </pivotArea>
    </chartFormat>
    <chartFormat chart="6" format="912">
      <pivotArea type="data" outline="0" fieldPosition="0">
        <references count="2">
          <reference field="4294967294" count="1" selected="0">
            <x v="0"/>
          </reference>
          <reference field="0" count="1" selected="0">
            <x v="26"/>
          </reference>
        </references>
      </pivotArea>
    </chartFormat>
    <chartFormat chart="6" format="913">
      <pivotArea type="data" outline="0" fieldPosition="0">
        <references count="2">
          <reference field="4294967294" count="1" selected="0">
            <x v="1"/>
          </reference>
          <reference field="0" count="1" selected="0">
            <x v="26"/>
          </reference>
        </references>
      </pivotArea>
    </chartFormat>
    <chartFormat chart="6" format="914">
      <pivotArea type="data" outline="0" fieldPosition="0">
        <references count="2">
          <reference field="4294967294" count="1" selected="0">
            <x v="2"/>
          </reference>
          <reference field="0" count="1" selected="0">
            <x v="26"/>
          </reference>
        </references>
      </pivotArea>
    </chartFormat>
    <chartFormat chart="6" format="915">
      <pivotArea type="data" outline="0" fieldPosition="0">
        <references count="2">
          <reference field="4294967294" count="1" selected="0">
            <x v="0"/>
          </reference>
          <reference field="0" count="1" selected="0">
            <x v="27"/>
          </reference>
        </references>
      </pivotArea>
    </chartFormat>
    <chartFormat chart="6" format="916">
      <pivotArea type="data" outline="0" fieldPosition="0">
        <references count="2">
          <reference field="4294967294" count="1" selected="0">
            <x v="1"/>
          </reference>
          <reference field="0" count="1" selected="0">
            <x v="27"/>
          </reference>
        </references>
      </pivotArea>
    </chartFormat>
    <chartFormat chart="6" format="917">
      <pivotArea type="data" outline="0" fieldPosition="0">
        <references count="2">
          <reference field="4294967294" count="1" selected="0">
            <x v="2"/>
          </reference>
          <reference field="0" count="1" selected="0">
            <x v="27"/>
          </reference>
        </references>
      </pivotArea>
    </chartFormat>
    <chartFormat chart="6" format="918">
      <pivotArea type="data" outline="0" fieldPosition="0">
        <references count="2">
          <reference field="4294967294" count="1" selected="0">
            <x v="0"/>
          </reference>
          <reference field="0" count="1" selected="0">
            <x v="28"/>
          </reference>
        </references>
      </pivotArea>
    </chartFormat>
    <chartFormat chart="6" format="919">
      <pivotArea type="data" outline="0" fieldPosition="0">
        <references count="2">
          <reference field="4294967294" count="1" selected="0">
            <x v="1"/>
          </reference>
          <reference field="0" count="1" selected="0">
            <x v="28"/>
          </reference>
        </references>
      </pivotArea>
    </chartFormat>
    <chartFormat chart="6" format="920">
      <pivotArea type="data" outline="0" fieldPosition="0">
        <references count="2">
          <reference field="4294967294" count="1" selected="0">
            <x v="2"/>
          </reference>
          <reference field="0" count="1" selected="0">
            <x v="28"/>
          </reference>
        </references>
      </pivotArea>
    </chartFormat>
    <chartFormat chart="6" format="921">
      <pivotArea type="data" outline="0" fieldPosition="0">
        <references count="2">
          <reference field="4294967294" count="1" selected="0">
            <x v="0"/>
          </reference>
          <reference field="0" count="1" selected="0">
            <x v="29"/>
          </reference>
        </references>
      </pivotArea>
    </chartFormat>
    <chartFormat chart="6" format="922">
      <pivotArea type="data" outline="0" fieldPosition="0">
        <references count="2">
          <reference field="4294967294" count="1" selected="0">
            <x v="1"/>
          </reference>
          <reference field="0" count="1" selected="0">
            <x v="29"/>
          </reference>
        </references>
      </pivotArea>
    </chartFormat>
    <chartFormat chart="6" format="923">
      <pivotArea type="data" outline="0" fieldPosition="0">
        <references count="2">
          <reference field="4294967294" count="1" selected="0">
            <x v="2"/>
          </reference>
          <reference field="0" count="1" selected="0">
            <x v="29"/>
          </reference>
        </references>
      </pivotArea>
    </chartFormat>
    <chartFormat chart="6" format="924">
      <pivotArea type="data" outline="0" fieldPosition="0">
        <references count="2">
          <reference field="4294967294" count="1" selected="0">
            <x v="0"/>
          </reference>
          <reference field="0" count="1" selected="0">
            <x v="30"/>
          </reference>
        </references>
      </pivotArea>
    </chartFormat>
    <chartFormat chart="6" format="925">
      <pivotArea type="data" outline="0" fieldPosition="0">
        <references count="2">
          <reference field="4294967294" count="1" selected="0">
            <x v="1"/>
          </reference>
          <reference field="0" count="1" selected="0">
            <x v="30"/>
          </reference>
        </references>
      </pivotArea>
    </chartFormat>
    <chartFormat chart="6" format="926">
      <pivotArea type="data" outline="0" fieldPosition="0">
        <references count="2">
          <reference field="4294967294" count="1" selected="0">
            <x v="2"/>
          </reference>
          <reference field="0" count="1" selected="0">
            <x v="30"/>
          </reference>
        </references>
      </pivotArea>
    </chartFormat>
    <chartFormat chart="6" format="927">
      <pivotArea type="data" outline="0" fieldPosition="0">
        <references count="2">
          <reference field="4294967294" count="1" selected="0">
            <x v="0"/>
          </reference>
          <reference field="0" count="1" selected="0">
            <x v="31"/>
          </reference>
        </references>
      </pivotArea>
    </chartFormat>
    <chartFormat chart="6" format="928">
      <pivotArea type="data" outline="0" fieldPosition="0">
        <references count="2">
          <reference field="4294967294" count="1" selected="0">
            <x v="1"/>
          </reference>
          <reference field="0" count="1" selected="0">
            <x v="31"/>
          </reference>
        </references>
      </pivotArea>
    </chartFormat>
    <chartFormat chart="6" format="929">
      <pivotArea type="data" outline="0" fieldPosition="0">
        <references count="2">
          <reference field="4294967294" count="1" selected="0">
            <x v="2"/>
          </reference>
          <reference field="0" count="1" selected="0">
            <x v="31"/>
          </reference>
        </references>
      </pivotArea>
    </chartFormat>
    <chartFormat chart="6" format="930">
      <pivotArea type="data" outline="0" fieldPosition="0">
        <references count="2">
          <reference field="4294967294" count="1" selected="0">
            <x v="0"/>
          </reference>
          <reference field="0" count="1" selected="0">
            <x v="32"/>
          </reference>
        </references>
      </pivotArea>
    </chartFormat>
    <chartFormat chart="6" format="931">
      <pivotArea type="data" outline="0" fieldPosition="0">
        <references count="2">
          <reference field="4294967294" count="1" selected="0">
            <x v="1"/>
          </reference>
          <reference field="0" count="1" selected="0">
            <x v="32"/>
          </reference>
        </references>
      </pivotArea>
    </chartFormat>
    <chartFormat chart="6" format="932">
      <pivotArea type="data" outline="0" fieldPosition="0">
        <references count="2">
          <reference field="4294967294" count="1" selected="0">
            <x v="2"/>
          </reference>
          <reference field="0" count="1" selected="0">
            <x v="32"/>
          </reference>
        </references>
      </pivotArea>
    </chartFormat>
    <chartFormat chart="6" format="933">
      <pivotArea type="data" outline="0" fieldPosition="0">
        <references count="2">
          <reference field="4294967294" count="1" selected="0">
            <x v="0"/>
          </reference>
          <reference field="0" count="1" selected="0">
            <x v="33"/>
          </reference>
        </references>
      </pivotArea>
    </chartFormat>
    <chartFormat chart="6" format="934">
      <pivotArea type="data" outline="0" fieldPosition="0">
        <references count="2">
          <reference field="4294967294" count="1" selected="0">
            <x v="1"/>
          </reference>
          <reference field="0" count="1" selected="0">
            <x v="33"/>
          </reference>
        </references>
      </pivotArea>
    </chartFormat>
    <chartFormat chart="6" format="935">
      <pivotArea type="data" outline="0" fieldPosition="0">
        <references count="2">
          <reference field="4294967294" count="1" selected="0">
            <x v="2"/>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0B465-AE59-471D-A882-96B0D4BF5ABB}" name="数据透视表6" cacheId="3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A3:F38" firstHeaderRow="0" firstDataRow="1" firstDataCol="1"/>
  <pivotFields count="12">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numFmtId="176" showAll="0"/>
    <pivotField dataField="1" numFmtId="176" showAll="0"/>
    <pivotField dataField="1" numFmtId="176" showAll="0"/>
    <pivotField dataField="1" numFmtId="176" showAll="0"/>
    <pivotField dataField="1" numFmtId="176" showAll="0"/>
    <pivotField numFmtId="176" showAll="0">
      <items count="35">
        <item x="0"/>
        <item x="1"/>
        <item x="2"/>
        <item x="3"/>
        <item x="4"/>
        <item x="5"/>
        <item x="6"/>
        <item x="8"/>
        <item x="7"/>
        <item x="33"/>
        <item x="9"/>
        <item x="31"/>
        <item x="32"/>
        <item x="28"/>
        <item x="30"/>
        <item x="29"/>
        <item x="10"/>
        <item x="11"/>
        <item x="27"/>
        <item x="12"/>
        <item x="26"/>
        <item x="25"/>
        <item x="23"/>
        <item x="13"/>
        <item x="24"/>
        <item x="14"/>
        <item x="15"/>
        <item x="16"/>
        <item x="17"/>
        <item x="18"/>
        <item x="22"/>
        <item x="21"/>
        <item x="20"/>
        <item x="19"/>
        <item t="default"/>
      </items>
    </pivotField>
    <pivotField numFmtId="176" showAll="0"/>
    <pivotField numFmtId="176" showAll="0"/>
    <pivotField numFmtId="176" showAll="0"/>
    <pivotField numFmtId="176" showAll="0"/>
    <pivotField numFmtId="176"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Sum of Electricity supplied (net)" fld="1" baseField="0" baseItem="0"/>
    <dataField name="Sum of Electricity available" fld="4" baseField="0" baseItem="0"/>
    <dataField name="Sum of Net Imports" fld="3" baseField="0" baseItem="0"/>
    <dataField name="Sum of Purchases from other producers" fld="2" baseField="0" baseItem="0"/>
    <dataField name="Sum of Losses in transmission" fld="5" baseField="0" baseItem="0"/>
  </dataFields>
  <chartFormats count="10">
    <chartFormat chart="0" format="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2"/>
          </reference>
        </references>
      </pivotArea>
    </chartFormat>
    <chartFormat chart="0" format="14"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3"/>
          </reference>
        </references>
      </pivotArea>
    </chartFormat>
    <chartFormat chart="0" format="15"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0BE03-95C8-4D34-B63A-054B3BB5F610}" name="BarPivotConsumption" cacheId="36"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4">
  <location ref="A3:E4" firstHeaderRow="0" firstDataRow="1" firstDataCol="0" rowPageCount="1" colPageCount="1"/>
  <pivotFields count="12">
    <pivotField axis="axisPage"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umFmtId="4" showAll="0"/>
    <pivotField numFmtId="4" showAll="0"/>
    <pivotField numFmtId="4" showAll="0"/>
    <pivotField numFmtId="177" showAll="0"/>
    <pivotField numFmtId="177" showAll="0"/>
    <pivotField numFmtId="4" showAll="0"/>
    <pivotField dataField="1" numFmtId="10" showAll="0"/>
    <pivotField dataField="1" numFmtId="10" showAll="0"/>
    <pivotField dataField="1" numFmtId="10" showAll="0"/>
    <pivotField dataField="1" numFmtId="10" showAll="0"/>
    <pivotField dataField="1" numFmtId="10" showAll="0"/>
  </pivotFields>
  <rowItems count="1">
    <i/>
  </rowItems>
  <colFields count="1">
    <field x="-2"/>
  </colFields>
  <colItems count="5">
    <i>
      <x/>
    </i>
    <i i="1">
      <x v="1"/>
    </i>
    <i i="2">
      <x v="2"/>
    </i>
    <i i="3">
      <x v="3"/>
    </i>
    <i i="4">
      <x v="4"/>
    </i>
  </colItems>
  <pageFields count="1">
    <pageField fld="0" item="3" hier="-1"/>
  </pageFields>
  <dataFields count="5">
    <dataField name="Sum of Public lighting%" fld="10" baseField="0" baseItem="0"/>
    <dataField name="Sum of Shops offices,and other commercial  premises %" fld="8" baseField="0" baseItem="0"/>
    <dataField name="Sum of Factories and other industrial premises %" fld="9" baseField="0" baseItem="0"/>
    <dataField name="Sum of Domestic and farm premises  %" fld="7" baseField="0" baseItem="0"/>
    <dataField name="Sum of Traction%" fld="11" baseField="0" baseItem="0"/>
  </dataFields>
  <formats count="7">
    <format dxfId="1">
      <pivotArea type="all" dataOnly="0" outline="0" fieldPosition="0"/>
    </format>
    <format dxfId="2">
      <pivotArea outline="0" collapsedLevelsAreSubtotals="1" fieldPosition="0"/>
    </format>
    <format dxfId="3">
      <pivotArea type="origin" dataOnly="0" labelOnly="1" outline="0" fieldPosition="0"/>
    </format>
    <format dxfId="4">
      <pivotArea field="0" type="button" dataOnly="0" labelOnly="1" outline="0" axis="axisPage" fieldPosition="0"/>
    </format>
    <format dxfId="5">
      <pivotArea type="topRight" dataOnly="0" labelOnly="1" outline="0" fieldPosition="0"/>
    </format>
    <format dxfId="6">
      <pivotArea field="-2" type="button" dataOnly="0" labelOnly="1" outline="0" axis="axisCol" fieldPosition="0"/>
    </format>
    <format dxfId="0">
      <pivotArea dataOnly="0" labelOnly="1" outline="0" fieldPosition="0">
        <references count="1">
          <reference field="0"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ADADF-9830-48F1-B11E-42A4EF9C0D2D}" name="数据透视表20" cacheId="3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7">
  <location ref="A6:F8" firstHeaderRow="0" firstDataRow="1" firstDataCol="1"/>
  <pivotFields count="12">
    <pivotField axis="axisRow" showAll="0">
      <items count="47">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t="default"/>
      </items>
    </pivotField>
    <pivotField dataField="1" numFmtId="4" showAll="0"/>
    <pivotField dataField="1" numFmtId="4" showAll="0"/>
    <pivotField dataField="1" numFmtId="4" showAll="0"/>
    <pivotField dataField="1" numFmtId="177" showAll="0"/>
    <pivotField dataField="1" numFmtId="177" showAll="0"/>
    <pivotField numFmtId="4" showAll="0"/>
    <pivotField numFmtId="10" showAll="0"/>
    <pivotField numFmtId="10" showAll="0"/>
    <pivotField numFmtId="10" showAll="0"/>
    <pivotField numFmtId="10" showAll="0"/>
    <pivotField numFmtId="10" showAll="0"/>
  </pivotFields>
  <rowFields count="1">
    <field x="0"/>
  </rowFields>
  <rowItems count="2">
    <i>
      <x v="3"/>
    </i>
    <i t="grand">
      <x/>
    </i>
  </rowItems>
  <colFields count="1">
    <field x="-2"/>
  </colFields>
  <colItems count="5">
    <i>
      <x/>
    </i>
    <i i="1">
      <x v="1"/>
    </i>
    <i i="2">
      <x v="2"/>
    </i>
    <i i="3">
      <x v="3"/>
    </i>
    <i i="4">
      <x v="4"/>
    </i>
  </colItems>
  <dataFields count="5">
    <dataField name="Sum of Domestic and farm premises  " fld="1" baseField="0" baseItem="0"/>
    <dataField name="Sum of Shops offices,and other commercial  premises " fld="2" baseField="0" baseItem="0"/>
    <dataField name="Sum of Factories and other industrial premises" fld="3" baseField="0" baseItem="0"/>
    <dataField name="Sum of Traction" fld="5" baseField="0" baseItem="0"/>
    <dataField name="Sum of Public lighting" fld="4"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1" xr10:uid="{07E15F78-697F-4D1D-B869-AB05244525D6}" sourceName="Year">
  <pivotTables>
    <pivotTable tabId="24" name="数据透视表20"/>
    <pivotTable tabId="42" name="BarPivotConsumption"/>
  </pivotTables>
  <data>
    <tabular pivotCacheId="2137911836">
      <items count="46">
        <i x="0"/>
        <i x="1"/>
        <i x="2"/>
        <i x="3" s="1"/>
        <i x="4"/>
        <i x="5"/>
        <i x="6"/>
        <i x="7"/>
        <i x="8"/>
        <i x="9"/>
        <i x="10"/>
        <i x="11"/>
        <i x="12"/>
        <i x="13"/>
        <i x="14"/>
        <i x="15"/>
        <i x="16"/>
        <i x="17"/>
        <i x="18"/>
        <i x="19"/>
        <i x="20"/>
        <i x="21"/>
        <i x="22"/>
        <i x="23"/>
        <i x="24"/>
        <i x="25"/>
        <i x="26"/>
        <i x="27"/>
        <i x="28"/>
        <i x="29"/>
        <i x="30"/>
        <i x="31"/>
        <i x="32"/>
        <i x="33"/>
        <i x="34"/>
        <i x="35"/>
        <i x="36"/>
        <i x="37"/>
        <i x="38"/>
        <i x="39"/>
        <i x="40"/>
        <i x="41"/>
        <i x="42"/>
        <i x="43"/>
        <i x="44"/>
        <i x="4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 xr10:uid="{0DBAD952-34E1-4EAC-85EE-153ED9E76F33}" sourceName="Year">
  <pivotTables>
    <pivotTable tabId="38" name="数据透视表6"/>
    <pivotTable tabId="33" name="SupplyPiePivot"/>
    <pivotTable tabId="32" name="SupplyPiePivot"/>
  </pivotTables>
  <data>
    <tabular pivotCacheId="2085413690">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B8286D0-6EE0-4B4B-A0C2-E2B62BBA6D17}" cache="切片器_Year1" caption="Year" rowHeight="220133"/>
  <slicer name="Year" xr10:uid="{257CE546-4DA6-49E4-85BC-1D5DF35DFF42}" cache="切片器_Year" caption="Year" startItem="1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6A50F7-9099-48C8-9CEB-0074328AE508}" name="SupplyAvailability" displayName="SupplyAvailability" ref="A1:L35" totalsRowShown="0" headerRowDxfId="35" dataDxfId="34">
  <autoFilter ref="A1:L35" xr:uid="{BCA29D50-BBE8-4B75-BE87-936044395434}"/>
  <tableColumns count="12">
    <tableColumn id="1" xr3:uid="{D7919EFF-A034-46B5-992B-7374495B430C}" name="Year" dataDxfId="33"/>
    <tableColumn id="2" xr3:uid="{2ED4A78A-1076-4ABD-B439-EB25110738BD}" name="Electricity supplied (net)" dataDxfId="32"/>
    <tableColumn id="3" xr3:uid="{CCDF130D-0F71-4E0F-88B0-CAE935F0B7BA}" name="Purchases from other producers" dataDxfId="31"/>
    <tableColumn id="4" xr3:uid="{B440887D-476E-4A60-BE31-89A7063CF166}" name="Net Imports" dataDxfId="30"/>
    <tableColumn id="5" xr3:uid="{66AF80A4-9691-4017-A43C-C93214E68545}" name="Electricity available" dataDxfId="29"/>
    <tableColumn id="6" xr3:uid="{4FF78C96-CC84-44A5-8A57-268ABCCB4273}" name="Losses in transmission" dataDxfId="28"/>
    <tableColumn id="7" xr3:uid="{8BC91BA8-31EC-44F7-8DD8-2991418AAF2A}" name="Availability/SupplyTotal" dataDxfId="27">
      <calculatedColumnFormula>E2-F2</calculatedColumnFormula>
    </tableColumn>
    <tableColumn id="8" xr3:uid="{E079BB8B-3C5B-494B-9A15-4F537AA153CE}" name="Fuel industries" dataDxfId="26"/>
    <tableColumn id="9" xr3:uid="{2E813F76-F7BD-4F1B-BF22-0985D185BC4D}" name="User Industrial" dataDxfId="25"/>
    <tableColumn id="10" xr3:uid="{3BDFB605-AAC5-42AE-9BD4-AD8366ACF4FA}" name="User Domestic" dataDxfId="24"/>
    <tableColumn id="11" xr3:uid="{51BFD4E4-AFFA-40FA-A97F-1D7D6C418E0C}" name="User Other" dataDxfId="23"/>
    <tableColumn id="12" xr3:uid="{A0D74416-DECF-4155-9D81-F22C63CBB7FF}" name="User Total" dataDxfId="22">
      <calculatedColumnFormula>I2+J2+K2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2CABB8-3109-4030-BCE0-31B49B4B7255}" name="ComsumptionCategory" displayName="ComsumptionCategory" ref="A1:L47" totalsRowShown="0" headerRowDxfId="21" dataDxfId="20" tableBorderDxfId="19">
  <autoFilter ref="A1:L47" xr:uid="{AC5D972C-A3AD-4AC9-BEFD-65F9C05338D6}"/>
  <tableColumns count="12">
    <tableColumn id="1" xr3:uid="{991A56CA-A8DA-4E7D-8C3C-30D8DDDF41D9}" name="Year" dataDxfId="18"/>
    <tableColumn id="2" xr3:uid="{08356444-F0A6-46CC-825C-53CE3F359999}" name="Domestic and farm premises  " dataDxfId="17"/>
    <tableColumn id="3" xr3:uid="{E61664DD-3A35-4748-92E0-B332233A9EEE}" name="Shops offices,and other commercial  premises " dataDxfId="16"/>
    <tableColumn id="4" xr3:uid="{9D976421-8AC4-4F73-A9FD-9D1DA137D48F}" name="Factories and other industrial premises" dataDxfId="15"/>
    <tableColumn id="5" xr3:uid="{CFE434E2-0B2A-485B-9782-D3D44E026E69}" name="Public lighting" dataDxfId="14"/>
    <tableColumn id="6" xr3:uid="{B3128B31-0400-4FFA-8653-1F5CDF80C7EC}" name="Traction" dataDxfId="13"/>
    <tableColumn id="7" xr3:uid="{771A66EF-E27D-48D9-91FD-0C5E3D21D0F0}" name="ConsumptionTotal" dataDxfId="12">
      <calculatedColumnFormula>ComsumptionCategory[[#This Row],[Domestic and farm premises  ]]+ComsumptionCategory[[#This Row],[Shops offices,and other commercial  premises ]]+ComsumptionCategory[[#This Row],[Factories and other industrial premises]]+ComsumptionCategory[[#This Row],[Public lighting]]+ComsumptionCategory[[#This Row],[Traction]]</calculatedColumnFormula>
    </tableColumn>
    <tableColumn id="8" xr3:uid="{BD2D1AF0-4A63-4C2D-BF9D-D0D16C1D1A04}" name="Domestic and farm premises  %" dataDxfId="11">
      <calculatedColumnFormula>ComsumptionCategory[[#This Row],[Domestic and farm premises  ]]/ComsumptionCategory[[#This Row],[ConsumptionTotal]]</calculatedColumnFormula>
    </tableColumn>
    <tableColumn id="9" xr3:uid="{E8F539FF-9595-4A9C-BD29-EDBBF93A841E}" name="Shops offices,and other commercial  premises %" dataDxfId="10">
      <calculatedColumnFormula>ComsumptionCategory[[#This Row],[Shops offices,and other commercial  premises ]]/ComsumptionCategory[[#This Row],[ConsumptionTotal]]</calculatedColumnFormula>
    </tableColumn>
    <tableColumn id="10" xr3:uid="{946F7B8E-2EED-4133-BFFE-FCC35AE31F4D}" name="Factories and other industrial premises %" dataDxfId="9">
      <calculatedColumnFormula>ComsumptionCategory[[#This Row],[Factories and other industrial premises]]/ComsumptionCategory[[#This Row],[ConsumptionTotal]]</calculatedColumnFormula>
    </tableColumn>
    <tableColumn id="11" xr3:uid="{BBC592E0-0139-4F85-AD74-3C9C3845A686}" name="Public lighting%" dataDxfId="8">
      <calculatedColumnFormula>ComsumptionCategory[[#This Row],[Public lighting]]/ComsumptionCategory[[#This Row],[ConsumptionTotal]]</calculatedColumnFormula>
    </tableColumn>
    <tableColumn id="12" xr3:uid="{2BB9852E-702B-4894-BC07-C877E6F67987}" name="Traction%" dataDxfId="7">
      <calculatedColumnFormula>ComsumptionCategory[[#This Row],[Traction]]/ComsumptionCategory[[#This Row],[ConsumptionTotal]]</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积分">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积分">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积分">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18C2-FAC1-42CD-9857-9D8BAFE89AD7}">
  <dimension ref="A1:L13"/>
  <sheetViews>
    <sheetView tabSelected="1" topLeftCell="B1" zoomScale="142" workbookViewId="0">
      <selection activeCell="G12" sqref="G12"/>
    </sheetView>
  </sheetViews>
  <sheetFormatPr defaultRowHeight="15.5" x14ac:dyDescent="0.4"/>
  <cols>
    <col min="1" max="1" width="6.796875" style="49" customWidth="1"/>
    <col min="2" max="2" width="25" style="49" customWidth="1"/>
    <col min="3" max="7" width="13.796875" style="49" customWidth="1"/>
    <col min="8" max="16384" width="8.796875" style="49"/>
  </cols>
  <sheetData>
    <row r="1" spans="1:12" ht="32.5" x14ac:dyDescent="0.4">
      <c r="A1" s="48" t="s">
        <v>49</v>
      </c>
      <c r="B1" s="48"/>
      <c r="C1" s="48"/>
      <c r="D1" s="48"/>
      <c r="E1" s="48"/>
      <c r="F1" s="48"/>
      <c r="G1" s="48"/>
      <c r="H1" s="48"/>
      <c r="I1" s="48"/>
      <c r="J1" s="48"/>
      <c r="K1" s="48"/>
      <c r="L1" s="48"/>
    </row>
    <row r="3" spans="1:12" x14ac:dyDescent="0.4">
      <c r="B3" t="s">
        <v>48</v>
      </c>
      <c r="C3" s="50"/>
      <c r="E3" s="49" t="s">
        <v>54</v>
      </c>
    </row>
    <row r="4" spans="1:12" x14ac:dyDescent="0.4">
      <c r="B4" t="s">
        <v>52</v>
      </c>
      <c r="E4" s="49" t="s">
        <v>63</v>
      </c>
    </row>
    <row r="5" spans="1:12" x14ac:dyDescent="0.4">
      <c r="B5" t="s">
        <v>53</v>
      </c>
      <c r="E5" s="49" t="s">
        <v>59</v>
      </c>
    </row>
    <row r="6" spans="1:12" x14ac:dyDescent="0.4">
      <c r="B6" t="s">
        <v>55</v>
      </c>
      <c r="E6" s="49" t="s">
        <v>60</v>
      </c>
    </row>
    <row r="7" spans="1:12" x14ac:dyDescent="0.4">
      <c r="B7" t="s">
        <v>57</v>
      </c>
      <c r="E7" s="49" t="s">
        <v>61</v>
      </c>
    </row>
    <row r="8" spans="1:12" x14ac:dyDescent="0.4">
      <c r="B8" t="s">
        <v>56</v>
      </c>
      <c r="E8" s="49" t="s">
        <v>64</v>
      </c>
    </row>
    <row r="9" spans="1:12" x14ac:dyDescent="0.4">
      <c r="B9" t="s">
        <v>57</v>
      </c>
      <c r="E9" s="49" t="s">
        <v>62</v>
      </c>
    </row>
    <row r="10" spans="1:12" x14ac:dyDescent="0.4">
      <c r="B10" t="s">
        <v>58</v>
      </c>
      <c r="E10" s="49" t="s">
        <v>64</v>
      </c>
    </row>
    <row r="12" spans="1:12" x14ac:dyDescent="0.4">
      <c r="B12" s="51" t="s">
        <v>50</v>
      </c>
    </row>
    <row r="13" spans="1:12" x14ac:dyDescent="0.4">
      <c r="B13" s="51" t="s">
        <v>51</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A574-184F-4943-BF83-6EC630671403}">
  <dimension ref="A1:B21"/>
  <sheetViews>
    <sheetView workbookViewId="0"/>
  </sheetViews>
  <sheetFormatPr defaultRowHeight="15.5" x14ac:dyDescent="0.4"/>
  <sheetData>
    <row r="1" spans="1:2" x14ac:dyDescent="0.4">
      <c r="A1">
        <v>1.2948475856487725E-2</v>
      </c>
      <c r="B1">
        <v>0.5</v>
      </c>
    </row>
    <row r="2" spans="1:2" x14ac:dyDescent="0.4">
      <c r="A2">
        <v>1.2948475856487725E-2</v>
      </c>
      <c r="B2">
        <v>1</v>
      </c>
    </row>
    <row r="3" spans="1:2" x14ac:dyDescent="0.4">
      <c r="A3">
        <v>1.2948475856487725E-2</v>
      </c>
      <c r="B3">
        <v>1.5</v>
      </c>
    </row>
    <row r="4" spans="1:2" x14ac:dyDescent="0.4">
      <c r="A4">
        <v>1.2948475856487725E-2</v>
      </c>
      <c r="B4">
        <v>0.5</v>
      </c>
    </row>
    <row r="5" spans="1:2" x14ac:dyDescent="0.4">
      <c r="A5">
        <v>1.2948475856487725E-2</v>
      </c>
      <c r="B5">
        <v>1</v>
      </c>
    </row>
    <row r="6" spans="1:2" x14ac:dyDescent="0.4">
      <c r="A6">
        <v>1.2948475856487725E-2</v>
      </c>
      <c r="B6">
        <v>1.5</v>
      </c>
    </row>
    <row r="7" spans="1:2" x14ac:dyDescent="0.4">
      <c r="A7">
        <v>0.1073644456433774</v>
      </c>
      <c r="B7">
        <v>0.5</v>
      </c>
    </row>
    <row r="8" spans="1:2" x14ac:dyDescent="0.4">
      <c r="A8">
        <v>0.1073644456433774</v>
      </c>
      <c r="B8">
        <v>1</v>
      </c>
    </row>
    <row r="9" spans="1:2" x14ac:dyDescent="0.4">
      <c r="A9">
        <v>0.1073644456433774</v>
      </c>
      <c r="B9">
        <v>1.5</v>
      </c>
    </row>
    <row r="10" spans="1:2" x14ac:dyDescent="0.4">
      <c r="A10">
        <v>0.68653898030752625</v>
      </c>
      <c r="B10">
        <v>0.5</v>
      </c>
    </row>
    <row r="11" spans="1:2" x14ac:dyDescent="0.4">
      <c r="A11">
        <v>0.68653898030752625</v>
      </c>
      <c r="B11">
        <v>1</v>
      </c>
    </row>
    <row r="12" spans="1:2" x14ac:dyDescent="0.4">
      <c r="A12">
        <v>0.68653898030752625</v>
      </c>
      <c r="B12">
        <v>1.5</v>
      </c>
    </row>
    <row r="13" spans="1:2" x14ac:dyDescent="0.4">
      <c r="A13">
        <v>0.68653898030752625</v>
      </c>
      <c r="B13">
        <v>0.5</v>
      </c>
    </row>
    <row r="14" spans="1:2" x14ac:dyDescent="0.4">
      <c r="A14">
        <v>0.68653898030752625</v>
      </c>
      <c r="B14">
        <v>1</v>
      </c>
    </row>
    <row r="15" spans="1:2" x14ac:dyDescent="0.4">
      <c r="A15">
        <v>0.68653898030752625</v>
      </c>
      <c r="B15">
        <v>1.5</v>
      </c>
    </row>
    <row r="16" spans="1:2" x14ac:dyDescent="0.4">
      <c r="A16">
        <v>1.2948475856487725E-2</v>
      </c>
      <c r="B16">
        <v>1</v>
      </c>
    </row>
    <row r="17" spans="1:2" x14ac:dyDescent="0.4">
      <c r="A17">
        <v>0.68653898030752625</v>
      </c>
      <c r="B17">
        <v>1</v>
      </c>
    </row>
    <row r="18" spans="1:2" x14ac:dyDescent="0.4">
      <c r="A18">
        <v>1.2948475856487725E-2</v>
      </c>
      <c r="B18">
        <v>0.5</v>
      </c>
    </row>
    <row r="19" spans="1:2" x14ac:dyDescent="0.4">
      <c r="A19">
        <v>0.68653898030752625</v>
      </c>
      <c r="B19">
        <v>0.5</v>
      </c>
    </row>
    <row r="20" spans="1:2" x14ac:dyDescent="0.4">
      <c r="A20">
        <v>1.2948475856487725E-2</v>
      </c>
      <c r="B20">
        <v>1.5</v>
      </c>
    </row>
    <row r="21" spans="1:2" x14ac:dyDescent="0.4">
      <c r="A21">
        <v>0.68653898030752625</v>
      </c>
      <c r="B21">
        <v>1.5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D474-ED9C-41BB-9515-5F9B84F3A526}">
  <dimension ref="A1:AV4"/>
  <sheetViews>
    <sheetView showGridLines="0" topLeftCell="A6" zoomScale="92" zoomScaleNormal="145" workbookViewId="0"/>
  </sheetViews>
  <sheetFormatPr defaultRowHeight="15.5" x14ac:dyDescent="0.4"/>
  <cols>
    <col min="13" max="13" width="11.69921875" customWidth="1"/>
    <col min="14" max="14" width="8.796875" style="40"/>
  </cols>
  <sheetData>
    <row r="1" spans="1:48" x14ac:dyDescent="0.4">
      <c r="A1" s="39"/>
      <c r="B1" s="39"/>
      <c r="C1" s="39"/>
      <c r="D1" s="39"/>
      <c r="E1" s="39"/>
      <c r="F1" s="39"/>
      <c r="G1" s="39"/>
      <c r="H1" s="39"/>
      <c r="I1" s="39"/>
      <c r="J1" s="39"/>
      <c r="K1" s="39"/>
      <c r="L1" s="39"/>
      <c r="M1" s="39"/>
      <c r="N1" s="47"/>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row>
    <row r="2" spans="1:48" x14ac:dyDescent="0.4">
      <c r="A2" s="39"/>
      <c r="B2" s="39"/>
      <c r="C2" s="39"/>
      <c r="D2" s="39"/>
      <c r="E2" s="39"/>
      <c r="F2" s="39"/>
      <c r="G2" s="39"/>
      <c r="H2" s="39"/>
      <c r="I2" s="39"/>
      <c r="J2" s="39"/>
      <c r="K2" s="39"/>
      <c r="L2" s="39"/>
      <c r="M2" s="39"/>
      <c r="N2" s="47"/>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row>
    <row r="4" spans="1:48" x14ac:dyDescent="0.4">
      <c r="E4" s="46" t="s">
        <v>46</v>
      </c>
      <c r="J4" s="46" t="s">
        <v>47</v>
      </c>
    </row>
  </sheetData>
  <phoneticPr fontId="1" type="noConversion"/>
  <conditionalFormatting sqref="M4">
    <cfRule type="iconSet" priority="1">
      <iconSet iconSet="3Arrows">
        <cfvo type="percent" val="0"/>
        <cfvo type="percent" val="33"/>
        <cfvo type="percent" val="67"/>
      </iconSet>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AE5F-72C7-465D-B935-E44E8A065E34}">
  <dimension ref="A3:AJ8"/>
  <sheetViews>
    <sheetView workbookViewId="0">
      <selection activeCell="I25" sqref="I25"/>
    </sheetView>
  </sheetViews>
  <sheetFormatPr defaultRowHeight="15.5" x14ac:dyDescent="0.4"/>
  <cols>
    <col min="1" max="1" width="37.69921875" bestFit="1" customWidth="1"/>
    <col min="2" max="2" width="18.69921875" bestFit="1" customWidth="1"/>
    <col min="3" max="11" width="7.3984375" bestFit="1" customWidth="1"/>
    <col min="12" max="12" width="12.59765625" bestFit="1" customWidth="1"/>
    <col min="13" max="14" width="8.3984375" bestFit="1" customWidth="1"/>
    <col min="15" max="15" width="11.5" bestFit="1" customWidth="1"/>
    <col min="16" max="16" width="7.3984375" bestFit="1" customWidth="1"/>
    <col min="17" max="23" width="8.3984375" bestFit="1" customWidth="1"/>
    <col min="24" max="35" width="12.59765625" bestFit="1" customWidth="1"/>
    <col min="36" max="36" width="13.3984375" bestFit="1"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6" x14ac:dyDescent="0.4">
      <c r="B3" s="22" t="s">
        <v>19</v>
      </c>
    </row>
    <row r="4" spans="1:36"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c r="AJ4" t="s">
        <v>20</v>
      </c>
    </row>
    <row r="5" spans="1:36" x14ac:dyDescent="0.4">
      <c r="A5" s="23" t="s">
        <v>39</v>
      </c>
      <c r="B5" s="21">
        <v>22.869999999999997</v>
      </c>
      <c r="C5" s="21">
        <v>22.96</v>
      </c>
      <c r="D5" s="21">
        <v>23.35</v>
      </c>
      <c r="E5" s="21">
        <v>24.98</v>
      </c>
      <c r="F5" s="21">
        <v>24.99</v>
      </c>
      <c r="G5" s="21">
        <v>26.22</v>
      </c>
      <c r="H5" s="21">
        <v>23.79</v>
      </c>
      <c r="I5" s="21">
        <v>22.84</v>
      </c>
      <c r="J5" s="21">
        <v>31</v>
      </c>
      <c r="K5" s="21">
        <v>30.32</v>
      </c>
      <c r="L5" s="21">
        <v>29.335820378171377</v>
      </c>
      <c r="M5" s="21">
        <v>27.13799999999992</v>
      </c>
      <c r="N5" s="21">
        <v>29.817999999999984</v>
      </c>
      <c r="O5" s="21">
        <v>29.862092500000017</v>
      </c>
      <c r="P5" s="21">
        <v>31.144000000000062</v>
      </c>
      <c r="Q5" s="21">
        <v>32.06899999999996</v>
      </c>
      <c r="R5" s="21">
        <v>30.963000000000022</v>
      </c>
      <c r="S5" s="21">
        <v>32.069999999999993</v>
      </c>
      <c r="T5" s="21">
        <v>33.175000000000011</v>
      </c>
      <c r="U5" s="21">
        <v>27.901999999999987</v>
      </c>
      <c r="V5" s="21">
        <v>27.514999999999986</v>
      </c>
      <c r="W5" s="21">
        <v>27.829999999999984</v>
      </c>
      <c r="X5" s="21">
        <v>28.103088246584264</v>
      </c>
      <c r="Y5" s="21">
        <v>28.146647523920137</v>
      </c>
      <c r="Z5" s="21">
        <v>26.886139576402741</v>
      </c>
      <c r="AA5" s="21">
        <v>27.990325990739677</v>
      </c>
      <c r="AB5" s="21">
        <v>28.294464938848591</v>
      </c>
      <c r="AC5" s="21">
        <v>26.550207919646084</v>
      </c>
      <c r="AD5" s="21">
        <v>27.44832391648896</v>
      </c>
      <c r="AE5" s="21">
        <v>28.195732879669038</v>
      </c>
      <c r="AF5" s="21">
        <v>26.33047552940468</v>
      </c>
      <c r="AG5" s="21">
        <v>26.834961398972951</v>
      </c>
      <c r="AH5" s="21">
        <v>25.704315442965196</v>
      </c>
      <c r="AI5" s="21">
        <v>26.731934974370901</v>
      </c>
      <c r="AJ5" s="21">
        <v>939.3585312161847</v>
      </c>
    </row>
    <row r="6" spans="1:36" x14ac:dyDescent="0.4">
      <c r="A6" s="23" t="s">
        <v>40</v>
      </c>
      <c r="B6" s="21">
        <v>277.45000000000005</v>
      </c>
      <c r="C6" s="21">
        <v>291.33999999999997</v>
      </c>
      <c r="D6" s="21">
        <v>297.85000000000002</v>
      </c>
      <c r="E6" s="21">
        <v>304.38</v>
      </c>
      <c r="F6" s="21">
        <v>309.41000000000003</v>
      </c>
      <c r="G6" s="21">
        <v>317.06</v>
      </c>
      <c r="H6" s="21">
        <v>315.24</v>
      </c>
      <c r="I6" s="21">
        <v>318.58999999999997</v>
      </c>
      <c r="J6" s="21">
        <v>323.83</v>
      </c>
      <c r="K6" s="21">
        <v>334.24</v>
      </c>
      <c r="L6" s="21">
        <v>349.11399999999998</v>
      </c>
      <c r="M6" s="21">
        <v>348.20299999999997</v>
      </c>
      <c r="N6" s="21">
        <v>355.16800000000001</v>
      </c>
      <c r="O6" s="21">
        <v>361.91500000000002</v>
      </c>
      <c r="P6" s="21">
        <v>371.44</v>
      </c>
      <c r="Q6" s="21">
        <v>374.57299999999998</v>
      </c>
      <c r="R6" s="21">
        <v>375.072</v>
      </c>
      <c r="S6" s="21">
        <v>378.68700000000001</v>
      </c>
      <c r="T6" s="21">
        <v>380.88900000000001</v>
      </c>
      <c r="U6" s="21">
        <v>385.101</v>
      </c>
      <c r="V6" s="21">
        <v>381.37799999999999</v>
      </c>
      <c r="W6" s="21">
        <v>379.279</v>
      </c>
      <c r="X6" s="21">
        <v>378.20208824658425</v>
      </c>
      <c r="Y6" s="21">
        <v>358.16664752392012</v>
      </c>
      <c r="Z6" s="21">
        <v>364.39742129388071</v>
      </c>
      <c r="AA6" s="21">
        <v>353.9093971002103</v>
      </c>
      <c r="AB6" s="21">
        <v>353.77634283584899</v>
      </c>
      <c r="AC6" s="21">
        <v>350.93505425089103</v>
      </c>
      <c r="AD6" s="21">
        <v>338.2527608585354</v>
      </c>
      <c r="AE6" s="21">
        <v>339.61849377519889</v>
      </c>
      <c r="AF6" s="21">
        <v>337.62736485770932</v>
      </c>
      <c r="AG6" s="21">
        <v>333.62784075741234</v>
      </c>
      <c r="AH6" s="21">
        <v>333.07891223657015</v>
      </c>
      <c r="AI6" s="21">
        <v>328.73682079773101</v>
      </c>
      <c r="AJ6" s="21">
        <v>11700.538144534488</v>
      </c>
    </row>
    <row r="7" spans="1:36" x14ac:dyDescent="0.4">
      <c r="A7" s="23" t="s">
        <v>41</v>
      </c>
      <c r="B7" s="21">
        <v>4.26</v>
      </c>
      <c r="C7" s="21">
        <v>11.64</v>
      </c>
      <c r="D7" s="21">
        <v>12.14</v>
      </c>
      <c r="E7" s="21">
        <v>12.63</v>
      </c>
      <c r="F7" s="21">
        <v>11.91</v>
      </c>
      <c r="G7" s="21">
        <v>16.41</v>
      </c>
      <c r="H7" s="21">
        <v>16.690000000000001</v>
      </c>
      <c r="I7" s="21">
        <v>16.72</v>
      </c>
      <c r="J7" s="21">
        <v>16.89</v>
      </c>
      <c r="K7" s="21">
        <v>16.61</v>
      </c>
      <c r="L7" s="21">
        <v>16.754999999999999</v>
      </c>
      <c r="M7" s="21">
        <v>16.574000000000002</v>
      </c>
      <c r="N7" s="21">
        <v>12.468</v>
      </c>
      <c r="O7" s="21">
        <v>14.244</v>
      </c>
      <c r="P7" s="21">
        <v>14.173999999999999</v>
      </c>
      <c r="Q7" s="21">
        <v>10.398999999999999</v>
      </c>
      <c r="R7" s="21">
        <v>8.4139999999999997</v>
      </c>
      <c r="S7" s="21">
        <v>2.16</v>
      </c>
      <c r="T7" s="21">
        <v>7.49</v>
      </c>
      <c r="U7" s="21">
        <v>8.3209999999999997</v>
      </c>
      <c r="V7" s="21">
        <v>7.5170000000000003</v>
      </c>
      <c r="W7" s="21">
        <v>5.2149999999999999</v>
      </c>
      <c r="X7" s="21">
        <v>11.0221016590168</v>
      </c>
      <c r="Y7" s="21">
        <v>2.8608092699318002</v>
      </c>
      <c r="Z7" s="21">
        <v>2.6634084573440799</v>
      </c>
      <c r="AA7" s="21">
        <v>6.22189679804581</v>
      </c>
      <c r="AB7" s="21">
        <v>11.863935920999999</v>
      </c>
      <c r="AC7" s="21">
        <v>14.430889886499999</v>
      </c>
      <c r="AD7" s="21">
        <v>20.519788353500001</v>
      </c>
      <c r="AE7" s="21">
        <v>21.105558817999999</v>
      </c>
      <c r="AF7" s="21">
        <v>17.745057308</v>
      </c>
      <c r="AG7" s="21">
        <v>14.7599309418269</v>
      </c>
      <c r="AH7" s="21">
        <v>19.107650939999999</v>
      </c>
      <c r="AI7" s="21">
        <v>21.170470099999999</v>
      </c>
      <c r="AJ7" s="21">
        <v>423.10249845316537</v>
      </c>
    </row>
    <row r="8" spans="1:36" x14ac:dyDescent="0.4">
      <c r="A8" s="23" t="s">
        <v>42</v>
      </c>
      <c r="B8" s="21">
        <v>0.55000000000000004</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0.55000000000000004</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D520-C07D-418A-B975-141EBCEE9E4F}">
  <dimension ref="A3:AI7"/>
  <sheetViews>
    <sheetView workbookViewId="0"/>
  </sheetViews>
  <sheetFormatPr defaultRowHeight="15.5" x14ac:dyDescent="0.4"/>
  <cols>
    <col min="1" max="1" width="22.09765625" bestFit="1" customWidth="1"/>
    <col min="2" max="2" width="18.69921875" bestFit="1" customWidth="1"/>
    <col min="3" max="5" width="6.5" bestFit="1" customWidth="1"/>
    <col min="6" max="6" width="7.5" bestFit="1" customWidth="1"/>
    <col min="7" max="8" width="6.5" bestFit="1" customWidth="1"/>
    <col min="9" max="35" width="7.5" bestFit="1" customWidth="1"/>
    <col min="36" max="36" width="12.3984375"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5" x14ac:dyDescent="0.4">
      <c r="B3" s="22" t="s">
        <v>19</v>
      </c>
    </row>
    <row r="4" spans="1:35"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row>
    <row r="5" spans="1:35" x14ac:dyDescent="0.4">
      <c r="A5" s="23" t="s">
        <v>36</v>
      </c>
      <c r="B5" s="24">
        <v>91.83</v>
      </c>
      <c r="C5" s="24">
        <v>93.25</v>
      </c>
      <c r="D5" s="24">
        <v>92.36</v>
      </c>
      <c r="E5" s="24">
        <v>92.27</v>
      </c>
      <c r="F5" s="24">
        <v>93.79</v>
      </c>
      <c r="G5" s="24">
        <v>98.1</v>
      </c>
      <c r="H5" s="24">
        <v>99.48</v>
      </c>
      <c r="I5" s="24">
        <v>100.46</v>
      </c>
      <c r="J5" s="24">
        <v>101.41</v>
      </c>
      <c r="K5" s="24">
        <v>102.21</v>
      </c>
      <c r="L5" s="24">
        <v>107.51300000000001</v>
      </c>
      <c r="M5" s="24">
        <v>104.455</v>
      </c>
      <c r="N5" s="24">
        <v>109.41</v>
      </c>
      <c r="O5" s="24">
        <v>110.30800000000001</v>
      </c>
      <c r="P5" s="24">
        <v>111.842</v>
      </c>
      <c r="Q5" s="24">
        <v>115.337</v>
      </c>
      <c r="R5" s="24">
        <v>120.014</v>
      </c>
      <c r="S5" s="24">
        <v>123.001</v>
      </c>
      <c r="T5" s="24">
        <v>124.2</v>
      </c>
      <c r="U5" s="24">
        <v>125.711</v>
      </c>
      <c r="V5" s="24">
        <v>124.70399999999999</v>
      </c>
      <c r="W5" s="24">
        <v>123.07599999999999</v>
      </c>
      <c r="X5" s="24">
        <v>119.79999999999998</v>
      </c>
      <c r="Y5" s="24">
        <v>118.54079334272313</v>
      </c>
      <c r="Z5" s="24">
        <v>118.83195263410775</v>
      </c>
      <c r="AA5" s="24">
        <v>111.58641761428098</v>
      </c>
      <c r="AB5" s="24">
        <v>114.66262542679949</v>
      </c>
      <c r="AC5" s="24">
        <v>113.41247237181817</v>
      </c>
      <c r="AD5" s="24">
        <v>108.07609974809642</v>
      </c>
      <c r="AE5" s="24">
        <v>107.76384778252712</v>
      </c>
      <c r="AF5" s="24">
        <v>108.02504338198162</v>
      </c>
      <c r="AG5" s="24">
        <v>105.36790073945924</v>
      </c>
      <c r="AH5" s="24">
        <v>105.06454676977907</v>
      </c>
      <c r="AI5" s="24">
        <v>103.82486478730694</v>
      </c>
    </row>
    <row r="6" spans="1:35" x14ac:dyDescent="0.4">
      <c r="A6" s="23" t="s">
        <v>37</v>
      </c>
      <c r="B6" s="24">
        <v>69.680000000000007</v>
      </c>
      <c r="C6" s="24">
        <v>72.5</v>
      </c>
      <c r="D6" s="24">
        <v>75.84</v>
      </c>
      <c r="E6" s="24">
        <v>78.709999999999994</v>
      </c>
      <c r="F6" s="24">
        <v>80</v>
      </c>
      <c r="G6" s="24">
        <v>83.38</v>
      </c>
      <c r="H6" s="24">
        <v>86.71</v>
      </c>
      <c r="I6" s="24">
        <v>88.83</v>
      </c>
      <c r="J6" s="24">
        <v>87.78</v>
      </c>
      <c r="K6" s="24">
        <v>91.86</v>
      </c>
      <c r="L6" s="24">
        <v>95.423000000000002</v>
      </c>
      <c r="M6" s="24">
        <v>99.884</v>
      </c>
      <c r="N6" s="24">
        <v>99.090999999999994</v>
      </c>
      <c r="O6" s="24">
        <v>101.4579075</v>
      </c>
      <c r="P6" s="24">
        <v>103.465</v>
      </c>
      <c r="Q6" s="24">
        <v>106.047</v>
      </c>
      <c r="R6" s="24">
        <v>103.21899999999999</v>
      </c>
      <c r="S6" s="24">
        <v>103.938</v>
      </c>
      <c r="T6" s="24">
        <v>103.28</v>
      </c>
      <c r="U6" s="24">
        <v>106.93899999999999</v>
      </c>
      <c r="V6" s="24">
        <v>105.629</v>
      </c>
      <c r="W6" s="24">
        <v>105.78100000000001</v>
      </c>
      <c r="X6" s="24">
        <v>107.87120397034751</v>
      </c>
      <c r="Y6" s="24">
        <v>103.46928503823607</v>
      </c>
      <c r="Z6" s="24">
        <v>105.46783489680477</v>
      </c>
      <c r="AA6" s="24">
        <v>103.87087061546734</v>
      </c>
      <c r="AB6" s="24">
        <v>105.15309957418515</v>
      </c>
      <c r="AC6" s="24">
        <v>105.8780785569799</v>
      </c>
      <c r="AD6" s="24">
        <v>101.7048800374592</v>
      </c>
      <c r="AE6" s="24">
        <v>102.77777527594614</v>
      </c>
      <c r="AF6" s="24">
        <v>102.69234608922069</v>
      </c>
      <c r="AG6" s="24">
        <v>101.97298126564652</v>
      </c>
      <c r="AH6" s="24">
        <v>101.50841817946066</v>
      </c>
      <c r="AI6" s="24">
        <v>99.817527624463054</v>
      </c>
    </row>
    <row r="7" spans="1:35" x14ac:dyDescent="0.4">
      <c r="A7" s="23" t="s">
        <v>38</v>
      </c>
      <c r="B7" s="24">
        <v>84.474999999999994</v>
      </c>
      <c r="C7" s="24">
        <v>93.14</v>
      </c>
      <c r="D7" s="24">
        <v>97.14</v>
      </c>
      <c r="E7" s="24">
        <v>99.42</v>
      </c>
      <c r="F7" s="24">
        <v>100.64</v>
      </c>
      <c r="G7" s="24">
        <v>99.57</v>
      </c>
      <c r="H7" s="24">
        <v>95.28</v>
      </c>
      <c r="I7" s="24">
        <v>96.84</v>
      </c>
      <c r="J7" s="24">
        <v>96.12</v>
      </c>
      <c r="K7" s="24">
        <v>101.78</v>
      </c>
      <c r="L7" s="24">
        <v>107.63117962182857</v>
      </c>
      <c r="M7" s="24">
        <v>108.102</v>
      </c>
      <c r="N7" s="24">
        <v>108.44300000000001</v>
      </c>
      <c r="O7" s="24">
        <v>112.25</v>
      </c>
      <c r="P7" s="24">
        <v>115.286</v>
      </c>
      <c r="Q7" s="24">
        <v>112.495</v>
      </c>
      <c r="R7" s="24">
        <v>110.81635801793379</v>
      </c>
      <c r="S7" s="24">
        <v>109.92642290720676</v>
      </c>
      <c r="T7" s="24">
        <v>112.09163580940715</v>
      </c>
      <c r="U7" s="24">
        <v>116.69927453685709</v>
      </c>
      <c r="V7" s="24">
        <v>115.53260105945772</v>
      </c>
      <c r="W7" s="24">
        <v>113.40574873758105</v>
      </c>
      <c r="X7" s="24">
        <v>114.15090713070066</v>
      </c>
      <c r="Y7" s="24">
        <v>99.737984526683377</v>
      </c>
      <c r="Z7" s="24">
        <v>104.95839178283407</v>
      </c>
      <c r="AA7" s="24">
        <v>102.79588669814831</v>
      </c>
      <c r="AB7" s="24">
        <v>98.941135807560087</v>
      </c>
      <c r="AC7" s="24">
        <v>97.553173513596107</v>
      </c>
      <c r="AD7" s="24">
        <v>93.565807256448807</v>
      </c>
      <c r="AE7" s="24">
        <v>93.349754369600092</v>
      </c>
      <c r="AF7" s="24">
        <v>93.558442331984082</v>
      </c>
      <c r="AG7" s="24">
        <v>92.531828749346147</v>
      </c>
      <c r="AH7" s="24">
        <v>94.087756636450223</v>
      </c>
      <c r="AI7" s="24">
        <v>91.832910130757853</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6771-2E29-4DAE-A724-569712F4A90B}">
  <dimension ref="A3:F38"/>
  <sheetViews>
    <sheetView topLeftCell="F1" workbookViewId="0">
      <selection activeCell="X19" sqref="X19"/>
    </sheetView>
  </sheetViews>
  <sheetFormatPr defaultRowHeight="15.5" x14ac:dyDescent="0.4"/>
  <cols>
    <col min="1" max="1" width="15.19921875" bestFit="1" customWidth="1"/>
    <col min="2" max="2" width="34" bestFit="1" customWidth="1"/>
    <col min="3" max="3" width="28.796875" bestFit="1" customWidth="1"/>
    <col min="4" max="4" width="21.59765625" bestFit="1" customWidth="1"/>
    <col min="5" max="5" width="41.796875" bestFit="1" customWidth="1"/>
    <col min="6" max="6" width="32.09765625" bestFit="1" customWidth="1"/>
  </cols>
  <sheetData>
    <row r="3" spans="1:6" x14ac:dyDescent="0.4">
      <c r="A3" s="22" t="s">
        <v>21</v>
      </c>
      <c r="B3" t="s">
        <v>43</v>
      </c>
      <c r="C3" t="s">
        <v>40</v>
      </c>
      <c r="D3" t="s">
        <v>41</v>
      </c>
      <c r="E3" t="s">
        <v>42</v>
      </c>
      <c r="F3" t="s">
        <v>39</v>
      </c>
    </row>
    <row r="4" spans="1:6" x14ac:dyDescent="0.4">
      <c r="A4" s="23">
        <v>1986</v>
      </c>
      <c r="B4" s="21">
        <v>272.64499999999998</v>
      </c>
      <c r="C4" s="21">
        <v>277.45000000000005</v>
      </c>
      <c r="D4" s="21">
        <v>4.26</v>
      </c>
      <c r="E4" s="21">
        <v>0.55000000000000004</v>
      </c>
      <c r="F4" s="21">
        <v>22.869999999999997</v>
      </c>
    </row>
    <row r="5" spans="1:6" x14ac:dyDescent="0.4">
      <c r="A5" s="23">
        <v>1987</v>
      </c>
      <c r="B5" s="21">
        <v>279.70999999999998</v>
      </c>
      <c r="C5" s="21">
        <v>291.33999999999997</v>
      </c>
      <c r="D5" s="21">
        <v>11.64</v>
      </c>
      <c r="E5" s="21">
        <v>0</v>
      </c>
      <c r="F5" s="21">
        <v>22.96</v>
      </c>
    </row>
    <row r="6" spans="1:6" x14ac:dyDescent="0.4">
      <c r="A6" s="23">
        <v>1988</v>
      </c>
      <c r="B6" s="21">
        <v>285.70999999999998</v>
      </c>
      <c r="C6" s="21">
        <v>297.85000000000002</v>
      </c>
      <c r="D6" s="21">
        <v>12.14</v>
      </c>
      <c r="E6" s="21">
        <v>0</v>
      </c>
      <c r="F6" s="21">
        <v>23.35</v>
      </c>
    </row>
    <row r="7" spans="1:6" x14ac:dyDescent="0.4">
      <c r="A7" s="23">
        <v>1989</v>
      </c>
      <c r="B7" s="21">
        <v>291.75</v>
      </c>
      <c r="C7" s="21">
        <v>304.38</v>
      </c>
      <c r="D7" s="21">
        <v>12.63</v>
      </c>
      <c r="E7" s="21">
        <v>0</v>
      </c>
      <c r="F7" s="21">
        <v>24.98</v>
      </c>
    </row>
    <row r="8" spans="1:6" x14ac:dyDescent="0.4">
      <c r="A8" s="23">
        <v>1990</v>
      </c>
      <c r="B8" s="21">
        <v>297.5</v>
      </c>
      <c r="C8" s="21">
        <v>309.41000000000003</v>
      </c>
      <c r="D8" s="21">
        <v>11.91</v>
      </c>
      <c r="E8" s="21">
        <v>0</v>
      </c>
      <c r="F8" s="21">
        <v>24.99</v>
      </c>
    </row>
    <row r="9" spans="1:6" x14ac:dyDescent="0.4">
      <c r="A9" s="23">
        <v>1991</v>
      </c>
      <c r="B9" s="21">
        <v>300.64999999999998</v>
      </c>
      <c r="C9" s="21">
        <v>317.06</v>
      </c>
      <c r="D9" s="21">
        <v>16.41</v>
      </c>
      <c r="E9" s="21">
        <v>0</v>
      </c>
      <c r="F9" s="21">
        <v>26.22</v>
      </c>
    </row>
    <row r="10" spans="1:6" x14ac:dyDescent="0.4">
      <c r="A10" s="23">
        <v>1992</v>
      </c>
      <c r="B10" s="21">
        <v>298.55</v>
      </c>
      <c r="C10" s="21">
        <v>315.24</v>
      </c>
      <c r="D10" s="21">
        <v>16.690000000000001</v>
      </c>
      <c r="E10" s="21">
        <v>0</v>
      </c>
      <c r="F10" s="21">
        <v>23.79</v>
      </c>
    </row>
    <row r="11" spans="1:6" x14ac:dyDescent="0.4">
      <c r="A11" s="23">
        <v>1993</v>
      </c>
      <c r="B11" s="21">
        <v>301.87</v>
      </c>
      <c r="C11" s="21">
        <v>318.58999999999997</v>
      </c>
      <c r="D11" s="21">
        <v>16.72</v>
      </c>
      <c r="E11" s="21">
        <v>0</v>
      </c>
      <c r="F11" s="21">
        <v>22.84</v>
      </c>
    </row>
    <row r="12" spans="1:6" x14ac:dyDescent="0.4">
      <c r="A12" s="23">
        <v>1994</v>
      </c>
      <c r="B12" s="21">
        <v>306.94</v>
      </c>
      <c r="C12" s="21">
        <v>323.83</v>
      </c>
      <c r="D12" s="21">
        <v>16.89</v>
      </c>
      <c r="E12" s="21">
        <v>0</v>
      </c>
      <c r="F12" s="21">
        <v>31</v>
      </c>
    </row>
    <row r="13" spans="1:6" x14ac:dyDescent="0.4">
      <c r="A13" s="23">
        <v>1995</v>
      </c>
      <c r="B13" s="21">
        <v>317.63</v>
      </c>
      <c r="C13" s="21">
        <v>334.24</v>
      </c>
      <c r="D13" s="21">
        <v>16.61</v>
      </c>
      <c r="E13" s="21">
        <v>0</v>
      </c>
      <c r="F13" s="21">
        <v>30.32</v>
      </c>
    </row>
    <row r="14" spans="1:6" x14ac:dyDescent="0.4">
      <c r="A14" s="23">
        <v>1996</v>
      </c>
      <c r="B14" s="21">
        <v>332.35899999999998</v>
      </c>
      <c r="C14" s="21">
        <v>349.11399999999998</v>
      </c>
      <c r="D14" s="21">
        <v>16.754999999999999</v>
      </c>
      <c r="E14" s="21">
        <v>0</v>
      </c>
      <c r="F14" s="21">
        <v>29.335820378171377</v>
      </c>
    </row>
    <row r="15" spans="1:6" x14ac:dyDescent="0.4">
      <c r="A15" s="23">
        <v>1997</v>
      </c>
      <c r="B15" s="21">
        <v>331.62900000000002</v>
      </c>
      <c r="C15" s="21">
        <v>348.20299999999997</v>
      </c>
      <c r="D15" s="21">
        <v>16.574000000000002</v>
      </c>
      <c r="E15" s="21">
        <v>0</v>
      </c>
      <c r="F15" s="21">
        <v>27.13799999999992</v>
      </c>
    </row>
    <row r="16" spans="1:6" x14ac:dyDescent="0.4">
      <c r="A16" s="23">
        <v>1998</v>
      </c>
      <c r="B16" s="21">
        <v>342.7</v>
      </c>
      <c r="C16" s="21">
        <v>355.16800000000001</v>
      </c>
      <c r="D16" s="21">
        <v>12.468</v>
      </c>
      <c r="E16" s="21">
        <v>0</v>
      </c>
      <c r="F16" s="21">
        <v>29.817999999999984</v>
      </c>
    </row>
    <row r="17" spans="1:6" x14ac:dyDescent="0.4">
      <c r="A17" s="23">
        <v>1999</v>
      </c>
      <c r="B17" s="21">
        <v>347.67099999999999</v>
      </c>
      <c r="C17" s="21">
        <v>361.91500000000002</v>
      </c>
      <c r="D17" s="21">
        <v>14.244</v>
      </c>
      <c r="E17" s="21">
        <v>0</v>
      </c>
      <c r="F17" s="21">
        <v>29.862092500000017</v>
      </c>
    </row>
    <row r="18" spans="1:6" x14ac:dyDescent="0.4">
      <c r="A18" s="23">
        <v>2000</v>
      </c>
      <c r="B18" s="21">
        <v>357.26600000000002</v>
      </c>
      <c r="C18" s="21">
        <v>371.44</v>
      </c>
      <c r="D18" s="21">
        <v>14.173999999999999</v>
      </c>
      <c r="E18" s="21">
        <v>0</v>
      </c>
      <c r="F18" s="21">
        <v>31.144000000000062</v>
      </c>
    </row>
    <row r="19" spans="1:6" x14ac:dyDescent="0.4">
      <c r="A19" s="23">
        <v>2001</v>
      </c>
      <c r="B19" s="21">
        <v>364.17399999999998</v>
      </c>
      <c r="C19" s="21">
        <v>374.57299999999998</v>
      </c>
      <c r="D19" s="21">
        <v>10.398999999999999</v>
      </c>
      <c r="E19" s="21">
        <v>0</v>
      </c>
      <c r="F19" s="21">
        <v>32.06899999999996</v>
      </c>
    </row>
    <row r="20" spans="1:6" x14ac:dyDescent="0.4">
      <c r="A20" s="23">
        <v>2002</v>
      </c>
      <c r="B20" s="21">
        <v>366.65799999999996</v>
      </c>
      <c r="C20" s="21">
        <v>375.072</v>
      </c>
      <c r="D20" s="21">
        <v>8.4139999999999997</v>
      </c>
      <c r="E20" s="21">
        <v>0</v>
      </c>
      <c r="F20" s="21">
        <v>30.963000000000022</v>
      </c>
    </row>
    <row r="21" spans="1:6" x14ac:dyDescent="0.4">
      <c r="A21" s="23">
        <v>2003</v>
      </c>
      <c r="B21" s="21">
        <v>376.52699999999999</v>
      </c>
      <c r="C21" s="21">
        <v>378.68700000000001</v>
      </c>
      <c r="D21" s="21">
        <v>2.16</v>
      </c>
      <c r="E21" s="21">
        <v>0</v>
      </c>
      <c r="F21" s="21">
        <v>32.069999999999993</v>
      </c>
    </row>
    <row r="22" spans="1:6" x14ac:dyDescent="0.4">
      <c r="A22" s="23">
        <v>2004</v>
      </c>
      <c r="B22" s="21">
        <v>373.399</v>
      </c>
      <c r="C22" s="21">
        <v>380.88900000000001</v>
      </c>
      <c r="D22" s="21">
        <v>7.49</v>
      </c>
      <c r="E22" s="21">
        <v>0</v>
      </c>
      <c r="F22" s="21">
        <v>33.175000000000011</v>
      </c>
    </row>
    <row r="23" spans="1:6" x14ac:dyDescent="0.4">
      <c r="A23" s="23">
        <v>2005</v>
      </c>
      <c r="B23" s="21">
        <v>376.78</v>
      </c>
      <c r="C23" s="21">
        <v>385.101</v>
      </c>
      <c r="D23" s="21">
        <v>8.3209999999999997</v>
      </c>
      <c r="E23" s="21">
        <v>0</v>
      </c>
      <c r="F23" s="21">
        <v>27.901999999999987</v>
      </c>
    </row>
    <row r="24" spans="1:6" x14ac:dyDescent="0.4">
      <c r="A24" s="23">
        <v>2006</v>
      </c>
      <c r="B24" s="21">
        <v>373.86099999999999</v>
      </c>
      <c r="C24" s="21">
        <v>381.37799999999999</v>
      </c>
      <c r="D24" s="21">
        <v>7.5170000000000003</v>
      </c>
      <c r="E24" s="21">
        <v>0</v>
      </c>
      <c r="F24" s="21">
        <v>27.514999999999986</v>
      </c>
    </row>
    <row r="25" spans="1:6" x14ac:dyDescent="0.4">
      <c r="A25" s="23">
        <v>2007</v>
      </c>
      <c r="B25" s="21">
        <v>374.06400000000002</v>
      </c>
      <c r="C25" s="21">
        <v>379.279</v>
      </c>
      <c r="D25" s="21">
        <v>5.2149999999999999</v>
      </c>
      <c r="E25" s="21">
        <v>0</v>
      </c>
      <c r="F25" s="21">
        <v>27.829999999999984</v>
      </c>
    </row>
    <row r="26" spans="1:6" x14ac:dyDescent="0.4">
      <c r="A26" s="23">
        <v>2008</v>
      </c>
      <c r="B26" s="21">
        <v>367.17998658756744</v>
      </c>
      <c r="C26" s="21">
        <v>378.20208824658425</v>
      </c>
      <c r="D26" s="21">
        <v>11.0221016590168</v>
      </c>
      <c r="E26" s="21">
        <v>0</v>
      </c>
      <c r="F26" s="21">
        <v>28.103088246584264</v>
      </c>
    </row>
    <row r="27" spans="1:6" x14ac:dyDescent="0.4">
      <c r="A27" s="23">
        <v>2009</v>
      </c>
      <c r="B27" s="21">
        <v>355.30583825398833</v>
      </c>
      <c r="C27" s="21">
        <v>358.16664752392012</v>
      </c>
      <c r="D27" s="21">
        <v>2.8608092699318002</v>
      </c>
      <c r="E27" s="21">
        <v>0</v>
      </c>
      <c r="F27" s="21">
        <v>28.146647523920137</v>
      </c>
    </row>
    <row r="28" spans="1:6" x14ac:dyDescent="0.4">
      <c r="A28" s="23">
        <v>2010</v>
      </c>
      <c r="B28" s="21">
        <v>361.73401283653669</v>
      </c>
      <c r="C28" s="21">
        <v>364.39742129388071</v>
      </c>
      <c r="D28" s="21">
        <v>2.6634084573440799</v>
      </c>
      <c r="E28" s="21">
        <v>0</v>
      </c>
      <c r="F28" s="21">
        <v>26.886139576402741</v>
      </c>
    </row>
    <row r="29" spans="1:6" x14ac:dyDescent="0.4">
      <c r="A29" s="23">
        <v>2011</v>
      </c>
      <c r="B29" s="21">
        <v>347.68750030216455</v>
      </c>
      <c r="C29" s="21">
        <v>353.9093971002103</v>
      </c>
      <c r="D29" s="21">
        <v>6.22189679804581</v>
      </c>
      <c r="E29" s="21">
        <v>0</v>
      </c>
      <c r="F29" s="21">
        <v>27.990325990739677</v>
      </c>
    </row>
    <row r="30" spans="1:6" x14ac:dyDescent="0.4">
      <c r="A30" s="23">
        <v>2012</v>
      </c>
      <c r="B30" s="21">
        <v>341.91240691484899</v>
      </c>
      <c r="C30" s="21">
        <v>353.77634283584899</v>
      </c>
      <c r="D30" s="21">
        <v>11.863935920999999</v>
      </c>
      <c r="E30" s="21">
        <v>0</v>
      </c>
      <c r="F30" s="21">
        <v>28.294464938848591</v>
      </c>
    </row>
    <row r="31" spans="1:6" x14ac:dyDescent="0.4">
      <c r="A31" s="23">
        <v>2013</v>
      </c>
      <c r="B31" s="21">
        <v>336.50416436439099</v>
      </c>
      <c r="C31" s="21">
        <v>350.93505425089103</v>
      </c>
      <c r="D31" s="21">
        <v>14.430889886499999</v>
      </c>
      <c r="E31" s="21">
        <v>0</v>
      </c>
      <c r="F31" s="21">
        <v>26.550207919646084</v>
      </c>
    </row>
    <row r="32" spans="1:6" x14ac:dyDescent="0.4">
      <c r="A32" s="23">
        <v>2014</v>
      </c>
      <c r="B32" s="21">
        <v>317.73297250503532</v>
      </c>
      <c r="C32" s="21">
        <v>338.2527608585354</v>
      </c>
      <c r="D32" s="21">
        <v>20.519788353500001</v>
      </c>
      <c r="E32" s="21">
        <v>0</v>
      </c>
      <c r="F32" s="21">
        <v>27.44832391648896</v>
      </c>
    </row>
    <row r="33" spans="1:6" x14ac:dyDescent="0.4">
      <c r="A33" s="23">
        <v>2015</v>
      </c>
      <c r="B33" s="21">
        <v>318.51293495719887</v>
      </c>
      <c r="C33" s="21">
        <v>339.61849377519889</v>
      </c>
      <c r="D33" s="21">
        <v>21.105558817999999</v>
      </c>
      <c r="E33" s="21">
        <v>0</v>
      </c>
      <c r="F33" s="21">
        <v>28.195732879669038</v>
      </c>
    </row>
    <row r="34" spans="1:6" x14ac:dyDescent="0.4">
      <c r="A34" s="23">
        <v>2016</v>
      </c>
      <c r="B34" s="21">
        <v>319.88230754970931</v>
      </c>
      <c r="C34" s="21">
        <v>337.62736485770932</v>
      </c>
      <c r="D34" s="21">
        <v>17.745057308</v>
      </c>
      <c r="E34" s="21">
        <v>0</v>
      </c>
      <c r="F34" s="21">
        <v>26.33047552940468</v>
      </c>
    </row>
    <row r="35" spans="1:6" x14ac:dyDescent="0.4">
      <c r="A35" s="23">
        <v>2017</v>
      </c>
      <c r="B35" s="21">
        <v>318.86790981558551</v>
      </c>
      <c r="C35" s="21">
        <v>333.62784075741234</v>
      </c>
      <c r="D35" s="21">
        <v>14.7599309418269</v>
      </c>
      <c r="E35" s="21">
        <v>0</v>
      </c>
      <c r="F35" s="21">
        <v>26.834961398972951</v>
      </c>
    </row>
    <row r="36" spans="1:6" x14ac:dyDescent="0.4">
      <c r="A36" s="23">
        <v>2018</v>
      </c>
      <c r="B36" s="21">
        <v>313.97126129657011</v>
      </c>
      <c r="C36" s="21">
        <v>333.07891223657015</v>
      </c>
      <c r="D36" s="21">
        <v>19.107650939999999</v>
      </c>
      <c r="E36" s="21">
        <v>0</v>
      </c>
      <c r="F36" s="21">
        <v>25.704315442965196</v>
      </c>
    </row>
    <row r="37" spans="1:6" x14ac:dyDescent="0.4">
      <c r="A37" s="23">
        <v>2019</v>
      </c>
      <c r="B37" s="21">
        <v>307.56635069773097</v>
      </c>
      <c r="C37" s="21">
        <v>328.73682079773101</v>
      </c>
      <c r="D37" s="21">
        <v>21.170470099999999</v>
      </c>
      <c r="E37" s="21">
        <v>0</v>
      </c>
      <c r="F37" s="21">
        <v>26.731934974370901</v>
      </c>
    </row>
    <row r="38" spans="1:6" x14ac:dyDescent="0.4">
      <c r="A38" s="23" t="s">
        <v>20</v>
      </c>
      <c r="B38" s="21">
        <v>11276.900646081327</v>
      </c>
      <c r="C38" s="21">
        <v>11700.538144534488</v>
      </c>
      <c r="D38" s="21">
        <v>423.10249845316537</v>
      </c>
      <c r="E38" s="21">
        <v>0.55000000000000004</v>
      </c>
      <c r="F38" s="21">
        <v>939.3585312161847</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11D6-51D3-41F7-9539-55F3774A7818}">
  <dimension ref="A1:E4"/>
  <sheetViews>
    <sheetView workbookViewId="0"/>
  </sheetViews>
  <sheetFormatPr defaultRowHeight="15.5" x14ac:dyDescent="0.4"/>
  <cols>
    <col min="1" max="1" width="25.8984375" bestFit="1" customWidth="1"/>
    <col min="2" max="2" width="58.8984375" bestFit="1" customWidth="1"/>
    <col min="3" max="3" width="51.5" bestFit="1" customWidth="1"/>
    <col min="4" max="4" width="42" bestFit="1" customWidth="1"/>
    <col min="5" max="5" width="19.69921875" bestFit="1" customWidth="1"/>
    <col min="6" max="47" width="7.19921875" bestFit="1" customWidth="1"/>
    <col min="48" max="48" width="13.3984375" bestFit="1" customWidth="1"/>
    <col min="49" max="276" width="56.796875" bestFit="1" customWidth="1"/>
    <col min="277" max="277" width="46" bestFit="1" customWidth="1"/>
    <col min="278" max="278" width="63" bestFit="1" customWidth="1"/>
    <col min="279" max="279" width="54.8984375" bestFit="1" customWidth="1"/>
    <col min="280" max="280" width="30" bestFit="1" customWidth="1"/>
    <col min="281" max="281" width="23.796875" bestFit="1" customWidth="1"/>
    <col min="282" max="282" width="34.3984375" bestFit="1" customWidth="1"/>
  </cols>
  <sheetData>
    <row r="1" spans="1:5" x14ac:dyDescent="0.4">
      <c r="A1" s="44" t="s">
        <v>6</v>
      </c>
      <c r="B1" s="45">
        <v>1923</v>
      </c>
    </row>
    <row r="3" spans="1:5" x14ac:dyDescent="0.4">
      <c r="A3" s="41" t="s">
        <v>34</v>
      </c>
      <c r="B3" s="41" t="s">
        <v>32</v>
      </c>
      <c r="C3" s="41" t="s">
        <v>33</v>
      </c>
      <c r="D3" s="41" t="s">
        <v>31</v>
      </c>
      <c r="E3" s="41" t="s">
        <v>35</v>
      </c>
    </row>
    <row r="4" spans="1:5" x14ac:dyDescent="0.4">
      <c r="A4" s="41">
        <v>1.4905450500556177E-2</v>
      </c>
      <c r="B4" s="41">
        <v>0.12080088987764186</v>
      </c>
      <c r="C4" s="41">
        <v>0.66496106785317033</v>
      </c>
      <c r="D4" s="41">
        <v>0.10077864293659623</v>
      </c>
      <c r="E4" s="41">
        <v>9.8553948832035609E-2</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8F50-27F4-41B5-B033-748152470013}">
  <dimension ref="A6:F8"/>
  <sheetViews>
    <sheetView topLeftCell="D4" zoomScale="92" workbookViewId="0">
      <selection activeCell="G25" sqref="G25"/>
    </sheetView>
  </sheetViews>
  <sheetFormatPr defaultRowHeight="15.5" x14ac:dyDescent="0.4"/>
  <cols>
    <col min="1" max="1" width="15.296875" bestFit="1" customWidth="1"/>
    <col min="2" max="2" width="39.8984375" bestFit="1" customWidth="1"/>
    <col min="3" max="3" width="56.8984375" bestFit="1" customWidth="1"/>
    <col min="4" max="4" width="49.09765625" bestFit="1" customWidth="1"/>
    <col min="5" max="5" width="17.59765625" bestFit="1" customWidth="1"/>
    <col min="6" max="6" width="24.09765625" bestFit="1" customWidth="1"/>
    <col min="7" max="7" width="23.796875" bestFit="1" customWidth="1"/>
    <col min="8" max="8" width="39.796875" bestFit="1" customWidth="1"/>
    <col min="9" max="9" width="49.5" bestFit="1" customWidth="1"/>
    <col min="10" max="10" width="17" bestFit="1" customWidth="1"/>
    <col min="11" max="11" width="23.796875" bestFit="1" customWidth="1"/>
    <col min="12" max="12" width="39.796875" bestFit="1" customWidth="1"/>
    <col min="13" max="13" width="49.5" bestFit="1" customWidth="1"/>
    <col min="14" max="14" width="17" bestFit="1" customWidth="1"/>
    <col min="15" max="15" width="23.796875" bestFit="1" customWidth="1"/>
    <col min="16" max="16" width="39.796875" bestFit="1" customWidth="1"/>
    <col min="17" max="17" width="49.5" bestFit="1" customWidth="1"/>
    <col min="18" max="18" width="17" bestFit="1" customWidth="1"/>
    <col min="19" max="19" width="23.796875" bestFit="1" customWidth="1"/>
    <col min="20" max="20" width="39.796875" bestFit="1" customWidth="1"/>
    <col min="21" max="21" width="49.5" bestFit="1" customWidth="1"/>
    <col min="22" max="22" width="17" bestFit="1" customWidth="1"/>
    <col min="23" max="23" width="23.796875" bestFit="1" customWidth="1"/>
    <col min="24" max="24" width="39.796875" bestFit="1" customWidth="1"/>
    <col min="25" max="25" width="49.5" bestFit="1" customWidth="1"/>
    <col min="26" max="26" width="17" bestFit="1" customWidth="1"/>
    <col min="27" max="27" width="23.796875" bestFit="1" customWidth="1"/>
    <col min="28" max="28" width="39.796875" bestFit="1" customWidth="1"/>
    <col min="29" max="29" width="49.5" bestFit="1" customWidth="1"/>
    <col min="30" max="30" width="17" bestFit="1" customWidth="1"/>
    <col min="31" max="31" width="23.796875" bestFit="1" customWidth="1"/>
    <col min="32" max="32" width="39.796875" bestFit="1" customWidth="1"/>
    <col min="33" max="33" width="49.5" bestFit="1" customWidth="1"/>
    <col min="34" max="34" width="17" bestFit="1" customWidth="1"/>
    <col min="35" max="35" width="23.796875" bestFit="1" customWidth="1"/>
    <col min="36" max="36" width="39.796875" bestFit="1" customWidth="1"/>
    <col min="37" max="37" width="49.5" bestFit="1" customWidth="1"/>
    <col min="38" max="38" width="17" bestFit="1" customWidth="1"/>
    <col min="39" max="39" width="23.796875" bestFit="1" customWidth="1"/>
    <col min="40" max="40" width="39.796875" bestFit="1" customWidth="1"/>
    <col min="41" max="41" width="49.5" bestFit="1" customWidth="1"/>
    <col min="42" max="42" width="17" bestFit="1" customWidth="1"/>
    <col min="43" max="43" width="23.796875" bestFit="1" customWidth="1"/>
    <col min="44" max="44" width="39.796875" bestFit="1" customWidth="1"/>
    <col min="45" max="45" width="49.5" bestFit="1" customWidth="1"/>
    <col min="46" max="46" width="17" bestFit="1" customWidth="1"/>
    <col min="47" max="47" width="23.796875" bestFit="1" customWidth="1"/>
    <col min="48" max="48" width="39.796875" bestFit="1" customWidth="1"/>
    <col min="49" max="49" width="49.5" bestFit="1" customWidth="1"/>
    <col min="50" max="50" width="17" bestFit="1" customWidth="1"/>
    <col min="51" max="51" width="23.796875" bestFit="1" customWidth="1"/>
    <col min="52" max="52" width="39.796875" bestFit="1" customWidth="1"/>
    <col min="53" max="53" width="49.5" bestFit="1" customWidth="1"/>
    <col min="54" max="54" width="17" bestFit="1" customWidth="1"/>
    <col min="55" max="55" width="23.796875" bestFit="1" customWidth="1"/>
    <col min="56" max="56" width="39.796875" bestFit="1" customWidth="1"/>
    <col min="57" max="57" width="49.5" bestFit="1" customWidth="1"/>
    <col min="58" max="58" width="17" bestFit="1" customWidth="1"/>
    <col min="59" max="59" width="23.796875" bestFit="1" customWidth="1"/>
    <col min="60" max="60" width="39.796875" bestFit="1" customWidth="1"/>
    <col min="61" max="61" width="49.5" bestFit="1" customWidth="1"/>
    <col min="62" max="62" width="17" bestFit="1" customWidth="1"/>
    <col min="63" max="63" width="23.796875" bestFit="1" customWidth="1"/>
    <col min="64" max="64" width="39.796875" bestFit="1" customWidth="1"/>
    <col min="65" max="65" width="49.5" bestFit="1" customWidth="1"/>
    <col min="66" max="66" width="17" bestFit="1" customWidth="1"/>
    <col min="67" max="67" width="23.796875" bestFit="1" customWidth="1"/>
    <col min="68" max="68" width="39.796875" bestFit="1" customWidth="1"/>
    <col min="69" max="69" width="49.5" bestFit="1" customWidth="1"/>
    <col min="70" max="70" width="17" bestFit="1" customWidth="1"/>
    <col min="71" max="71" width="23.796875" bestFit="1" customWidth="1"/>
    <col min="72" max="72" width="39.796875" bestFit="1" customWidth="1"/>
    <col min="73" max="73" width="49.5" bestFit="1" customWidth="1"/>
    <col min="74" max="74" width="17" bestFit="1" customWidth="1"/>
    <col min="75" max="75" width="23.796875" bestFit="1" customWidth="1"/>
    <col min="76" max="76" width="39.796875" bestFit="1" customWidth="1"/>
    <col min="77" max="77" width="49.5" bestFit="1" customWidth="1"/>
    <col min="78" max="78" width="17" bestFit="1" customWidth="1"/>
    <col min="79" max="79" width="23.796875" bestFit="1" customWidth="1"/>
    <col min="80" max="80" width="39.796875" bestFit="1" customWidth="1"/>
    <col min="81" max="81" width="49.5" bestFit="1" customWidth="1"/>
    <col min="82" max="82" width="17" bestFit="1" customWidth="1"/>
    <col min="83" max="83" width="23.796875" bestFit="1" customWidth="1"/>
    <col min="84" max="84" width="39.796875" bestFit="1" customWidth="1"/>
    <col min="85" max="85" width="49.5" bestFit="1" customWidth="1"/>
    <col min="86" max="86" width="17" bestFit="1" customWidth="1"/>
    <col min="87" max="87" width="23.796875" bestFit="1" customWidth="1"/>
    <col min="88" max="88" width="39.796875" bestFit="1" customWidth="1"/>
    <col min="89" max="89" width="49.5" bestFit="1" customWidth="1"/>
    <col min="90" max="90" width="17" bestFit="1" customWidth="1"/>
    <col min="91" max="91" width="23.796875" bestFit="1" customWidth="1"/>
    <col min="92" max="92" width="39.796875" bestFit="1" customWidth="1"/>
    <col min="93" max="93" width="49.5" bestFit="1" customWidth="1"/>
    <col min="94" max="94" width="17" bestFit="1" customWidth="1"/>
    <col min="95" max="95" width="23.796875" bestFit="1" customWidth="1"/>
    <col min="96" max="96" width="39.796875" bestFit="1" customWidth="1"/>
    <col min="97" max="97" width="49.5" bestFit="1" customWidth="1"/>
    <col min="98" max="98" width="17" bestFit="1" customWidth="1"/>
    <col min="99" max="99" width="23.796875" bestFit="1" customWidth="1"/>
    <col min="100" max="100" width="39.796875" bestFit="1" customWidth="1"/>
    <col min="101" max="101" width="49.5" bestFit="1" customWidth="1"/>
    <col min="102" max="102" width="17" bestFit="1" customWidth="1"/>
    <col min="103" max="103" width="23.796875" bestFit="1" customWidth="1"/>
    <col min="104" max="104" width="39.796875" bestFit="1" customWidth="1"/>
    <col min="105" max="105" width="49.5" bestFit="1" customWidth="1"/>
    <col min="106" max="106" width="17" bestFit="1" customWidth="1"/>
    <col min="107" max="107" width="23.796875" bestFit="1" customWidth="1"/>
    <col min="108" max="108" width="39.796875" bestFit="1" customWidth="1"/>
    <col min="109" max="109" width="49.5" bestFit="1" customWidth="1"/>
    <col min="110" max="110" width="17" bestFit="1" customWidth="1"/>
    <col min="111" max="111" width="23.796875" bestFit="1" customWidth="1"/>
    <col min="112" max="112" width="39.796875" bestFit="1" customWidth="1"/>
    <col min="113" max="113" width="49.5" bestFit="1" customWidth="1"/>
    <col min="114" max="114" width="17" bestFit="1" customWidth="1"/>
    <col min="115" max="115" width="23.796875" bestFit="1" customWidth="1"/>
    <col min="116" max="116" width="39.796875" bestFit="1" customWidth="1"/>
    <col min="117" max="117" width="49.5" bestFit="1" customWidth="1"/>
    <col min="118" max="118" width="17" bestFit="1" customWidth="1"/>
    <col min="119" max="119" width="23.796875" bestFit="1" customWidth="1"/>
    <col min="120" max="120" width="39.796875" bestFit="1" customWidth="1"/>
    <col min="121" max="121" width="49.5" bestFit="1" customWidth="1"/>
    <col min="122" max="122" width="17" bestFit="1" customWidth="1"/>
    <col min="123" max="123" width="23.796875" bestFit="1" customWidth="1"/>
    <col min="124" max="124" width="39.796875" bestFit="1" customWidth="1"/>
    <col min="125" max="125" width="49.5" bestFit="1" customWidth="1"/>
    <col min="126" max="126" width="17" bestFit="1" customWidth="1"/>
    <col min="127" max="127" width="23.796875" bestFit="1" customWidth="1"/>
    <col min="128" max="128" width="39.796875" bestFit="1" customWidth="1"/>
    <col min="129" max="129" width="49.5" bestFit="1" customWidth="1"/>
    <col min="130" max="130" width="17" bestFit="1" customWidth="1"/>
    <col min="131" max="131" width="23.796875" bestFit="1" customWidth="1"/>
    <col min="132" max="132" width="39.796875" bestFit="1" customWidth="1"/>
    <col min="133" max="133" width="49.5" bestFit="1" customWidth="1"/>
    <col min="134" max="134" width="17" bestFit="1" customWidth="1"/>
    <col min="135" max="135" width="23.796875" bestFit="1" customWidth="1"/>
    <col min="136" max="136" width="39.796875" bestFit="1" customWidth="1"/>
    <col min="137" max="137" width="49.5" bestFit="1" customWidth="1"/>
    <col min="138" max="138" width="17" bestFit="1" customWidth="1"/>
    <col min="139" max="139" width="23.796875" bestFit="1" customWidth="1"/>
    <col min="140" max="140" width="39.796875" bestFit="1" customWidth="1"/>
    <col min="141" max="141" width="49.5" bestFit="1" customWidth="1"/>
    <col min="142" max="142" width="17" bestFit="1" customWidth="1"/>
    <col min="143" max="143" width="23.796875" bestFit="1" customWidth="1"/>
    <col min="144" max="144" width="39.796875" bestFit="1" customWidth="1"/>
    <col min="145" max="145" width="49.5" bestFit="1" customWidth="1"/>
    <col min="146" max="146" width="17" bestFit="1" customWidth="1"/>
    <col min="147" max="147" width="23.796875" bestFit="1" customWidth="1"/>
    <col min="148" max="148" width="39.796875" bestFit="1" customWidth="1"/>
    <col min="149" max="149" width="49.5" bestFit="1" customWidth="1"/>
    <col min="150" max="150" width="17" bestFit="1" customWidth="1"/>
    <col min="151" max="151" width="23.796875" bestFit="1" customWidth="1"/>
    <col min="152" max="152" width="39.796875" bestFit="1" customWidth="1"/>
    <col min="153" max="153" width="49.5" bestFit="1" customWidth="1"/>
    <col min="154" max="154" width="17" bestFit="1" customWidth="1"/>
    <col min="155" max="155" width="23.796875" bestFit="1" customWidth="1"/>
    <col min="156" max="156" width="39.796875" bestFit="1" customWidth="1"/>
    <col min="157" max="157" width="49.5" bestFit="1" customWidth="1"/>
    <col min="158" max="158" width="17" bestFit="1" customWidth="1"/>
    <col min="159" max="159" width="23.796875" bestFit="1" customWidth="1"/>
    <col min="160" max="160" width="39.796875" bestFit="1" customWidth="1"/>
    <col min="161" max="161" width="49.5" bestFit="1" customWidth="1"/>
    <col min="162" max="162" width="17" bestFit="1" customWidth="1"/>
    <col min="163" max="163" width="23.796875" bestFit="1" customWidth="1"/>
    <col min="164" max="164" width="39.796875" bestFit="1" customWidth="1"/>
    <col min="165" max="165" width="49.5" bestFit="1" customWidth="1"/>
    <col min="166" max="166" width="17" bestFit="1" customWidth="1"/>
    <col min="167" max="167" width="23.796875" bestFit="1" customWidth="1"/>
    <col min="168" max="168" width="39.796875" bestFit="1" customWidth="1"/>
    <col min="169" max="169" width="49.5" bestFit="1" customWidth="1"/>
    <col min="170" max="170" width="17" bestFit="1" customWidth="1"/>
    <col min="171" max="171" width="23.796875" bestFit="1" customWidth="1"/>
    <col min="172" max="172" width="39.796875" bestFit="1" customWidth="1"/>
    <col min="173" max="173" width="49.5" bestFit="1" customWidth="1"/>
    <col min="174" max="174" width="17" bestFit="1" customWidth="1"/>
    <col min="175" max="175" width="23.796875" bestFit="1" customWidth="1"/>
    <col min="176" max="176" width="39.796875" bestFit="1" customWidth="1"/>
    <col min="177" max="177" width="49.5" bestFit="1" customWidth="1"/>
    <col min="178" max="178" width="17" bestFit="1" customWidth="1"/>
    <col min="179" max="179" width="23.796875" bestFit="1" customWidth="1"/>
    <col min="180" max="180" width="39.796875" bestFit="1" customWidth="1"/>
    <col min="181" max="181" width="49.5" bestFit="1" customWidth="1"/>
    <col min="182" max="182" width="17" bestFit="1" customWidth="1"/>
    <col min="183" max="183" width="23.796875" bestFit="1" customWidth="1"/>
    <col min="184" max="184" width="39.796875" bestFit="1" customWidth="1"/>
    <col min="185" max="185" width="49.5" bestFit="1" customWidth="1"/>
    <col min="186" max="186" width="21.69921875" bestFit="1" customWidth="1"/>
    <col min="187" max="187" width="28.5" bestFit="1" customWidth="1"/>
    <col min="188" max="188" width="44.5" bestFit="1" customWidth="1"/>
    <col min="189" max="189" width="54.19921875" bestFit="1" customWidth="1"/>
    <col min="190" max="190" width="39.796875" bestFit="1" customWidth="1"/>
    <col min="191" max="191" width="23.296875" bestFit="1" customWidth="1"/>
    <col min="192" max="192" width="30.19921875" bestFit="1" customWidth="1"/>
    <col min="193" max="193" width="46.09765625" bestFit="1" customWidth="1"/>
    <col min="194" max="194" width="17" bestFit="1" customWidth="1"/>
    <col min="195" max="195" width="23.796875" bestFit="1" customWidth="1"/>
    <col min="196" max="196" width="39.796875" bestFit="1" customWidth="1"/>
    <col min="197" max="197" width="23.296875" bestFit="1" customWidth="1"/>
    <col min="198" max="198" width="30.19921875" bestFit="1" customWidth="1"/>
    <col min="199" max="199" width="46.09765625" bestFit="1" customWidth="1"/>
    <col min="200" max="200" width="17" bestFit="1" customWidth="1"/>
    <col min="201" max="201" width="23.796875" bestFit="1" customWidth="1"/>
    <col min="202" max="202" width="39.796875" bestFit="1" customWidth="1"/>
    <col min="203" max="203" width="23.296875" bestFit="1" customWidth="1"/>
    <col min="204" max="204" width="30.19921875" bestFit="1" customWidth="1"/>
    <col min="205" max="205" width="46.09765625" bestFit="1" customWidth="1"/>
    <col min="206" max="206" width="17" bestFit="1" customWidth="1"/>
    <col min="207" max="207" width="23.796875" bestFit="1" customWidth="1"/>
    <col min="208" max="208" width="39.796875" bestFit="1" customWidth="1"/>
    <col min="209" max="209" width="23.296875" bestFit="1" customWidth="1"/>
    <col min="210" max="210" width="30.19921875" bestFit="1" customWidth="1"/>
    <col min="211" max="211" width="46.09765625" bestFit="1" customWidth="1"/>
    <col min="212" max="212" width="17" bestFit="1" customWidth="1"/>
    <col min="213" max="213" width="23.796875" bestFit="1" customWidth="1"/>
    <col min="214" max="214" width="39.796875" bestFit="1" customWidth="1"/>
    <col min="215" max="215" width="23.296875" bestFit="1" customWidth="1"/>
    <col min="216" max="216" width="30.19921875" bestFit="1" customWidth="1"/>
    <col min="217" max="217" width="46.09765625" bestFit="1" customWidth="1"/>
    <col min="218" max="218" width="17" bestFit="1" customWidth="1"/>
    <col min="219" max="219" width="23.796875" bestFit="1" customWidth="1"/>
    <col min="220" max="220" width="39.796875" bestFit="1" customWidth="1"/>
    <col min="221" max="221" width="23.296875" bestFit="1" customWidth="1"/>
    <col min="222" max="222" width="30.19921875" bestFit="1" customWidth="1"/>
    <col min="223" max="223" width="46.09765625" bestFit="1" customWidth="1"/>
    <col min="224" max="224" width="17" bestFit="1" customWidth="1"/>
    <col min="225" max="225" width="23.796875" bestFit="1" customWidth="1"/>
    <col min="226" max="226" width="39.796875" bestFit="1" customWidth="1"/>
    <col min="227" max="227" width="23.296875" bestFit="1" customWidth="1"/>
    <col min="228" max="228" width="30.19921875" bestFit="1" customWidth="1"/>
    <col min="229" max="229" width="46.09765625" bestFit="1" customWidth="1"/>
    <col min="230" max="230" width="17" bestFit="1" customWidth="1"/>
    <col min="231" max="231" width="23.796875" bestFit="1" customWidth="1"/>
    <col min="232" max="232" width="39.796875" bestFit="1" customWidth="1"/>
    <col min="233" max="233" width="23.296875" bestFit="1" customWidth="1"/>
    <col min="234" max="234" width="30.19921875" bestFit="1" customWidth="1"/>
    <col min="235" max="235" width="46.09765625" bestFit="1" customWidth="1"/>
    <col min="236" max="236" width="17" bestFit="1" customWidth="1"/>
    <col min="237" max="237" width="23.796875" bestFit="1" customWidth="1"/>
    <col min="238" max="238" width="39.796875" bestFit="1" customWidth="1"/>
    <col min="239" max="239" width="23.296875" bestFit="1" customWidth="1"/>
    <col min="240" max="240" width="30.19921875" bestFit="1" customWidth="1"/>
    <col min="241" max="241" width="46.09765625" bestFit="1" customWidth="1"/>
    <col min="242" max="242" width="17" bestFit="1" customWidth="1"/>
    <col min="243" max="243" width="23.796875" bestFit="1" customWidth="1"/>
    <col min="244" max="244" width="39.796875" bestFit="1" customWidth="1"/>
    <col min="245" max="245" width="23.296875" bestFit="1" customWidth="1"/>
    <col min="246" max="246" width="30.19921875" bestFit="1" customWidth="1"/>
    <col min="247" max="247" width="46.09765625" bestFit="1" customWidth="1"/>
    <col min="248" max="248" width="17" bestFit="1" customWidth="1"/>
    <col min="249" max="249" width="23.796875" bestFit="1" customWidth="1"/>
    <col min="250" max="250" width="39.796875" bestFit="1" customWidth="1"/>
    <col min="251" max="251" width="23.296875" bestFit="1" customWidth="1"/>
    <col min="252" max="252" width="30.19921875" bestFit="1" customWidth="1"/>
    <col min="253" max="253" width="46.09765625" bestFit="1" customWidth="1"/>
    <col min="254" max="254" width="17" bestFit="1" customWidth="1"/>
    <col min="255" max="255" width="23.796875" bestFit="1" customWidth="1"/>
    <col min="256" max="256" width="39.796875" bestFit="1" customWidth="1"/>
    <col min="257" max="257" width="23.296875" bestFit="1" customWidth="1"/>
    <col min="258" max="258" width="30.19921875" bestFit="1" customWidth="1"/>
    <col min="259" max="259" width="46.09765625" bestFit="1" customWidth="1"/>
    <col min="260" max="260" width="17" bestFit="1" customWidth="1"/>
    <col min="261" max="261" width="23.796875" bestFit="1" customWidth="1"/>
    <col min="262" max="262" width="39.796875" bestFit="1" customWidth="1"/>
    <col min="263" max="263" width="23.296875" bestFit="1" customWidth="1"/>
    <col min="264" max="264" width="30.19921875" bestFit="1" customWidth="1"/>
    <col min="265" max="265" width="46.09765625" bestFit="1" customWidth="1"/>
    <col min="266" max="266" width="17" bestFit="1" customWidth="1"/>
    <col min="267" max="267" width="23.796875" bestFit="1" customWidth="1"/>
    <col min="268" max="268" width="39.796875" bestFit="1" customWidth="1"/>
    <col min="269" max="269" width="23.296875" bestFit="1" customWidth="1"/>
    <col min="270" max="270" width="30.19921875" bestFit="1" customWidth="1"/>
    <col min="271" max="271" width="46.09765625" bestFit="1" customWidth="1"/>
    <col min="272" max="272" width="17" bestFit="1" customWidth="1"/>
    <col min="273" max="273" width="23.796875" bestFit="1" customWidth="1"/>
    <col min="274" max="274" width="39.796875" bestFit="1" customWidth="1"/>
    <col min="275" max="275" width="23.296875" bestFit="1" customWidth="1"/>
    <col min="276" max="276" width="30.19921875" bestFit="1" customWidth="1"/>
    <col min="277" max="277" width="46.09765625" bestFit="1" customWidth="1"/>
    <col min="278" max="278" width="21.69921875" bestFit="1" customWidth="1"/>
    <col min="279" max="279" width="28.5" bestFit="1" customWidth="1"/>
    <col min="280" max="280" width="44.5" bestFit="1" customWidth="1"/>
  </cols>
  <sheetData>
    <row r="6" spans="1:6" x14ac:dyDescent="0.4">
      <c r="A6" s="22" t="s">
        <v>21</v>
      </c>
      <c r="B6" t="s">
        <v>44</v>
      </c>
      <c r="C6" t="s">
        <v>45</v>
      </c>
      <c r="D6" t="s">
        <v>22</v>
      </c>
      <c r="E6" t="s">
        <v>24</v>
      </c>
      <c r="F6" t="s">
        <v>23</v>
      </c>
    </row>
    <row r="7" spans="1:6" x14ac:dyDescent="0.4">
      <c r="A7" s="23">
        <v>1923</v>
      </c>
      <c r="B7" s="21">
        <v>0.45300000000000001</v>
      </c>
      <c r="C7" s="21">
        <v>0.54300000000000004</v>
      </c>
      <c r="D7" s="21">
        <v>2.9889999999999999</v>
      </c>
      <c r="E7" s="21">
        <v>0.443</v>
      </c>
      <c r="F7" s="21">
        <v>6.7000000000000004E-2</v>
      </c>
    </row>
    <row r="8" spans="1:6" x14ac:dyDescent="0.4">
      <c r="A8" s="23" t="s">
        <v>20</v>
      </c>
      <c r="B8" s="21">
        <v>0.45300000000000001</v>
      </c>
      <c r="C8" s="21">
        <v>0.54300000000000004</v>
      </c>
      <c r="D8" s="21">
        <v>2.9889999999999999</v>
      </c>
      <c r="E8" s="21">
        <v>0.443</v>
      </c>
      <c r="F8" s="21">
        <v>6.7000000000000004E-2</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9AF28-B8DD-421A-BED5-FBA0F6BA9916}">
  <dimension ref="A1:L35"/>
  <sheetViews>
    <sheetView workbookViewId="0">
      <selection activeCell="B6" sqref="A2:L35"/>
    </sheetView>
  </sheetViews>
  <sheetFormatPr defaultRowHeight="15.5" x14ac:dyDescent="0.4"/>
  <cols>
    <col min="2" max="2" width="21.8984375" customWidth="1"/>
    <col min="3" max="3" width="28.3984375" customWidth="1"/>
    <col min="4" max="4" width="11.8984375" customWidth="1"/>
    <col min="5" max="5" width="17.8984375" customWidth="1"/>
    <col min="6" max="6" width="21" customWidth="1"/>
    <col min="7" max="7" width="21.09765625" customWidth="1"/>
    <col min="8" max="10" width="14.296875" customWidth="1"/>
    <col min="11" max="11" width="11.296875" customWidth="1"/>
    <col min="12" max="12" width="10.8984375" customWidth="1"/>
  </cols>
  <sheetData>
    <row r="1" spans="1:12" x14ac:dyDescent="0.3">
      <c r="A1" s="1" t="s">
        <v>6</v>
      </c>
      <c r="B1" s="2" t="s">
        <v>14</v>
      </c>
      <c r="C1" s="2" t="s">
        <v>15</v>
      </c>
      <c r="D1" s="2" t="s">
        <v>16</v>
      </c>
      <c r="E1" s="2" t="s">
        <v>17</v>
      </c>
      <c r="F1" s="2" t="s">
        <v>18</v>
      </c>
      <c r="G1" s="2" t="s">
        <v>13</v>
      </c>
      <c r="H1" s="2" t="s">
        <v>7</v>
      </c>
      <c r="I1" s="3" t="s">
        <v>8</v>
      </c>
      <c r="J1" s="2" t="s">
        <v>9</v>
      </c>
      <c r="K1" s="2" t="s">
        <v>10</v>
      </c>
      <c r="L1" s="4" t="s">
        <v>11</v>
      </c>
    </row>
    <row r="2" spans="1:12" x14ac:dyDescent="0.3">
      <c r="A2" s="5">
        <v>1986</v>
      </c>
      <c r="B2" s="6">
        <v>272.64499999999998</v>
      </c>
      <c r="C2" s="6">
        <v>0.55000000000000004</v>
      </c>
      <c r="D2" s="6">
        <v>4.26</v>
      </c>
      <c r="E2" s="6">
        <v>277.45000000000005</v>
      </c>
      <c r="F2" s="6">
        <v>22.869999999999997</v>
      </c>
      <c r="G2" s="10">
        <f>E2-F2</f>
        <v>254.58000000000004</v>
      </c>
      <c r="H2" s="35">
        <v>8.5949999999999989</v>
      </c>
      <c r="I2" s="35">
        <v>84.474999999999994</v>
      </c>
      <c r="J2" s="35">
        <v>91.83</v>
      </c>
      <c r="K2" s="35">
        <v>69.680000000000007</v>
      </c>
      <c r="L2" s="36">
        <f>I2+J2+K2</f>
        <v>245.98500000000001</v>
      </c>
    </row>
    <row r="3" spans="1:12" x14ac:dyDescent="0.3">
      <c r="A3" s="5">
        <v>1987</v>
      </c>
      <c r="B3" s="6">
        <v>279.70999999999998</v>
      </c>
      <c r="C3" s="6">
        <v>0</v>
      </c>
      <c r="D3" s="6">
        <v>11.64</v>
      </c>
      <c r="E3" s="6">
        <v>291.33999999999997</v>
      </c>
      <c r="F3" s="6">
        <v>22.96</v>
      </c>
      <c r="G3" s="10">
        <f t="shared" ref="G3:G35" si="0">E3-F3</f>
        <v>268.38</v>
      </c>
      <c r="H3" s="34">
        <v>9.49</v>
      </c>
      <c r="I3" s="34">
        <v>93.14</v>
      </c>
      <c r="J3" s="34">
        <v>93.25</v>
      </c>
      <c r="K3" s="34">
        <v>72.5</v>
      </c>
      <c r="L3" s="37">
        <f>I3+J3+K3</f>
        <v>258.89</v>
      </c>
    </row>
    <row r="4" spans="1:12" x14ac:dyDescent="0.3">
      <c r="A4" s="5">
        <v>1988</v>
      </c>
      <c r="B4" s="6">
        <v>285.70999999999998</v>
      </c>
      <c r="C4" s="6">
        <v>0</v>
      </c>
      <c r="D4" s="6">
        <v>12.14</v>
      </c>
      <c r="E4" s="6">
        <v>297.85000000000002</v>
      </c>
      <c r="F4" s="6">
        <v>23.35</v>
      </c>
      <c r="G4" s="10">
        <f t="shared" si="0"/>
        <v>274.5</v>
      </c>
      <c r="H4" s="33">
        <v>9.16</v>
      </c>
      <c r="I4" s="33">
        <v>97.14</v>
      </c>
      <c r="J4" s="33">
        <v>92.36</v>
      </c>
      <c r="K4" s="33">
        <v>75.84</v>
      </c>
      <c r="L4" s="36">
        <f>I4+J4+K4</f>
        <v>265.34000000000003</v>
      </c>
    </row>
    <row r="5" spans="1:12" x14ac:dyDescent="0.3">
      <c r="A5" s="5">
        <v>1989</v>
      </c>
      <c r="B5" s="6">
        <v>291.75</v>
      </c>
      <c r="C5" s="6">
        <v>0</v>
      </c>
      <c r="D5" s="6">
        <v>12.63</v>
      </c>
      <c r="E5" s="6">
        <v>304.38</v>
      </c>
      <c r="F5" s="6">
        <v>24.98</v>
      </c>
      <c r="G5" s="10">
        <f>E5-F5</f>
        <v>279.39999999999998</v>
      </c>
      <c r="H5" s="34">
        <v>9</v>
      </c>
      <c r="I5" s="34">
        <v>99.42</v>
      </c>
      <c r="J5" s="34">
        <v>92.27</v>
      </c>
      <c r="K5" s="34">
        <v>78.709999999999994</v>
      </c>
      <c r="L5" s="37">
        <f t="shared" ref="L5:L35" si="1">I5+J5+K5</f>
        <v>270.39999999999998</v>
      </c>
    </row>
    <row r="6" spans="1:12" x14ac:dyDescent="0.3">
      <c r="A6" s="5">
        <v>1990</v>
      </c>
      <c r="B6" s="6">
        <v>297.5</v>
      </c>
      <c r="C6" s="6">
        <v>0</v>
      </c>
      <c r="D6" s="6">
        <v>11.91</v>
      </c>
      <c r="E6" s="6">
        <v>309.41000000000003</v>
      </c>
      <c r="F6" s="6">
        <v>24.99</v>
      </c>
      <c r="G6" s="10">
        <f t="shared" si="0"/>
        <v>284.42</v>
      </c>
      <c r="H6" s="33">
        <v>9.99</v>
      </c>
      <c r="I6" s="33">
        <v>100.64</v>
      </c>
      <c r="J6" s="33">
        <v>93.79</v>
      </c>
      <c r="K6" s="33">
        <v>80</v>
      </c>
      <c r="L6" s="36">
        <f t="shared" si="1"/>
        <v>274.43</v>
      </c>
    </row>
    <row r="7" spans="1:12" x14ac:dyDescent="0.3">
      <c r="A7" s="5">
        <v>1991</v>
      </c>
      <c r="B7" s="6">
        <v>300.64999999999998</v>
      </c>
      <c r="C7" s="6">
        <v>0</v>
      </c>
      <c r="D7" s="6">
        <v>16.41</v>
      </c>
      <c r="E7" s="6">
        <v>317.06</v>
      </c>
      <c r="F7" s="6">
        <v>26.22</v>
      </c>
      <c r="G7" s="10">
        <f t="shared" si="0"/>
        <v>290.84000000000003</v>
      </c>
      <c r="H7" s="34">
        <v>9.7899999999999991</v>
      </c>
      <c r="I7" s="34">
        <v>99.57</v>
      </c>
      <c r="J7" s="34">
        <v>98.1</v>
      </c>
      <c r="K7" s="34">
        <v>83.38</v>
      </c>
      <c r="L7" s="37">
        <f t="shared" si="1"/>
        <v>281.04999999999995</v>
      </c>
    </row>
    <row r="8" spans="1:12" x14ac:dyDescent="0.3">
      <c r="A8" s="5">
        <v>1992</v>
      </c>
      <c r="B8" s="6">
        <v>298.55</v>
      </c>
      <c r="C8" s="6">
        <v>0</v>
      </c>
      <c r="D8" s="6">
        <v>16.690000000000001</v>
      </c>
      <c r="E8" s="6">
        <v>315.24</v>
      </c>
      <c r="F8" s="6">
        <v>23.79</v>
      </c>
      <c r="G8" s="10">
        <f t="shared" si="0"/>
        <v>291.45</v>
      </c>
      <c r="H8" s="33">
        <v>9.98</v>
      </c>
      <c r="I8" s="33">
        <v>95.28</v>
      </c>
      <c r="J8" s="33">
        <v>99.48</v>
      </c>
      <c r="K8" s="33">
        <v>86.71</v>
      </c>
      <c r="L8" s="36">
        <f t="shared" si="1"/>
        <v>281.46999999999997</v>
      </c>
    </row>
    <row r="9" spans="1:12" x14ac:dyDescent="0.3">
      <c r="A9" s="5">
        <v>1993</v>
      </c>
      <c r="B9" s="6">
        <v>301.87</v>
      </c>
      <c r="C9" s="6">
        <v>0</v>
      </c>
      <c r="D9" s="6">
        <v>16.72</v>
      </c>
      <c r="E9" s="6">
        <v>318.58999999999997</v>
      </c>
      <c r="F9" s="6">
        <v>22.84</v>
      </c>
      <c r="G9" s="10">
        <f t="shared" si="0"/>
        <v>295.75</v>
      </c>
      <c r="H9" s="34">
        <v>9.6199999999999992</v>
      </c>
      <c r="I9" s="34">
        <v>96.84</v>
      </c>
      <c r="J9" s="34">
        <v>100.46</v>
      </c>
      <c r="K9" s="34">
        <v>88.83</v>
      </c>
      <c r="L9" s="37">
        <f t="shared" si="1"/>
        <v>286.13</v>
      </c>
    </row>
    <row r="10" spans="1:12" x14ac:dyDescent="0.3">
      <c r="A10" s="5">
        <v>1994</v>
      </c>
      <c r="B10" s="6">
        <v>306.94</v>
      </c>
      <c r="C10" s="6">
        <v>0</v>
      </c>
      <c r="D10" s="6">
        <v>16.89</v>
      </c>
      <c r="E10" s="6">
        <v>323.83</v>
      </c>
      <c r="F10" s="6">
        <v>31</v>
      </c>
      <c r="G10" s="10">
        <f t="shared" si="0"/>
        <v>292.83</v>
      </c>
      <c r="H10" s="33">
        <v>7.52</v>
      </c>
      <c r="I10" s="33">
        <v>96.12</v>
      </c>
      <c r="J10" s="33">
        <v>101.41</v>
      </c>
      <c r="K10" s="33">
        <v>87.78</v>
      </c>
      <c r="L10" s="36">
        <f t="shared" si="1"/>
        <v>285.31</v>
      </c>
    </row>
    <row r="11" spans="1:12" x14ac:dyDescent="0.3">
      <c r="A11" s="5">
        <v>1995</v>
      </c>
      <c r="B11" s="6">
        <v>317.63</v>
      </c>
      <c r="C11" s="6">
        <v>0</v>
      </c>
      <c r="D11" s="6">
        <v>16.61</v>
      </c>
      <c r="E11" s="6">
        <v>334.24</v>
      </c>
      <c r="F11" s="6">
        <v>30.32</v>
      </c>
      <c r="G11" s="10">
        <f t="shared" si="0"/>
        <v>303.92</v>
      </c>
      <c r="H11" s="34">
        <v>8.07</v>
      </c>
      <c r="I11" s="34">
        <v>101.78</v>
      </c>
      <c r="J11" s="34">
        <v>102.21</v>
      </c>
      <c r="K11" s="34">
        <v>91.86</v>
      </c>
      <c r="L11" s="37">
        <f t="shared" si="1"/>
        <v>295.85000000000002</v>
      </c>
    </row>
    <row r="12" spans="1:12" x14ac:dyDescent="0.3">
      <c r="A12" s="5">
        <v>1996</v>
      </c>
      <c r="B12" s="6">
        <v>332.35899999999998</v>
      </c>
      <c r="C12" s="6">
        <v>0</v>
      </c>
      <c r="D12" s="6">
        <v>16.754999999999999</v>
      </c>
      <c r="E12" s="6">
        <v>349.11399999999998</v>
      </c>
      <c r="F12" s="6">
        <v>29.335820378171377</v>
      </c>
      <c r="G12" s="10">
        <f t="shared" si="0"/>
        <v>319.7781796218286</v>
      </c>
      <c r="H12" s="33">
        <v>9.2110000000000003</v>
      </c>
      <c r="I12" s="33">
        <v>107.63117962182857</v>
      </c>
      <c r="J12" s="33">
        <v>107.51300000000001</v>
      </c>
      <c r="K12" s="33">
        <v>95.423000000000002</v>
      </c>
      <c r="L12" s="36">
        <f t="shared" si="1"/>
        <v>310.56717962182859</v>
      </c>
    </row>
    <row r="13" spans="1:12" x14ac:dyDescent="0.3">
      <c r="A13" s="5">
        <v>1997</v>
      </c>
      <c r="B13" s="6">
        <v>331.62900000000002</v>
      </c>
      <c r="C13" s="6">
        <v>0</v>
      </c>
      <c r="D13" s="6">
        <v>16.574000000000002</v>
      </c>
      <c r="E13" s="6">
        <v>348.20299999999997</v>
      </c>
      <c r="F13" s="6">
        <v>27.13799999999992</v>
      </c>
      <c r="G13" s="10">
        <f t="shared" si="0"/>
        <v>321.06500000000005</v>
      </c>
      <c r="H13" s="34">
        <v>8.6240000000000006</v>
      </c>
      <c r="I13" s="34">
        <v>108.102</v>
      </c>
      <c r="J13" s="34">
        <v>104.455</v>
      </c>
      <c r="K13" s="34">
        <v>99.884</v>
      </c>
      <c r="L13" s="37">
        <f t="shared" si="1"/>
        <v>312.44100000000003</v>
      </c>
    </row>
    <row r="14" spans="1:12" x14ac:dyDescent="0.3">
      <c r="A14" s="5">
        <v>1998</v>
      </c>
      <c r="B14" s="8">
        <v>342.7</v>
      </c>
      <c r="C14" s="6">
        <v>0</v>
      </c>
      <c r="D14" s="6">
        <v>12.468</v>
      </c>
      <c r="E14" s="6">
        <v>355.16800000000001</v>
      </c>
      <c r="F14" s="6">
        <v>29.817999999999984</v>
      </c>
      <c r="G14" s="20">
        <f t="shared" si="0"/>
        <v>325.35000000000002</v>
      </c>
      <c r="H14" s="33">
        <v>8.4060000000000006</v>
      </c>
      <c r="I14" s="33">
        <v>108.44300000000001</v>
      </c>
      <c r="J14" s="33">
        <v>109.41</v>
      </c>
      <c r="K14" s="33">
        <v>99.090999999999994</v>
      </c>
      <c r="L14" s="36">
        <f t="shared" si="1"/>
        <v>316.94400000000002</v>
      </c>
    </row>
    <row r="15" spans="1:12" x14ac:dyDescent="0.3">
      <c r="A15" s="7">
        <v>1999</v>
      </c>
      <c r="B15" s="8">
        <v>347.67099999999999</v>
      </c>
      <c r="C15" s="6">
        <v>0</v>
      </c>
      <c r="D15" s="6">
        <v>14.244</v>
      </c>
      <c r="E15" s="6">
        <v>361.91500000000002</v>
      </c>
      <c r="F15" s="6">
        <v>29.862092500000017</v>
      </c>
      <c r="G15" s="10">
        <f t="shared" si="0"/>
        <v>332.0529075</v>
      </c>
      <c r="H15" s="34">
        <v>8.036999999999999</v>
      </c>
      <c r="I15" s="34">
        <v>112.25</v>
      </c>
      <c r="J15" s="34">
        <v>110.30800000000001</v>
      </c>
      <c r="K15" s="34">
        <v>101.4579075</v>
      </c>
      <c r="L15" s="37">
        <f t="shared" si="1"/>
        <v>324.01590750000003</v>
      </c>
    </row>
    <row r="16" spans="1:12" x14ac:dyDescent="0.3">
      <c r="A16" s="7">
        <v>2000</v>
      </c>
      <c r="B16" s="8">
        <v>357.26600000000002</v>
      </c>
      <c r="C16" s="6">
        <v>0</v>
      </c>
      <c r="D16" s="6">
        <v>14.173999999999999</v>
      </c>
      <c r="E16" s="6">
        <v>371.44</v>
      </c>
      <c r="F16" s="6">
        <v>31.144000000000062</v>
      </c>
      <c r="G16" s="10">
        <f t="shared" si="0"/>
        <v>340.29599999999994</v>
      </c>
      <c r="H16" s="33">
        <v>9.7030000000000012</v>
      </c>
      <c r="I16" s="33">
        <v>115.286</v>
      </c>
      <c r="J16" s="33">
        <v>111.842</v>
      </c>
      <c r="K16" s="33">
        <v>103.465</v>
      </c>
      <c r="L16" s="36">
        <f t="shared" si="1"/>
        <v>330.59299999999996</v>
      </c>
    </row>
    <row r="17" spans="1:12" x14ac:dyDescent="0.3">
      <c r="A17" s="7">
        <v>2001</v>
      </c>
      <c r="B17" s="8">
        <v>364.17399999999998</v>
      </c>
      <c r="C17" s="6">
        <v>0</v>
      </c>
      <c r="D17" s="6">
        <v>10.398999999999999</v>
      </c>
      <c r="E17" s="6">
        <v>374.57299999999998</v>
      </c>
      <c r="F17" s="6">
        <v>32.06899999999996</v>
      </c>
      <c r="G17" s="10">
        <f t="shared" si="0"/>
        <v>342.50400000000002</v>
      </c>
      <c r="H17" s="34">
        <v>8.625</v>
      </c>
      <c r="I17" s="34">
        <v>112.495</v>
      </c>
      <c r="J17" s="34">
        <v>115.337</v>
      </c>
      <c r="K17" s="34">
        <v>106.047</v>
      </c>
      <c r="L17" s="37">
        <f t="shared" si="1"/>
        <v>333.87900000000002</v>
      </c>
    </row>
    <row r="18" spans="1:12" x14ac:dyDescent="0.3">
      <c r="A18" s="7">
        <v>2002</v>
      </c>
      <c r="B18" s="8">
        <v>366.65799999999996</v>
      </c>
      <c r="C18" s="6">
        <v>0</v>
      </c>
      <c r="D18" s="6">
        <v>8.4139999999999997</v>
      </c>
      <c r="E18" s="6">
        <v>375.072</v>
      </c>
      <c r="F18" s="6">
        <v>30.963000000000022</v>
      </c>
      <c r="G18" s="10">
        <f t="shared" si="0"/>
        <v>344.10899999999998</v>
      </c>
      <c r="H18" s="33">
        <v>10.059641982066207</v>
      </c>
      <c r="I18" s="33">
        <v>110.81635801793379</v>
      </c>
      <c r="J18" s="33">
        <v>120.014</v>
      </c>
      <c r="K18" s="33">
        <v>103.21899999999999</v>
      </c>
      <c r="L18" s="36">
        <f t="shared" si="1"/>
        <v>334.0493580179338</v>
      </c>
    </row>
    <row r="19" spans="1:12" x14ac:dyDescent="0.3">
      <c r="A19" s="5">
        <v>2003</v>
      </c>
      <c r="B19" s="8">
        <v>376.52699999999999</v>
      </c>
      <c r="C19" s="6">
        <v>0</v>
      </c>
      <c r="D19" s="6">
        <v>2.16</v>
      </c>
      <c r="E19" s="6">
        <v>378.68700000000001</v>
      </c>
      <c r="F19" s="6">
        <v>32.069999999999993</v>
      </c>
      <c r="G19" s="10">
        <f t="shared" si="0"/>
        <v>346.61700000000002</v>
      </c>
      <c r="H19" s="34">
        <v>9.7515770927932515</v>
      </c>
      <c r="I19" s="34">
        <v>109.92642290720676</v>
      </c>
      <c r="J19" s="34">
        <v>123.001</v>
      </c>
      <c r="K19" s="34">
        <v>103.938</v>
      </c>
      <c r="L19" s="37">
        <f t="shared" si="1"/>
        <v>336.86542290720678</v>
      </c>
    </row>
    <row r="20" spans="1:12" x14ac:dyDescent="0.3">
      <c r="A20" s="9">
        <v>2004</v>
      </c>
      <c r="B20" s="6">
        <v>373.399</v>
      </c>
      <c r="C20" s="6">
        <v>0</v>
      </c>
      <c r="D20" s="6">
        <v>7.49</v>
      </c>
      <c r="E20" s="6">
        <v>380.88900000000001</v>
      </c>
      <c r="F20" s="6">
        <v>33.175000000000011</v>
      </c>
      <c r="G20" s="10">
        <f t="shared" si="0"/>
        <v>347.714</v>
      </c>
      <c r="H20" s="33">
        <v>8.1423641905928417</v>
      </c>
      <c r="I20" s="33">
        <v>112.09163580940715</v>
      </c>
      <c r="J20" s="33">
        <v>124.2</v>
      </c>
      <c r="K20" s="33">
        <v>103.28</v>
      </c>
      <c r="L20" s="36">
        <f t="shared" si="1"/>
        <v>339.57163580940716</v>
      </c>
    </row>
    <row r="21" spans="1:12" x14ac:dyDescent="0.3">
      <c r="A21" s="9">
        <v>2005</v>
      </c>
      <c r="B21" s="6">
        <v>376.78</v>
      </c>
      <c r="C21" s="6">
        <v>0</v>
      </c>
      <c r="D21" s="6">
        <v>8.3209999999999997</v>
      </c>
      <c r="E21" s="6">
        <v>385.101</v>
      </c>
      <c r="F21" s="6">
        <v>27.901999999999987</v>
      </c>
      <c r="G21" s="10">
        <f t="shared" si="0"/>
        <v>357.19900000000001</v>
      </c>
      <c r="H21" s="34">
        <v>7.8497254631429083</v>
      </c>
      <c r="I21" s="34">
        <v>116.69927453685709</v>
      </c>
      <c r="J21" s="34">
        <v>125.711</v>
      </c>
      <c r="K21" s="34">
        <v>106.93899999999999</v>
      </c>
      <c r="L21" s="37">
        <f t="shared" si="1"/>
        <v>349.34927453685708</v>
      </c>
    </row>
    <row r="22" spans="1:12" x14ac:dyDescent="0.3">
      <c r="A22" s="9">
        <v>2006</v>
      </c>
      <c r="B22" s="6">
        <v>373.86099999999999</v>
      </c>
      <c r="C22" s="6">
        <v>0</v>
      </c>
      <c r="D22" s="6">
        <v>7.5170000000000003</v>
      </c>
      <c r="E22" s="6">
        <v>381.37799999999999</v>
      </c>
      <c r="F22" s="6">
        <v>27.514999999999986</v>
      </c>
      <c r="G22" s="10">
        <f t="shared" si="0"/>
        <v>353.863</v>
      </c>
      <c r="H22" s="33">
        <v>7.997398940542281</v>
      </c>
      <c r="I22" s="33">
        <v>115.53260105945772</v>
      </c>
      <c r="J22" s="33">
        <v>124.70399999999999</v>
      </c>
      <c r="K22" s="33">
        <v>105.629</v>
      </c>
      <c r="L22" s="36">
        <f t="shared" si="1"/>
        <v>345.86560105945773</v>
      </c>
    </row>
    <row r="23" spans="1:12" x14ac:dyDescent="0.3">
      <c r="A23" s="9">
        <v>2007</v>
      </c>
      <c r="B23" s="8">
        <v>374.06400000000002</v>
      </c>
      <c r="C23" s="6">
        <v>0</v>
      </c>
      <c r="D23" s="6">
        <v>5.2149999999999999</v>
      </c>
      <c r="E23" s="6">
        <v>379.279</v>
      </c>
      <c r="F23" s="6">
        <v>27.829999999999984</v>
      </c>
      <c r="G23" s="10">
        <f t="shared" si="0"/>
        <v>351.44900000000001</v>
      </c>
      <c r="H23" s="34">
        <v>9.1862512624189527</v>
      </c>
      <c r="I23" s="34">
        <v>113.40574873758105</v>
      </c>
      <c r="J23" s="34">
        <v>123.07599999999999</v>
      </c>
      <c r="K23" s="34">
        <v>105.78100000000001</v>
      </c>
      <c r="L23" s="37">
        <f t="shared" si="1"/>
        <v>342.26274873758103</v>
      </c>
    </row>
    <row r="24" spans="1:12" x14ac:dyDescent="0.3">
      <c r="A24" s="9">
        <v>2008</v>
      </c>
      <c r="B24" s="6">
        <v>367.17998658756744</v>
      </c>
      <c r="C24" s="6">
        <v>0</v>
      </c>
      <c r="D24" s="6">
        <v>11.0221016590168</v>
      </c>
      <c r="E24" s="6">
        <v>378.20208824658425</v>
      </c>
      <c r="F24" s="6">
        <v>28.103088246584264</v>
      </c>
      <c r="G24" s="10">
        <f t="shared" si="0"/>
        <v>350.09899999999999</v>
      </c>
      <c r="H24" s="33">
        <v>7.7094997034225203</v>
      </c>
      <c r="I24" s="33">
        <v>114.15090713070066</v>
      </c>
      <c r="J24" s="33">
        <v>119.79999999999998</v>
      </c>
      <c r="K24" s="33">
        <v>107.87120397034751</v>
      </c>
      <c r="L24" s="36">
        <f t="shared" si="1"/>
        <v>341.82211110104816</v>
      </c>
    </row>
    <row r="25" spans="1:12" x14ac:dyDescent="0.3">
      <c r="A25" s="9">
        <v>2009</v>
      </c>
      <c r="B25" s="8">
        <v>355.30583825398833</v>
      </c>
      <c r="C25" s="6">
        <v>0</v>
      </c>
      <c r="D25" s="6">
        <v>2.8608092699318002</v>
      </c>
      <c r="E25" s="6">
        <v>358.16664752392012</v>
      </c>
      <c r="F25" s="6">
        <v>28.146647523920137</v>
      </c>
      <c r="G25" s="10">
        <f t="shared" si="0"/>
        <v>330.02</v>
      </c>
      <c r="H25" s="34">
        <v>7.6681015729860338</v>
      </c>
      <c r="I25" s="34">
        <v>99.737984526683377</v>
      </c>
      <c r="J25" s="34">
        <v>118.54079334272313</v>
      </c>
      <c r="K25" s="34">
        <v>103.46928503823607</v>
      </c>
      <c r="L25" s="37">
        <f t="shared" si="1"/>
        <v>321.74806290764258</v>
      </c>
    </row>
    <row r="26" spans="1:12" x14ac:dyDescent="0.3">
      <c r="A26" s="9">
        <v>2010</v>
      </c>
      <c r="B26" s="8">
        <v>361.73401283653669</v>
      </c>
      <c r="C26" s="6">
        <v>0</v>
      </c>
      <c r="D26" s="6">
        <v>2.6634084573440799</v>
      </c>
      <c r="E26" s="6">
        <v>364.39742129388071</v>
      </c>
      <c r="F26" s="6">
        <v>26.886139576402741</v>
      </c>
      <c r="G26" s="10">
        <f t="shared" si="0"/>
        <v>337.51128171747797</v>
      </c>
      <c r="H26" s="33">
        <v>8.2531024037313863</v>
      </c>
      <c r="I26" s="33">
        <v>104.95839178283407</v>
      </c>
      <c r="J26" s="33">
        <v>118.83195263410775</v>
      </c>
      <c r="K26" s="33">
        <v>105.46783489680477</v>
      </c>
      <c r="L26" s="36">
        <f t="shared" si="1"/>
        <v>329.25817931374661</v>
      </c>
    </row>
    <row r="27" spans="1:12" x14ac:dyDescent="0.3">
      <c r="A27" s="9">
        <v>2011</v>
      </c>
      <c r="B27" s="6">
        <v>347.68750030216455</v>
      </c>
      <c r="C27" s="6">
        <v>0</v>
      </c>
      <c r="D27" s="6">
        <v>6.22189679804581</v>
      </c>
      <c r="E27" s="6">
        <v>353.9093971002103</v>
      </c>
      <c r="F27" s="6">
        <v>27.990325990739677</v>
      </c>
      <c r="G27" s="10">
        <f t="shared" si="0"/>
        <v>325.91907110947062</v>
      </c>
      <c r="H27" s="34">
        <v>7.665896181573971</v>
      </c>
      <c r="I27" s="34">
        <v>102.79588669814831</v>
      </c>
      <c r="J27" s="34">
        <v>111.58641761428098</v>
      </c>
      <c r="K27" s="34">
        <v>103.87087061546734</v>
      </c>
      <c r="L27" s="37">
        <f t="shared" si="1"/>
        <v>318.25317492789662</v>
      </c>
    </row>
    <row r="28" spans="1:12" x14ac:dyDescent="0.3">
      <c r="A28" s="9">
        <v>2012</v>
      </c>
      <c r="B28" s="6">
        <v>341.91240691484899</v>
      </c>
      <c r="C28" s="6">
        <v>0</v>
      </c>
      <c r="D28" s="6">
        <v>11.863935920999999</v>
      </c>
      <c r="E28" s="6">
        <v>353.77634283584899</v>
      </c>
      <c r="F28" s="6">
        <v>28.294464938848591</v>
      </c>
      <c r="G28" s="10">
        <f t="shared" si="0"/>
        <v>325.4818778970004</v>
      </c>
      <c r="H28" s="33">
        <v>6.7250170884556679</v>
      </c>
      <c r="I28" s="33">
        <v>98.941135807560087</v>
      </c>
      <c r="J28" s="33">
        <v>114.66262542679949</v>
      </c>
      <c r="K28" s="33">
        <v>105.15309957418515</v>
      </c>
      <c r="L28" s="36">
        <f t="shared" si="1"/>
        <v>318.75686080854473</v>
      </c>
    </row>
    <row r="29" spans="1:12" x14ac:dyDescent="0.3">
      <c r="A29" s="9">
        <v>2013</v>
      </c>
      <c r="B29" s="6">
        <v>336.50416436439099</v>
      </c>
      <c r="C29" s="6">
        <v>0</v>
      </c>
      <c r="D29" s="6">
        <v>14.430889886499999</v>
      </c>
      <c r="E29" s="6">
        <v>350.93505425089103</v>
      </c>
      <c r="F29" s="6">
        <v>26.550207919646084</v>
      </c>
      <c r="G29" s="10">
        <f t="shared" si="0"/>
        <v>324.38484633124494</v>
      </c>
      <c r="H29" s="34">
        <v>7.5411218888507268</v>
      </c>
      <c r="I29" s="34">
        <v>97.553173513596107</v>
      </c>
      <c r="J29" s="34">
        <v>113.41247237181817</v>
      </c>
      <c r="K29" s="34">
        <v>105.8780785569799</v>
      </c>
      <c r="L29" s="37">
        <f t="shared" si="1"/>
        <v>316.8437244423942</v>
      </c>
    </row>
    <row r="30" spans="1:12" x14ac:dyDescent="0.3">
      <c r="A30" s="9">
        <v>2014</v>
      </c>
      <c r="B30" s="6">
        <v>317.73297250503532</v>
      </c>
      <c r="C30" s="6">
        <v>0</v>
      </c>
      <c r="D30" s="6">
        <v>20.519788353500001</v>
      </c>
      <c r="E30" s="6">
        <v>338.2527608585354</v>
      </c>
      <c r="F30" s="6">
        <v>27.44832391648896</v>
      </c>
      <c r="G30" s="10">
        <f t="shared" si="0"/>
        <v>310.80443694204644</v>
      </c>
      <c r="H30" s="33">
        <v>7.4576499000420071</v>
      </c>
      <c r="I30" s="33">
        <v>93.565807256448807</v>
      </c>
      <c r="J30" s="33">
        <v>108.07609974809642</v>
      </c>
      <c r="K30" s="33">
        <v>101.7048800374592</v>
      </c>
      <c r="L30" s="36">
        <f>I30+J30+K30</f>
        <v>303.34678704200445</v>
      </c>
    </row>
    <row r="31" spans="1:12" x14ac:dyDescent="0.3">
      <c r="A31" s="9">
        <v>2015</v>
      </c>
      <c r="B31" s="6">
        <v>318.51293495719887</v>
      </c>
      <c r="C31" s="6">
        <v>0</v>
      </c>
      <c r="D31" s="6">
        <v>21.105558817999999</v>
      </c>
      <c r="E31" s="6">
        <v>339.61849377519889</v>
      </c>
      <c r="F31" s="6">
        <v>28.195732879669038</v>
      </c>
      <c r="G31" s="10">
        <f t="shared" si="0"/>
        <v>311.42276089552985</v>
      </c>
      <c r="H31" s="34">
        <v>7.5313834674564442</v>
      </c>
      <c r="I31" s="34">
        <v>93.349754369600092</v>
      </c>
      <c r="J31" s="34">
        <v>107.76384778252712</v>
      </c>
      <c r="K31" s="34">
        <v>102.77777527594614</v>
      </c>
      <c r="L31" s="37">
        <f t="shared" si="1"/>
        <v>303.89137742807338</v>
      </c>
    </row>
    <row r="32" spans="1:12" x14ac:dyDescent="0.3">
      <c r="A32" s="9">
        <v>2016</v>
      </c>
      <c r="B32" s="6">
        <v>319.88230754970931</v>
      </c>
      <c r="C32" s="6">
        <v>0</v>
      </c>
      <c r="D32" s="6">
        <v>17.745057308</v>
      </c>
      <c r="E32" s="6">
        <v>337.62736485770932</v>
      </c>
      <c r="F32" s="6">
        <v>26.33047552940468</v>
      </c>
      <c r="G32" s="10">
        <f t="shared" si="0"/>
        <v>311.29688932830464</v>
      </c>
      <c r="H32" s="33">
        <v>7.0210575251182448</v>
      </c>
      <c r="I32" s="33">
        <v>93.558442331984082</v>
      </c>
      <c r="J32" s="33">
        <v>108.02504338198162</v>
      </c>
      <c r="K32" s="33">
        <v>102.69234608922069</v>
      </c>
      <c r="L32" s="36">
        <f t="shared" si="1"/>
        <v>304.27583180318641</v>
      </c>
    </row>
    <row r="33" spans="1:12" x14ac:dyDescent="0.3">
      <c r="A33" s="9">
        <v>2017</v>
      </c>
      <c r="B33" s="6">
        <v>318.86790981558551</v>
      </c>
      <c r="C33" s="6">
        <v>0</v>
      </c>
      <c r="D33" s="6">
        <v>14.7599309418269</v>
      </c>
      <c r="E33" s="6">
        <v>333.62784075741234</v>
      </c>
      <c r="F33" s="6">
        <v>26.834961398972951</v>
      </c>
      <c r="G33" s="10">
        <f t="shared" si="0"/>
        <v>306.79287935843939</v>
      </c>
      <c r="H33" s="34">
        <v>6.9201686039874426</v>
      </c>
      <c r="I33" s="34">
        <v>92.531828749346147</v>
      </c>
      <c r="J33" s="34">
        <v>105.36790073945924</v>
      </c>
      <c r="K33" s="34">
        <v>101.97298126564652</v>
      </c>
      <c r="L33" s="37">
        <f t="shared" si="1"/>
        <v>299.87271075445193</v>
      </c>
    </row>
    <row r="34" spans="1:12" x14ac:dyDescent="0.3">
      <c r="A34" s="9">
        <v>2018</v>
      </c>
      <c r="B34" s="6">
        <v>313.97126129657011</v>
      </c>
      <c r="C34" s="6">
        <v>0</v>
      </c>
      <c r="D34" s="6">
        <v>19.107650939999999</v>
      </c>
      <c r="E34" s="6">
        <v>333.07891223657015</v>
      </c>
      <c r="F34" s="6">
        <v>25.704315442965196</v>
      </c>
      <c r="G34" s="10">
        <f t="shared" si="0"/>
        <v>307.37459679360495</v>
      </c>
      <c r="H34" s="33">
        <v>6.7138752079150059</v>
      </c>
      <c r="I34" s="33">
        <v>94.087756636450223</v>
      </c>
      <c r="J34" s="33">
        <v>105.06454676977907</v>
      </c>
      <c r="K34" s="33">
        <v>101.50841817946066</v>
      </c>
      <c r="L34" s="36">
        <f t="shared" si="1"/>
        <v>300.66072158568994</v>
      </c>
    </row>
    <row r="35" spans="1:12" x14ac:dyDescent="0.3">
      <c r="A35" s="9">
        <v>2019</v>
      </c>
      <c r="B35" s="20">
        <v>307.56635069773097</v>
      </c>
      <c r="C35" s="20">
        <v>0</v>
      </c>
      <c r="D35" s="20">
        <v>21.170470099999999</v>
      </c>
      <c r="E35" s="20">
        <v>328.73682079773101</v>
      </c>
      <c r="F35" s="20">
        <v>26.731934974370901</v>
      </c>
      <c r="G35" s="10">
        <f t="shared" si="0"/>
        <v>302.0048858233601</v>
      </c>
      <c r="H35" s="38">
        <v>6.5295832808322674</v>
      </c>
      <c r="I35" s="38">
        <v>91.832910130757853</v>
      </c>
      <c r="J35" s="38">
        <v>103.82486478730694</v>
      </c>
      <c r="K35" s="38">
        <v>99.817527624463054</v>
      </c>
      <c r="L35" s="37">
        <f t="shared" si="1"/>
        <v>295.47530254252786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139C-30E5-48AF-9D82-DE22605E0F23}">
  <sheetPr codeName="Sheet6"/>
  <dimension ref="A1:L47"/>
  <sheetViews>
    <sheetView topLeftCell="A2" zoomScale="91" workbookViewId="0">
      <selection activeCell="L2" sqref="L2:L47"/>
    </sheetView>
  </sheetViews>
  <sheetFormatPr defaultRowHeight="15.5" x14ac:dyDescent="0.4"/>
  <cols>
    <col min="2" max="2" width="27.296875" customWidth="1"/>
    <col min="3" max="3" width="39.796875" customWidth="1"/>
    <col min="4" max="4" width="33.59765625" customWidth="1"/>
    <col min="5" max="5" width="18.09765625" customWidth="1"/>
    <col min="6" max="6" width="13.296875" customWidth="1"/>
    <col min="7" max="7" width="19.19921875" customWidth="1"/>
    <col min="8" max="8" width="14.296875" style="41" customWidth="1"/>
  </cols>
  <sheetData>
    <row r="1" spans="1:12" x14ac:dyDescent="0.3">
      <c r="A1" s="30" t="s">
        <v>4</v>
      </c>
      <c r="B1" s="31" t="s">
        <v>3</v>
      </c>
      <c r="C1" s="32" t="s">
        <v>2</v>
      </c>
      <c r="D1" s="32" t="s">
        <v>1</v>
      </c>
      <c r="E1" s="32" t="s">
        <v>0</v>
      </c>
      <c r="F1" s="32" t="s">
        <v>29</v>
      </c>
      <c r="G1" s="32" t="s">
        <v>12</v>
      </c>
      <c r="H1" s="42" t="s">
        <v>25</v>
      </c>
      <c r="I1" s="2" t="s">
        <v>26</v>
      </c>
      <c r="J1" s="2" t="s">
        <v>27</v>
      </c>
      <c r="K1" s="2" t="s">
        <v>28</v>
      </c>
      <c r="L1" s="2" t="s">
        <v>30</v>
      </c>
    </row>
    <row r="2" spans="1:12" x14ac:dyDescent="0.25">
      <c r="A2" s="25">
        <v>1920</v>
      </c>
      <c r="B2" s="11">
        <f>297/1000</f>
        <v>0.29699999999999999</v>
      </c>
      <c r="C2" s="14">
        <f>398/1000</f>
        <v>0.39800000000000002</v>
      </c>
      <c r="D2" s="14">
        <f>2545/1000</f>
        <v>2.5449999999999999</v>
      </c>
      <c r="E2" s="15">
        <f>48/1000</f>
        <v>4.8000000000000001E-2</v>
      </c>
      <c r="F2" s="15">
        <f>419/1000</f>
        <v>0.41899999999999998</v>
      </c>
      <c r="G2" s="29">
        <f>ComsumptionCategory[[#This Row],[Domestic and farm premises  ]]+ComsumptionCategory[[#This Row],[Shops offices,and other commercial  premises ]]+ComsumptionCategory[[#This Row],[Factories and other industrial premises]]+ComsumptionCategory[[#This Row],[Public lighting]]+ComsumptionCategory[[#This Row],[Traction]]</f>
        <v>3.7070000000000003</v>
      </c>
      <c r="H2" s="43">
        <f>ComsumptionCategory[[#This Row],[Domestic and farm premises  ]]/ComsumptionCategory[[#This Row],[ConsumptionTotal]]</f>
        <v>8.0118694362017795E-2</v>
      </c>
      <c r="I2" s="43">
        <f>ComsumptionCategory[[#This Row],[Shops offices,and other commercial  premises ]]/ComsumptionCategory[[#This Row],[ConsumptionTotal]]</f>
        <v>0.1073644456433774</v>
      </c>
      <c r="J2" s="43">
        <f>ComsumptionCategory[[#This Row],[Factories and other industrial premises]]/ComsumptionCategory[[#This Row],[ConsumptionTotal]]</f>
        <v>0.68653898030752625</v>
      </c>
      <c r="K2" s="43">
        <f>ComsumptionCategory[[#This Row],[Public lighting]]/ComsumptionCategory[[#This Row],[ConsumptionTotal]]</f>
        <v>1.2948475856487725E-2</v>
      </c>
      <c r="L2" s="43">
        <f>ComsumptionCategory[[#This Row],[Traction]]/ComsumptionCategory[[#This Row],[ConsumptionTotal]]</f>
        <v>0.11302940383059076</v>
      </c>
    </row>
    <row r="3" spans="1:12" x14ac:dyDescent="0.25">
      <c r="A3" s="25">
        <v>1921</v>
      </c>
      <c r="B3" s="11">
        <f>316/1000</f>
        <v>0.316</v>
      </c>
      <c r="C3" s="14">
        <f>403/1000</f>
        <v>0.40300000000000002</v>
      </c>
      <c r="D3" s="14">
        <f>2081/1000</f>
        <v>2.081</v>
      </c>
      <c r="E3" s="15">
        <f>51/1000</f>
        <v>5.0999999999999997E-2</v>
      </c>
      <c r="F3" s="15">
        <f>391/1000</f>
        <v>0.39100000000000001</v>
      </c>
      <c r="G3" s="29">
        <f>ComsumptionCategory[[#This Row],[Domestic and farm premises  ]]+ComsumptionCategory[[#This Row],[Shops offices,and other commercial  premises ]]+ComsumptionCategory[[#This Row],[Factories and other industrial premises]]+ComsumptionCategory[[#This Row],[Public lighting]]+ComsumptionCategory[[#This Row],[Traction]]</f>
        <v>3.242</v>
      </c>
      <c r="H3" s="43">
        <f>ComsumptionCategory[[#This Row],[Domestic and farm premises  ]]/ComsumptionCategory[[#This Row],[ConsumptionTotal]]</f>
        <v>9.7470697100555212E-2</v>
      </c>
      <c r="I3" s="43">
        <f>ComsumptionCategory[[#This Row],[Shops offices,and other commercial  premises ]]/ComsumptionCategory[[#This Row],[ConsumptionTotal]]</f>
        <v>0.1243059839605182</v>
      </c>
      <c r="J3" s="43">
        <f>ComsumptionCategory[[#This Row],[Factories and other industrial premises]]/ComsumptionCategory[[#This Row],[ConsumptionTotal]]</f>
        <v>0.64188772362739044</v>
      </c>
      <c r="K3" s="43">
        <f>ComsumptionCategory[[#This Row],[Public lighting]]/ComsumptionCategory[[#This Row],[ConsumptionTotal]]</f>
        <v>1.5731030228254162E-2</v>
      </c>
      <c r="L3" s="43">
        <f>ComsumptionCategory[[#This Row],[Traction]]/ComsumptionCategory[[#This Row],[ConsumptionTotal]]</f>
        <v>0.12060456508328193</v>
      </c>
    </row>
    <row r="4" spans="1:12" x14ac:dyDescent="0.25">
      <c r="A4" s="25">
        <v>1922</v>
      </c>
      <c r="B4" s="11">
        <f>370/1000</f>
        <v>0.37</v>
      </c>
      <c r="C4" s="14">
        <f>460/1000</f>
        <v>0.46</v>
      </c>
      <c r="D4" s="14">
        <f>2456/1000</f>
        <v>2.456</v>
      </c>
      <c r="E4" s="15">
        <f>58/1000</f>
        <v>5.8000000000000003E-2</v>
      </c>
      <c r="F4" s="15">
        <f>415/1000</f>
        <v>0.41499999999999998</v>
      </c>
      <c r="G4" s="29">
        <f>ComsumptionCategory[[#This Row],[Domestic and farm premises  ]]+ComsumptionCategory[[#This Row],[Shops offices,and other commercial  premises ]]+ComsumptionCategory[[#This Row],[Factories and other industrial premises]]+ComsumptionCategory[[#This Row],[Public lighting]]+ComsumptionCategory[[#This Row],[Traction]]</f>
        <v>3.7589999999999999</v>
      </c>
      <c r="H4" s="43">
        <f>ComsumptionCategory[[#This Row],[Domestic and farm premises  ]]/ComsumptionCategory[[#This Row],[ConsumptionTotal]]</f>
        <v>9.8430433625964348E-2</v>
      </c>
      <c r="I4" s="43">
        <f>ComsumptionCategory[[#This Row],[Shops offices,and other commercial  premises ]]/ComsumptionCategory[[#This Row],[ConsumptionTotal]]</f>
        <v>0.12237297153498272</v>
      </c>
      <c r="J4" s="43">
        <f>ComsumptionCategory[[#This Row],[Factories and other industrial premises]]/ComsumptionCategory[[#This Row],[ConsumptionTotal]]</f>
        <v>0.65336525671721202</v>
      </c>
      <c r="K4" s="43">
        <f>ComsumptionCategory[[#This Row],[Public lighting]]/ComsumptionCategory[[#This Row],[ConsumptionTotal]]</f>
        <v>1.5429635541367386E-2</v>
      </c>
      <c r="L4" s="43">
        <f>ComsumptionCategory[[#This Row],[Traction]]/ComsumptionCategory[[#This Row],[ConsumptionTotal]]</f>
        <v>0.11040170258047353</v>
      </c>
    </row>
    <row r="5" spans="1:12" x14ac:dyDescent="0.25">
      <c r="A5" s="25">
        <v>1923</v>
      </c>
      <c r="B5" s="11">
        <f>453/1000</f>
        <v>0.45300000000000001</v>
      </c>
      <c r="C5" s="14">
        <f>543/1000</f>
        <v>0.54300000000000004</v>
      </c>
      <c r="D5" s="14">
        <f>2989/1000</f>
        <v>2.9889999999999999</v>
      </c>
      <c r="E5" s="15">
        <f>67/1000</f>
        <v>6.7000000000000004E-2</v>
      </c>
      <c r="F5" s="15">
        <f>443/1000</f>
        <v>0.443</v>
      </c>
      <c r="G5" s="29">
        <f>ComsumptionCategory[[#This Row],[Domestic and farm premises  ]]+ComsumptionCategory[[#This Row],[Shops offices,and other commercial  premises ]]+ComsumptionCategory[[#This Row],[Factories and other industrial premises]]+ComsumptionCategory[[#This Row],[Public lighting]]+ComsumptionCategory[[#This Row],[Traction]]</f>
        <v>4.4949999999999992</v>
      </c>
      <c r="H5" s="43">
        <f>ComsumptionCategory[[#This Row],[Domestic and farm premises  ]]/ComsumptionCategory[[#This Row],[ConsumptionTotal]]</f>
        <v>0.10077864293659623</v>
      </c>
      <c r="I5" s="43">
        <f>ComsumptionCategory[[#This Row],[Shops offices,and other commercial  premises ]]/ComsumptionCategory[[#This Row],[ConsumptionTotal]]</f>
        <v>0.12080088987764186</v>
      </c>
      <c r="J5" s="43">
        <f>ComsumptionCategory[[#This Row],[Factories and other industrial premises]]/ComsumptionCategory[[#This Row],[ConsumptionTotal]]</f>
        <v>0.66496106785317033</v>
      </c>
      <c r="K5" s="43">
        <f>ComsumptionCategory[[#This Row],[Public lighting]]/ComsumptionCategory[[#This Row],[ConsumptionTotal]]</f>
        <v>1.4905450500556177E-2</v>
      </c>
      <c r="L5" s="43">
        <f>ComsumptionCategory[[#This Row],[Traction]]/ComsumptionCategory[[#This Row],[ConsumptionTotal]]</f>
        <v>9.8553948832035609E-2</v>
      </c>
    </row>
    <row r="6" spans="1:12" x14ac:dyDescent="0.25">
      <c r="A6" s="25">
        <v>1924</v>
      </c>
      <c r="B6" s="11">
        <f>543/1000</f>
        <v>0.54300000000000004</v>
      </c>
      <c r="C6" s="14">
        <f>626/1000</f>
        <v>0.626</v>
      </c>
      <c r="D6" s="14">
        <f>3435/1000</f>
        <v>3.4350000000000001</v>
      </c>
      <c r="E6" s="15">
        <f>78/1000</f>
        <v>7.8E-2</v>
      </c>
      <c r="F6" s="15">
        <f>486/1000</f>
        <v>0.48599999999999999</v>
      </c>
      <c r="G6" s="29">
        <f>ComsumptionCategory[[#This Row],[Domestic and farm premises  ]]+ComsumptionCategory[[#This Row],[Shops offices,and other commercial  premises ]]+ComsumptionCategory[[#This Row],[Factories and other industrial premises]]+ComsumptionCategory[[#This Row],[Public lighting]]+ComsumptionCategory[[#This Row],[Traction]]</f>
        <v>5.1680000000000001</v>
      </c>
      <c r="H6" s="43">
        <f>ComsumptionCategory[[#This Row],[Domestic and farm premises  ]]/ComsumptionCategory[[#This Row],[ConsumptionTotal]]</f>
        <v>0.10506965944272446</v>
      </c>
      <c r="I6" s="43">
        <f>ComsumptionCategory[[#This Row],[Shops offices,and other commercial  premises ]]/ComsumptionCategory[[#This Row],[ConsumptionTotal]]</f>
        <v>0.12113003095975232</v>
      </c>
      <c r="J6" s="43">
        <f>ComsumptionCategory[[#This Row],[Factories and other industrial premises]]/ComsumptionCategory[[#This Row],[ConsumptionTotal]]</f>
        <v>0.66466718266253866</v>
      </c>
      <c r="K6" s="43">
        <f>ComsumptionCategory[[#This Row],[Public lighting]]/ComsumptionCategory[[#This Row],[ConsumptionTotal]]</f>
        <v>1.5092879256965943E-2</v>
      </c>
      <c r="L6" s="43">
        <f>ComsumptionCategory[[#This Row],[Traction]]/ComsumptionCategory[[#This Row],[ConsumptionTotal]]</f>
        <v>9.4040247678018565E-2</v>
      </c>
    </row>
    <row r="7" spans="1:12" x14ac:dyDescent="0.25">
      <c r="A7" s="25">
        <v>1925</v>
      </c>
      <c r="B7" s="11">
        <f>635/1000</f>
        <v>0.63500000000000001</v>
      </c>
      <c r="C7" s="14">
        <f>699/1000</f>
        <v>0.69899999999999995</v>
      </c>
      <c r="D7" s="14">
        <f>3709/1000</f>
        <v>3.7090000000000001</v>
      </c>
      <c r="E7" s="15">
        <f>90/1000</f>
        <v>0.09</v>
      </c>
      <c r="F7" s="15">
        <f>519/1000</f>
        <v>0.51900000000000002</v>
      </c>
      <c r="G7" s="29">
        <f>ComsumptionCategory[[#This Row],[Domestic and farm premises  ]]+ComsumptionCategory[[#This Row],[Shops offices,and other commercial  premises ]]+ComsumptionCategory[[#This Row],[Factories and other industrial premises]]+ComsumptionCategory[[#This Row],[Public lighting]]+ComsumptionCategory[[#This Row],[Traction]]</f>
        <v>5.6520000000000001</v>
      </c>
      <c r="H7" s="43">
        <f>ComsumptionCategory[[#This Row],[Domestic and farm premises  ]]/ComsumptionCategory[[#This Row],[ConsumptionTotal]]</f>
        <v>0.11234961075725407</v>
      </c>
      <c r="I7" s="43">
        <f>ComsumptionCategory[[#This Row],[Shops offices,and other commercial  premises ]]/ComsumptionCategory[[#This Row],[ConsumptionTotal]]</f>
        <v>0.12367303609341825</v>
      </c>
      <c r="J7" s="43">
        <f>ComsumptionCategory[[#This Row],[Factories and other industrial premises]]/ComsumptionCategory[[#This Row],[ConsumptionTotal]]</f>
        <v>0.65622788393489029</v>
      </c>
      <c r="K7" s="43">
        <f>ComsumptionCategory[[#This Row],[Public lighting]]/ComsumptionCategory[[#This Row],[ConsumptionTotal]]</f>
        <v>1.5923566878980892E-2</v>
      </c>
      <c r="L7" s="43">
        <f>ComsumptionCategory[[#This Row],[Traction]]/ComsumptionCategory[[#This Row],[ConsumptionTotal]]</f>
        <v>9.1825902335456483E-2</v>
      </c>
    </row>
    <row r="8" spans="1:12" x14ac:dyDescent="0.25">
      <c r="A8" s="25">
        <v>1926</v>
      </c>
      <c r="B8" s="11">
        <f>754/1000</f>
        <v>0.754</v>
      </c>
      <c r="C8" s="14">
        <f>812/1000</f>
        <v>0.81200000000000006</v>
      </c>
      <c r="D8" s="14">
        <f>3592/1000</f>
        <v>3.5920000000000001</v>
      </c>
      <c r="E8" s="15">
        <f>96/1000</f>
        <v>9.6000000000000002E-2</v>
      </c>
      <c r="F8" s="15">
        <f>563/1000</f>
        <v>0.56299999999999994</v>
      </c>
      <c r="G8" s="29">
        <f>ComsumptionCategory[[#This Row],[Domestic and farm premises  ]]+ComsumptionCategory[[#This Row],[Shops offices,and other commercial  premises ]]+ComsumptionCategory[[#This Row],[Factories and other industrial premises]]+ComsumptionCategory[[#This Row],[Public lighting]]+ComsumptionCategory[[#This Row],[Traction]]</f>
        <v>5.8170000000000002</v>
      </c>
      <c r="H8" s="43">
        <f>ComsumptionCategory[[#This Row],[Domestic and farm premises  ]]/ComsumptionCategory[[#This Row],[ConsumptionTotal]]</f>
        <v>0.12962007907856282</v>
      </c>
      <c r="I8" s="43">
        <f>ComsumptionCategory[[#This Row],[Shops offices,and other commercial  premises ]]/ComsumptionCategory[[#This Row],[ConsumptionTotal]]</f>
        <v>0.13959085439229843</v>
      </c>
      <c r="J8" s="43">
        <f>ComsumptionCategory[[#This Row],[Factories and other industrial premises]]/ComsumptionCategory[[#This Row],[ConsumptionTotal]]</f>
        <v>0.61750042977479802</v>
      </c>
      <c r="K8" s="43">
        <f>ComsumptionCategory[[#This Row],[Public lighting]]/ComsumptionCategory[[#This Row],[ConsumptionTotal]]</f>
        <v>1.6503352243424446E-2</v>
      </c>
      <c r="L8" s="43">
        <f>ComsumptionCategory[[#This Row],[Traction]]/ComsumptionCategory[[#This Row],[ConsumptionTotal]]</f>
        <v>9.6785284510916267E-2</v>
      </c>
    </row>
    <row r="9" spans="1:12" x14ac:dyDescent="0.25">
      <c r="A9" s="25">
        <v>1927</v>
      </c>
      <c r="B9" s="11">
        <f>921/1000</f>
        <v>0.92100000000000004</v>
      </c>
      <c r="C9" s="14">
        <f>923/1000</f>
        <v>0.92300000000000004</v>
      </c>
      <c r="D9" s="14">
        <f>4375/1000</f>
        <v>4.375</v>
      </c>
      <c r="E9" s="15">
        <f>113/1000</f>
        <v>0.113</v>
      </c>
      <c r="F9" s="15">
        <f>649/1000</f>
        <v>0.64900000000000002</v>
      </c>
      <c r="G9" s="29">
        <f>ComsumptionCategory[[#This Row],[Domestic and farm premises  ]]+ComsumptionCategory[[#This Row],[Shops offices,and other commercial  premises ]]+ComsumptionCategory[[#This Row],[Factories and other industrial premises]]+ComsumptionCategory[[#This Row],[Public lighting]]+ComsumptionCategory[[#This Row],[Traction]]</f>
        <v>6.9810000000000008</v>
      </c>
      <c r="H9" s="43">
        <f>ComsumptionCategory[[#This Row],[Domestic and farm premises  ]]/ComsumptionCategory[[#This Row],[ConsumptionTotal]]</f>
        <v>0.13192952299097549</v>
      </c>
      <c r="I9" s="43">
        <f>ComsumptionCategory[[#This Row],[Shops offices,and other commercial  premises ]]/ComsumptionCategory[[#This Row],[ConsumptionTotal]]</f>
        <v>0.13221601489757914</v>
      </c>
      <c r="J9" s="43">
        <f>ComsumptionCategory[[#This Row],[Factories and other industrial premises]]/ComsumptionCategory[[#This Row],[ConsumptionTotal]]</f>
        <v>0.62670104569545904</v>
      </c>
      <c r="K9" s="43">
        <f>ComsumptionCategory[[#This Row],[Public lighting]]/ComsumptionCategory[[#This Row],[ConsumptionTotal]]</f>
        <v>1.618679272310557E-2</v>
      </c>
      <c r="L9" s="43">
        <f>ComsumptionCategory[[#This Row],[Traction]]/ComsumptionCategory[[#This Row],[ConsumptionTotal]]</f>
        <v>9.2966623692880668E-2</v>
      </c>
    </row>
    <row r="10" spans="1:12" x14ac:dyDescent="0.25">
      <c r="A10" s="26">
        <v>1928</v>
      </c>
      <c r="B10" s="11">
        <f>1098/1000</f>
        <v>1.0980000000000001</v>
      </c>
      <c r="C10" s="14">
        <f>1042/1000</f>
        <v>1.042</v>
      </c>
      <c r="D10" s="14">
        <f>4762/1000</f>
        <v>4.7619999999999996</v>
      </c>
      <c r="E10" s="15">
        <f>126/1000</f>
        <v>0.126</v>
      </c>
      <c r="F10" s="15">
        <f>716/1000</f>
        <v>0.71599999999999997</v>
      </c>
      <c r="G10" s="29">
        <f>ComsumptionCategory[[#This Row],[Domestic and farm premises  ]]+ComsumptionCategory[[#This Row],[Shops offices,and other commercial  premises ]]+ComsumptionCategory[[#This Row],[Factories and other industrial premises]]+ComsumptionCategory[[#This Row],[Public lighting]]+ComsumptionCategory[[#This Row],[Traction]]</f>
        <v>7.7439999999999998</v>
      </c>
      <c r="H10" s="43">
        <f>ComsumptionCategory[[#This Row],[Domestic and farm premises  ]]/ComsumptionCategory[[#This Row],[ConsumptionTotal]]</f>
        <v>0.14178719008264465</v>
      </c>
      <c r="I10" s="43">
        <f>ComsumptionCategory[[#This Row],[Shops offices,and other commercial  premises ]]/ComsumptionCategory[[#This Row],[ConsumptionTotal]]</f>
        <v>0.13455578512396696</v>
      </c>
      <c r="J10" s="43">
        <f>ComsumptionCategory[[#This Row],[Factories and other industrial premises]]/ComsumptionCategory[[#This Row],[ConsumptionTotal]]</f>
        <v>0.61492768595041314</v>
      </c>
      <c r="K10" s="43">
        <f>ComsumptionCategory[[#This Row],[Public lighting]]/ComsumptionCategory[[#This Row],[ConsumptionTotal]]</f>
        <v>1.6270661157024795E-2</v>
      </c>
      <c r="L10" s="43">
        <f>ComsumptionCategory[[#This Row],[Traction]]/ComsumptionCategory[[#This Row],[ConsumptionTotal]]</f>
        <v>9.2458677685950411E-2</v>
      </c>
    </row>
    <row r="11" spans="1:12" x14ac:dyDescent="0.25">
      <c r="A11" s="26">
        <v>1929</v>
      </c>
      <c r="B11" s="11">
        <f>1311/1000</f>
        <v>1.3109999999999999</v>
      </c>
      <c r="C11" s="14">
        <f>1191/1000</f>
        <v>1.1910000000000001</v>
      </c>
      <c r="D11" s="14">
        <f>5318/1000</f>
        <v>5.3179999999999996</v>
      </c>
      <c r="E11" s="15">
        <f>144/1000</f>
        <v>0.14399999999999999</v>
      </c>
      <c r="F11" s="15">
        <f>782/1000</f>
        <v>0.78200000000000003</v>
      </c>
      <c r="G11" s="29">
        <f>ComsumptionCategory[[#This Row],[Domestic and farm premises  ]]+ComsumptionCategory[[#This Row],[Shops offices,and other commercial  premises ]]+ComsumptionCategory[[#This Row],[Factories and other industrial premises]]+ComsumptionCategory[[#This Row],[Public lighting]]+ComsumptionCategory[[#This Row],[Traction]]</f>
        <v>8.7459999999999987</v>
      </c>
      <c r="H11" s="43">
        <f>ComsumptionCategory[[#This Row],[Domestic and farm premises  ]]/ComsumptionCategory[[#This Row],[ConsumptionTotal]]</f>
        <v>0.14989709581522984</v>
      </c>
      <c r="I11" s="43">
        <f>ComsumptionCategory[[#This Row],[Shops offices,and other commercial  premises ]]/ComsumptionCategory[[#This Row],[ConsumptionTotal]]</f>
        <v>0.13617653784587241</v>
      </c>
      <c r="J11" s="43">
        <f>ComsumptionCategory[[#This Row],[Factories and other industrial premises]]/ComsumptionCategory[[#This Row],[ConsumptionTotal]]</f>
        <v>0.60804939400868974</v>
      </c>
      <c r="K11" s="43">
        <f>ComsumptionCategory[[#This Row],[Public lighting]]/ComsumptionCategory[[#This Row],[ConsumptionTotal]]</f>
        <v>1.6464669563228906E-2</v>
      </c>
      <c r="L11" s="43">
        <f>ComsumptionCategory[[#This Row],[Traction]]/ComsumptionCategory[[#This Row],[ConsumptionTotal]]</f>
        <v>8.9412302766979201E-2</v>
      </c>
    </row>
    <row r="12" spans="1:12" x14ac:dyDescent="0.25">
      <c r="A12" s="26">
        <v>1930</v>
      </c>
      <c r="B12" s="11">
        <f>1532/1000</f>
        <v>1.532</v>
      </c>
      <c r="C12" s="14">
        <f>1314/1000</f>
        <v>1.3140000000000001</v>
      </c>
      <c r="D12" s="14">
        <f>5355/1000</f>
        <v>5.3550000000000004</v>
      </c>
      <c r="E12" s="15">
        <f>162/1000</f>
        <v>0.16200000000000001</v>
      </c>
      <c r="F12" s="15">
        <f>806/1000</f>
        <v>0.80600000000000005</v>
      </c>
      <c r="G12" s="29">
        <f>ComsumptionCategory[[#This Row],[Domestic and farm premises  ]]+ComsumptionCategory[[#This Row],[Shops offices,and other commercial  premises ]]+ComsumptionCategory[[#This Row],[Factories and other industrial premises]]+ComsumptionCategory[[#This Row],[Public lighting]]+ComsumptionCategory[[#This Row],[Traction]]</f>
        <v>9.1690000000000005</v>
      </c>
      <c r="H12" s="43">
        <f>ComsumptionCategory[[#This Row],[Domestic and farm premises  ]]/ComsumptionCategory[[#This Row],[ConsumptionTotal]]</f>
        <v>0.16708474206565602</v>
      </c>
      <c r="I12" s="43">
        <f>ComsumptionCategory[[#This Row],[Shops offices,and other commercial  premises ]]/ComsumptionCategory[[#This Row],[ConsumptionTotal]]</f>
        <v>0.14330897589704439</v>
      </c>
      <c r="J12" s="43">
        <f>ComsumptionCategory[[#This Row],[Factories and other industrial premises]]/ComsumptionCategory[[#This Row],[ConsumptionTotal]]</f>
        <v>0.58403315519685894</v>
      </c>
      <c r="K12" s="43">
        <f>ComsumptionCategory[[#This Row],[Public lighting]]/ComsumptionCategory[[#This Row],[ConsumptionTotal]]</f>
        <v>1.766822990511506E-2</v>
      </c>
      <c r="L12" s="43">
        <f>ComsumptionCategory[[#This Row],[Traction]]/ComsumptionCategory[[#This Row],[ConsumptionTotal]]</f>
        <v>8.7904896935325549E-2</v>
      </c>
    </row>
    <row r="13" spans="1:12" x14ac:dyDescent="0.25">
      <c r="A13" s="26">
        <v>1931</v>
      </c>
      <c r="B13" s="11">
        <f>1776/1000</f>
        <v>1.776</v>
      </c>
      <c r="C13" s="14">
        <f>1439/1000</f>
        <v>1.4390000000000001</v>
      </c>
      <c r="D13" s="14">
        <f>5282/1000</f>
        <v>5.282</v>
      </c>
      <c r="E13" s="15">
        <f>181/1000</f>
        <v>0.18099999999999999</v>
      </c>
      <c r="F13" s="15">
        <f>822/1000</f>
        <v>0.82199999999999995</v>
      </c>
      <c r="G13" s="29">
        <f>ComsumptionCategory[[#This Row],[Domestic and farm premises  ]]+ComsumptionCategory[[#This Row],[Shops offices,and other commercial  premises ]]+ComsumptionCategory[[#This Row],[Factories and other industrial premises]]+ComsumptionCategory[[#This Row],[Public lighting]]+ComsumptionCategory[[#This Row],[Traction]]</f>
        <v>9.4999999999999982</v>
      </c>
      <c r="H13" s="43">
        <f>ComsumptionCategory[[#This Row],[Domestic and farm premises  ]]/ComsumptionCategory[[#This Row],[ConsumptionTotal]]</f>
        <v>0.18694736842105267</v>
      </c>
      <c r="I13" s="43">
        <f>ComsumptionCategory[[#This Row],[Shops offices,and other commercial  premises ]]/ComsumptionCategory[[#This Row],[ConsumptionTotal]]</f>
        <v>0.15147368421052634</v>
      </c>
      <c r="J13" s="43">
        <f>ComsumptionCategory[[#This Row],[Factories and other industrial premises]]/ComsumptionCategory[[#This Row],[ConsumptionTotal]]</f>
        <v>0.55600000000000016</v>
      </c>
      <c r="K13" s="43">
        <f>ComsumptionCategory[[#This Row],[Public lighting]]/ComsumptionCategory[[#This Row],[ConsumptionTotal]]</f>
        <v>1.9052631578947373E-2</v>
      </c>
      <c r="L13" s="43">
        <f>ComsumptionCategory[[#This Row],[Traction]]/ComsumptionCategory[[#This Row],[ConsumptionTotal]]</f>
        <v>8.6526315789473701E-2</v>
      </c>
    </row>
    <row r="14" spans="1:12" x14ac:dyDescent="0.25">
      <c r="A14" s="26">
        <v>1932</v>
      </c>
      <c r="B14" s="11">
        <f>2027/1000</f>
        <v>2.0270000000000001</v>
      </c>
      <c r="C14" s="14">
        <f>1577/1000</f>
        <v>1.577</v>
      </c>
      <c r="D14" s="14">
        <f>5518/1000</f>
        <v>5.5179999999999998</v>
      </c>
      <c r="E14" s="15">
        <f>199/1000</f>
        <v>0.19900000000000001</v>
      </c>
      <c r="F14" s="15">
        <f>855/1000</f>
        <v>0.85499999999999998</v>
      </c>
      <c r="G14" s="29">
        <f>ComsumptionCategory[[#This Row],[Domestic and farm premises  ]]+ComsumptionCategory[[#This Row],[Shops offices,and other commercial  premises ]]+ComsumptionCategory[[#This Row],[Factories and other industrial premises]]+ComsumptionCategory[[#This Row],[Public lighting]]+ComsumptionCategory[[#This Row],[Traction]]</f>
        <v>10.176</v>
      </c>
      <c r="H14" s="43">
        <f>ComsumptionCategory[[#This Row],[Domestic and farm premises  ]]/ComsumptionCategory[[#This Row],[ConsumptionTotal]]</f>
        <v>0.19919418238993711</v>
      </c>
      <c r="I14" s="43">
        <f>ComsumptionCategory[[#This Row],[Shops offices,and other commercial  premises ]]/ComsumptionCategory[[#This Row],[ConsumptionTotal]]</f>
        <v>0.15497248427672955</v>
      </c>
      <c r="J14" s="43">
        <f>ComsumptionCategory[[#This Row],[Factories and other industrial premises]]/ComsumptionCategory[[#This Row],[ConsumptionTotal]]</f>
        <v>0.54225628930817604</v>
      </c>
      <c r="K14" s="43">
        <f>ComsumptionCategory[[#This Row],[Public lighting]]/ComsumptionCategory[[#This Row],[ConsumptionTotal]]</f>
        <v>1.9555817610062892E-2</v>
      </c>
      <c r="L14" s="43">
        <f>ComsumptionCategory[[#This Row],[Traction]]/ComsumptionCategory[[#This Row],[ConsumptionTotal]]</f>
        <v>8.4021226415094338E-2</v>
      </c>
    </row>
    <row r="15" spans="1:12" x14ac:dyDescent="0.25">
      <c r="A15" s="26">
        <v>1933</v>
      </c>
      <c r="B15" s="11">
        <f>2296/1000</f>
        <v>2.2959999999999998</v>
      </c>
      <c r="C15" s="14">
        <f>1741/1000</f>
        <v>1.7410000000000001</v>
      </c>
      <c r="D15" s="14">
        <f>6073/1000</f>
        <v>6.0730000000000004</v>
      </c>
      <c r="E15" s="15">
        <f>216/1000</f>
        <v>0.216</v>
      </c>
      <c r="F15" s="15">
        <f>947/1000</f>
        <v>0.94699999999999995</v>
      </c>
      <c r="G15" s="29">
        <f>ComsumptionCategory[[#This Row],[Domestic and farm premises  ]]+ComsumptionCategory[[#This Row],[Shops offices,and other commercial  premises ]]+ComsumptionCategory[[#This Row],[Factories and other industrial premises]]+ComsumptionCategory[[#This Row],[Public lighting]]+ComsumptionCategory[[#This Row],[Traction]]</f>
        <v>11.272999999999998</v>
      </c>
      <c r="H15" s="43">
        <f>ComsumptionCategory[[#This Row],[Domestic and farm premises  ]]/ComsumptionCategory[[#This Row],[ConsumptionTotal]]</f>
        <v>0.20367249179455338</v>
      </c>
      <c r="I15" s="43">
        <f>ComsumptionCategory[[#This Row],[Shops offices,and other commercial  premises ]]/ComsumptionCategory[[#This Row],[ConsumptionTotal]]</f>
        <v>0.15443981194003376</v>
      </c>
      <c r="J15" s="43">
        <f>ComsumptionCategory[[#This Row],[Factories and other industrial premises]]/ComsumptionCategory[[#This Row],[ConsumptionTotal]]</f>
        <v>0.53872083739909526</v>
      </c>
      <c r="K15" s="43">
        <f>ComsumptionCategory[[#This Row],[Public lighting]]/ComsumptionCategory[[#This Row],[ConsumptionTotal]]</f>
        <v>1.9160826754191434E-2</v>
      </c>
      <c r="L15" s="43">
        <f>ComsumptionCategory[[#This Row],[Traction]]/ComsumptionCategory[[#This Row],[ConsumptionTotal]]</f>
        <v>8.400603211212633E-2</v>
      </c>
    </row>
    <row r="16" spans="1:12" x14ac:dyDescent="0.25">
      <c r="A16" s="26">
        <v>1934</v>
      </c>
      <c r="B16" s="11">
        <f>2647/1000</f>
        <v>2.6469999999999998</v>
      </c>
      <c r="C16" s="14">
        <f>1963/1000</f>
        <v>1.9630000000000001</v>
      </c>
      <c r="D16" s="14">
        <f>7060/1000</f>
        <v>7.06</v>
      </c>
      <c r="E16" s="15">
        <f>240/1000</f>
        <v>0.24</v>
      </c>
      <c r="F16" s="15">
        <f>982/1000</f>
        <v>0.98199999999999998</v>
      </c>
      <c r="G16" s="29">
        <f>ComsumptionCategory[[#This Row],[Domestic and farm premises  ]]+ComsumptionCategory[[#This Row],[Shops offices,and other commercial  premises ]]+ComsumptionCategory[[#This Row],[Factories and other industrial premises]]+ComsumptionCategory[[#This Row],[Public lighting]]+ComsumptionCategory[[#This Row],[Traction]]</f>
        <v>12.891999999999998</v>
      </c>
      <c r="H16" s="43">
        <f>ComsumptionCategory[[#This Row],[Domestic and farm premises  ]]/ComsumptionCategory[[#This Row],[ConsumptionTotal]]</f>
        <v>0.20532112938256286</v>
      </c>
      <c r="I16" s="43">
        <f>ComsumptionCategory[[#This Row],[Shops offices,and other commercial  premises ]]/ComsumptionCategory[[#This Row],[ConsumptionTotal]]</f>
        <v>0.15226497052435622</v>
      </c>
      <c r="J16" s="43">
        <f>ComsumptionCategory[[#This Row],[Factories and other industrial premises]]/ComsumptionCategory[[#This Row],[ConsumptionTotal]]</f>
        <v>0.54762643499844876</v>
      </c>
      <c r="K16" s="43">
        <f>ComsumptionCategory[[#This Row],[Public lighting]]/ComsumptionCategory[[#This Row],[ConsumptionTotal]]</f>
        <v>1.8616196090598825E-2</v>
      </c>
      <c r="L16" s="43">
        <f>ComsumptionCategory[[#This Row],[Traction]]/ComsumptionCategory[[#This Row],[ConsumptionTotal]]</f>
        <v>7.6171269004033523E-2</v>
      </c>
    </row>
    <row r="17" spans="1:12" x14ac:dyDescent="0.25">
      <c r="A17" s="26">
        <v>1935</v>
      </c>
      <c r="B17" s="11">
        <f>3227/1000</f>
        <v>3.2269999999999999</v>
      </c>
      <c r="C17" s="14">
        <f>2257/1000</f>
        <v>2.2570000000000001</v>
      </c>
      <c r="D17" s="14">
        <f>7853/1000</f>
        <v>7.8529999999999998</v>
      </c>
      <c r="E17" s="15">
        <f>268/1000</f>
        <v>0.26800000000000002</v>
      </c>
      <c r="F17" s="15">
        <f>1036/1000</f>
        <v>1.036</v>
      </c>
      <c r="G17" s="29">
        <f>ComsumptionCategory[[#This Row],[Domestic and farm premises  ]]+ComsumptionCategory[[#This Row],[Shops offices,and other commercial  premises ]]+ComsumptionCategory[[#This Row],[Factories and other industrial premises]]+ComsumptionCategory[[#This Row],[Public lighting]]+ComsumptionCategory[[#This Row],[Traction]]</f>
        <v>14.641</v>
      </c>
      <c r="H17" s="43">
        <f>ComsumptionCategory[[#This Row],[Domestic and farm premises  ]]/ComsumptionCategory[[#This Row],[ConsumptionTotal]]</f>
        <v>0.2204084420463083</v>
      </c>
      <c r="I17" s="43">
        <f>ComsumptionCategory[[#This Row],[Shops offices,and other commercial  premises ]]/ComsumptionCategory[[#This Row],[ConsumptionTotal]]</f>
        <v>0.15415613687589647</v>
      </c>
      <c r="J17" s="43">
        <f>ComsumptionCategory[[#This Row],[Factories and other industrial premises]]/ComsumptionCategory[[#This Row],[ConsumptionTotal]]</f>
        <v>0.53637046649818998</v>
      </c>
      <c r="K17" s="43">
        <f>ComsumptionCategory[[#This Row],[Public lighting]]/ComsumptionCategory[[#This Row],[ConsumptionTotal]]</f>
        <v>1.8304760603783894E-2</v>
      </c>
      <c r="L17" s="43">
        <f>ComsumptionCategory[[#This Row],[Traction]]/ComsumptionCategory[[#This Row],[ConsumptionTotal]]</f>
        <v>7.0760193975821326E-2</v>
      </c>
    </row>
    <row r="18" spans="1:12" x14ac:dyDescent="0.25">
      <c r="A18" s="26">
        <v>1936</v>
      </c>
      <c r="B18" s="11">
        <f>3964/1000</f>
        <v>3.964</v>
      </c>
      <c r="C18" s="14">
        <f>2619/1000</f>
        <v>2.6190000000000002</v>
      </c>
      <c r="D18" s="14">
        <f>8914/1000</f>
        <v>8.9139999999999997</v>
      </c>
      <c r="E18" s="15">
        <f>298/1000</f>
        <v>0.29799999999999999</v>
      </c>
      <c r="F18" s="15">
        <f>1096/1000</f>
        <v>1.0960000000000001</v>
      </c>
      <c r="G18" s="29">
        <f>ComsumptionCategory[[#This Row],[Domestic and farm premises  ]]+ComsumptionCategory[[#This Row],[Shops offices,and other commercial  premises ]]+ComsumptionCategory[[#This Row],[Factories and other industrial premises]]+ComsumptionCategory[[#This Row],[Public lighting]]+ComsumptionCategory[[#This Row],[Traction]]</f>
        <v>16.890999999999998</v>
      </c>
      <c r="H18" s="43">
        <f>ComsumptionCategory[[#This Row],[Domestic and farm premises  ]]/ComsumptionCategory[[#This Row],[ConsumptionTotal]]</f>
        <v>0.23468119116689362</v>
      </c>
      <c r="I18" s="43">
        <f>ComsumptionCategory[[#This Row],[Shops offices,and other commercial  premises ]]/ComsumptionCategory[[#This Row],[ConsumptionTotal]]</f>
        <v>0.15505298679770294</v>
      </c>
      <c r="J18" s="43">
        <f>ComsumptionCategory[[#This Row],[Factories and other industrial premises]]/ComsumptionCategory[[#This Row],[ConsumptionTotal]]</f>
        <v>0.52773666449588541</v>
      </c>
      <c r="K18" s="43">
        <f>ComsumptionCategory[[#This Row],[Public lighting]]/ComsumptionCategory[[#This Row],[ConsumptionTotal]]</f>
        <v>1.7642531525664557E-2</v>
      </c>
      <c r="L18" s="43">
        <f>ComsumptionCategory[[#This Row],[Traction]]/ComsumptionCategory[[#This Row],[ConsumptionTotal]]</f>
        <v>6.4886626013853546E-2</v>
      </c>
    </row>
    <row r="19" spans="1:12" x14ac:dyDescent="0.25">
      <c r="A19" s="26">
        <v>1937</v>
      </c>
      <c r="B19" s="11">
        <f>4687/1000</f>
        <v>4.6870000000000003</v>
      </c>
      <c r="C19" s="14">
        <f>2944/1000</f>
        <v>2.944</v>
      </c>
      <c r="D19" s="14">
        <f>10019/1000</f>
        <v>10.019</v>
      </c>
      <c r="E19" s="15">
        <f>339/1000</f>
        <v>0.33900000000000002</v>
      </c>
      <c r="F19" s="15">
        <f>1180/1000</f>
        <v>1.18</v>
      </c>
      <c r="G19" s="29">
        <f>ComsumptionCategory[[#This Row],[Domestic and farm premises  ]]+ComsumptionCategory[[#This Row],[Shops offices,and other commercial  premises ]]+ComsumptionCategory[[#This Row],[Factories and other industrial premises]]+ComsumptionCategory[[#This Row],[Public lighting]]+ComsumptionCategory[[#This Row],[Traction]]</f>
        <v>19.168999999999997</v>
      </c>
      <c r="H19" s="43">
        <f>ComsumptionCategory[[#This Row],[Domestic and farm premises  ]]/ComsumptionCategory[[#This Row],[ConsumptionTotal]]</f>
        <v>0.24450936407741672</v>
      </c>
      <c r="I19" s="43">
        <f>ComsumptionCategory[[#This Row],[Shops offices,and other commercial  premises ]]/ComsumptionCategory[[#This Row],[ConsumptionTotal]]</f>
        <v>0.15358130314570403</v>
      </c>
      <c r="J19" s="43">
        <f>ComsumptionCategory[[#This Row],[Factories and other industrial premises]]/ComsumptionCategory[[#This Row],[ConsumptionTotal]]</f>
        <v>0.522666805780166</v>
      </c>
      <c r="K19" s="43">
        <f>ComsumptionCategory[[#This Row],[Public lighting]]/ComsumptionCategory[[#This Row],[ConsumptionTotal]]</f>
        <v>1.7684803589128283E-2</v>
      </c>
      <c r="L19" s="43">
        <f>ComsumptionCategory[[#This Row],[Traction]]/ComsumptionCategory[[#This Row],[ConsumptionTotal]]</f>
        <v>6.1557723407585169E-2</v>
      </c>
    </row>
    <row r="20" spans="1:12" x14ac:dyDescent="0.25">
      <c r="A20" s="26">
        <v>1938</v>
      </c>
      <c r="B20" s="11">
        <f>5361/1000</f>
        <v>5.3609999999999998</v>
      </c>
      <c r="C20" s="14">
        <f>3107/1000</f>
        <v>3.1070000000000002</v>
      </c>
      <c r="D20" s="14">
        <f>10320/1000</f>
        <v>10.32</v>
      </c>
      <c r="E20" s="15">
        <f>367/1000</f>
        <v>0.36699999999999999</v>
      </c>
      <c r="F20" s="15">
        <f>1249/1000</f>
        <v>1.2490000000000001</v>
      </c>
      <c r="G20" s="29">
        <f>ComsumptionCategory[[#This Row],[Domestic and farm premises  ]]+ComsumptionCategory[[#This Row],[Shops offices,and other commercial  premises ]]+ComsumptionCategory[[#This Row],[Factories and other industrial premises]]+ComsumptionCategory[[#This Row],[Public lighting]]+ComsumptionCategory[[#This Row],[Traction]]</f>
        <v>20.404</v>
      </c>
      <c r="H20" s="43">
        <f>ComsumptionCategory[[#This Row],[Domestic and farm premises  ]]/ComsumptionCategory[[#This Row],[ConsumptionTotal]]</f>
        <v>0.26274259949029599</v>
      </c>
      <c r="I20" s="43">
        <f>ComsumptionCategory[[#This Row],[Shops offices,and other commercial  premises ]]/ComsumptionCategory[[#This Row],[ConsumptionTotal]]</f>
        <v>0.15227406390903744</v>
      </c>
      <c r="J20" s="43">
        <f>ComsumptionCategory[[#This Row],[Factories and other industrial premises]]/ComsumptionCategory[[#This Row],[ConsumptionTotal]]</f>
        <v>0.50578317976867282</v>
      </c>
      <c r="K20" s="43">
        <f>ComsumptionCategory[[#This Row],[Public lighting]]/ComsumptionCategory[[#This Row],[ConsumptionTotal]]</f>
        <v>1.7986669280533229E-2</v>
      </c>
      <c r="L20" s="43">
        <f>ComsumptionCategory[[#This Row],[Traction]]/ComsumptionCategory[[#This Row],[ConsumptionTotal]]</f>
        <v>6.1213487551460506E-2</v>
      </c>
    </row>
    <row r="21" spans="1:12" x14ac:dyDescent="0.25">
      <c r="A21" s="26">
        <v>1939</v>
      </c>
      <c r="B21" s="11">
        <f>5936/1000</f>
        <v>5.9359999999999999</v>
      </c>
      <c r="C21" s="14">
        <f>3117/1000</f>
        <v>3.117</v>
      </c>
      <c r="D21" s="14">
        <f>11672/1000</f>
        <v>11.672000000000001</v>
      </c>
      <c r="E21" s="15">
        <f>248/1000</f>
        <v>0.248</v>
      </c>
      <c r="F21" s="15">
        <f>1261/1000</f>
        <v>1.2609999999999999</v>
      </c>
      <c r="G21" s="29">
        <f>ComsumptionCategory[[#This Row],[Domestic and farm premises  ]]+ComsumptionCategory[[#This Row],[Shops offices,and other commercial  premises ]]+ComsumptionCategory[[#This Row],[Factories and other industrial premises]]+ComsumptionCategory[[#This Row],[Public lighting]]+ComsumptionCategory[[#This Row],[Traction]]</f>
        <v>22.234000000000002</v>
      </c>
      <c r="H21" s="43">
        <f>ComsumptionCategory[[#This Row],[Domestic and farm premises  ]]/ComsumptionCategory[[#This Row],[ConsumptionTotal]]</f>
        <v>0.26697850139426099</v>
      </c>
      <c r="I21" s="43">
        <f>ComsumptionCategory[[#This Row],[Shops offices,and other commercial  premises ]]/ComsumptionCategory[[#This Row],[ConsumptionTotal]]</f>
        <v>0.14019069892956731</v>
      </c>
      <c r="J21" s="43">
        <f>ComsumptionCategory[[#This Row],[Factories and other industrial premises]]/ComsumptionCategory[[#This Row],[ConsumptionTotal]]</f>
        <v>0.52496177026176127</v>
      </c>
      <c r="K21" s="43">
        <f>ComsumptionCategory[[#This Row],[Public lighting]]/ComsumptionCategory[[#This Row],[ConsumptionTotal]]</f>
        <v>1.1154088333183413E-2</v>
      </c>
      <c r="L21" s="43">
        <f>ComsumptionCategory[[#This Row],[Traction]]/ComsumptionCategory[[#This Row],[ConsumptionTotal]]</f>
        <v>5.671494108122694E-2</v>
      </c>
    </row>
    <row r="22" spans="1:12" x14ac:dyDescent="0.25">
      <c r="A22" s="26">
        <v>1940</v>
      </c>
      <c r="B22" s="11">
        <f>6228/1000</f>
        <v>6.2279999999999998</v>
      </c>
      <c r="C22" s="14">
        <f>2997/1000</f>
        <v>2.9969999999999999</v>
      </c>
      <c r="D22" s="14">
        <f>13874/1000</f>
        <v>13.874000000000001</v>
      </c>
      <c r="E22" s="15">
        <f>17/1000</f>
        <v>1.7000000000000001E-2</v>
      </c>
      <c r="F22" s="15">
        <f>1147/1000</f>
        <v>1.147</v>
      </c>
      <c r="G22" s="29">
        <f>ComsumptionCategory[[#This Row],[Domestic and farm premises  ]]+ComsumptionCategory[[#This Row],[Shops offices,and other commercial  premises ]]+ComsumptionCategory[[#This Row],[Factories and other industrial premises]]+ComsumptionCategory[[#This Row],[Public lighting]]+ComsumptionCategory[[#This Row],[Traction]]</f>
        <v>24.262999999999998</v>
      </c>
      <c r="H22" s="43">
        <f>ComsumptionCategory[[#This Row],[Domestic and farm premises  ]]/ComsumptionCategory[[#This Row],[ConsumptionTotal]]</f>
        <v>0.25668713679264726</v>
      </c>
      <c r="I22" s="43">
        <f>ComsumptionCategory[[#This Row],[Shops offices,and other commercial  premises ]]/ComsumptionCategory[[#This Row],[ConsumptionTotal]]</f>
        <v>0.1235214112022421</v>
      </c>
      <c r="J22" s="43">
        <f>ComsumptionCategory[[#This Row],[Factories and other industrial premises]]/ComsumptionCategory[[#This Row],[ConsumptionTotal]]</f>
        <v>0.57181717017681255</v>
      </c>
      <c r="K22" s="43">
        <f>ComsumptionCategory[[#This Row],[Public lighting]]/ComsumptionCategory[[#This Row],[ConsumptionTotal]]</f>
        <v>7.0065531879817016E-4</v>
      </c>
      <c r="L22" s="43">
        <f>ComsumptionCategory[[#This Row],[Traction]]/ComsumptionCategory[[#This Row],[ConsumptionTotal]]</f>
        <v>4.7273626509500066E-2</v>
      </c>
    </row>
    <row r="23" spans="1:12" x14ac:dyDescent="0.25">
      <c r="A23" s="26">
        <v>1941</v>
      </c>
      <c r="B23" s="11">
        <f>6637/1000</f>
        <v>6.6369999999999996</v>
      </c>
      <c r="C23" s="14">
        <f>3266/1000</f>
        <v>3.266</v>
      </c>
      <c r="D23" s="14">
        <f>16244/1000</f>
        <v>16.244</v>
      </c>
      <c r="E23" s="15">
        <f>18/1000</f>
        <v>1.7999999999999999E-2</v>
      </c>
      <c r="F23" s="15">
        <f>1143/1000</f>
        <v>1.143</v>
      </c>
      <c r="G23" s="29">
        <f>ComsumptionCategory[[#This Row],[Domestic and farm premises  ]]+ComsumptionCategory[[#This Row],[Shops offices,and other commercial  premises ]]+ComsumptionCategory[[#This Row],[Factories and other industrial premises]]+ComsumptionCategory[[#This Row],[Public lighting]]+ComsumptionCategory[[#This Row],[Traction]]</f>
        <v>27.308</v>
      </c>
      <c r="H23" s="43">
        <f>ComsumptionCategory[[#This Row],[Domestic and farm premises  ]]/ComsumptionCategory[[#This Row],[ConsumptionTotal]]</f>
        <v>0.24304233191738683</v>
      </c>
      <c r="I23" s="43">
        <f>ComsumptionCategory[[#This Row],[Shops offices,and other commercial  premises ]]/ComsumptionCategory[[#This Row],[ConsumptionTotal]]</f>
        <v>0.11959865240955031</v>
      </c>
      <c r="J23" s="43">
        <f>ComsumptionCategory[[#This Row],[Factories and other industrial premises]]/ComsumptionCategory[[#This Row],[ConsumptionTotal]]</f>
        <v>0.59484400175772667</v>
      </c>
      <c r="K23" s="43">
        <f>ComsumptionCategory[[#This Row],[Public lighting]]/ComsumptionCategory[[#This Row],[ConsumptionTotal]]</f>
        <v>6.591475025633514E-4</v>
      </c>
      <c r="L23" s="43">
        <f>ComsumptionCategory[[#This Row],[Traction]]/ComsumptionCategory[[#This Row],[ConsumptionTotal]]</f>
        <v>4.1855866412772814E-2</v>
      </c>
    </row>
    <row r="24" spans="1:12" x14ac:dyDescent="0.25">
      <c r="A24" s="26">
        <v>1942</v>
      </c>
      <c r="B24" s="11">
        <f>6720/1000</f>
        <v>6.72</v>
      </c>
      <c r="C24" s="14">
        <f>3256/1000</f>
        <v>3.2559999999999998</v>
      </c>
      <c r="D24" s="14">
        <f>19142/1000</f>
        <v>19.141999999999999</v>
      </c>
      <c r="E24" s="15">
        <f>20/1000</f>
        <v>0.02</v>
      </c>
      <c r="F24" s="15">
        <f>1148/1000</f>
        <v>1.1479999999999999</v>
      </c>
      <c r="G24" s="29">
        <f>ComsumptionCategory[[#This Row],[Domestic and farm premises  ]]+ComsumptionCategory[[#This Row],[Shops offices,and other commercial  premises ]]+ComsumptionCategory[[#This Row],[Factories and other industrial premises]]+ComsumptionCategory[[#This Row],[Public lighting]]+ComsumptionCategory[[#This Row],[Traction]]</f>
        <v>30.285999999999998</v>
      </c>
      <c r="H24" s="43">
        <f>ComsumptionCategory[[#This Row],[Domestic and farm premises  ]]/ComsumptionCategory[[#This Row],[ConsumptionTotal]]</f>
        <v>0.22188469920095094</v>
      </c>
      <c r="I24" s="43">
        <f>ComsumptionCategory[[#This Row],[Shops offices,and other commercial  premises ]]/ComsumptionCategory[[#This Row],[ConsumptionTotal]]</f>
        <v>0.10750841973188932</v>
      </c>
      <c r="J24" s="43">
        <f>ComsumptionCategory[[#This Row],[Factories and other industrial premises]]/ComsumptionCategory[[#This Row],[ConsumptionTotal]]</f>
        <v>0.63204120715842305</v>
      </c>
      <c r="K24" s="43">
        <f>ComsumptionCategory[[#This Row],[Public lighting]]/ComsumptionCategory[[#This Row],[ConsumptionTotal]]</f>
        <v>6.6037112857425875E-4</v>
      </c>
      <c r="L24" s="43">
        <f>ComsumptionCategory[[#This Row],[Traction]]/ComsumptionCategory[[#This Row],[ConsumptionTotal]]</f>
        <v>3.790530278016245E-2</v>
      </c>
    </row>
    <row r="25" spans="1:12" x14ac:dyDescent="0.25">
      <c r="A25" s="26">
        <v>1943</v>
      </c>
      <c r="B25" s="11">
        <f>6709/1000</f>
        <v>6.7089999999999996</v>
      </c>
      <c r="C25" s="14">
        <f>3062/1000</f>
        <v>3.0619999999999998</v>
      </c>
      <c r="D25" s="14">
        <f>20516/1000</f>
        <v>20.515999999999998</v>
      </c>
      <c r="E25" s="15">
        <f>20/1000</f>
        <v>0.02</v>
      </c>
      <c r="F25" s="15">
        <f>1142/1000</f>
        <v>1.1419999999999999</v>
      </c>
      <c r="G25" s="29">
        <f>ComsumptionCategory[[#This Row],[Domestic and farm premises  ]]+ComsumptionCategory[[#This Row],[Shops offices,and other commercial  premises ]]+ComsumptionCategory[[#This Row],[Factories and other industrial premises]]+ComsumptionCategory[[#This Row],[Public lighting]]+ComsumptionCategory[[#This Row],[Traction]]</f>
        <v>31.448999999999998</v>
      </c>
      <c r="H25" s="43">
        <f>ComsumptionCategory[[#This Row],[Domestic and farm premises  ]]/ComsumptionCategory[[#This Row],[ConsumptionTotal]]</f>
        <v>0.2133295176317212</v>
      </c>
      <c r="I25" s="43">
        <f>ComsumptionCategory[[#This Row],[Shops offices,and other commercial  premises ]]/ComsumptionCategory[[#This Row],[ConsumptionTotal]]</f>
        <v>9.7363986136284136E-2</v>
      </c>
      <c r="J25" s="43">
        <f>ComsumptionCategory[[#This Row],[Factories and other industrial premises]]/ComsumptionCategory[[#This Row],[ConsumptionTotal]]</f>
        <v>0.65235778562116442</v>
      </c>
      <c r="K25" s="43">
        <f>ComsumptionCategory[[#This Row],[Public lighting]]/ComsumptionCategory[[#This Row],[ConsumptionTotal]]</f>
        <v>6.3595026868898852E-4</v>
      </c>
      <c r="L25" s="43">
        <f>ComsumptionCategory[[#This Row],[Traction]]/ComsumptionCategory[[#This Row],[ConsumptionTotal]]</f>
        <v>3.6312760342141245E-2</v>
      </c>
    </row>
    <row r="26" spans="1:12" x14ac:dyDescent="0.25">
      <c r="A26" s="26">
        <v>1944</v>
      </c>
      <c r="B26" s="11">
        <f>7835/1000</f>
        <v>7.835</v>
      </c>
      <c r="C26" s="14">
        <f>3510/1000</f>
        <v>3.51</v>
      </c>
      <c r="D26" s="14">
        <f>19976/1000</f>
        <v>19.975999999999999</v>
      </c>
      <c r="E26" s="15">
        <f>29/1000</f>
        <v>2.9000000000000001E-2</v>
      </c>
      <c r="F26" s="15">
        <f>1169/1000</f>
        <v>1.169</v>
      </c>
      <c r="G26" s="29">
        <f>ComsumptionCategory[[#This Row],[Domestic and farm premises  ]]+ComsumptionCategory[[#This Row],[Shops offices,and other commercial  premises ]]+ComsumptionCategory[[#This Row],[Factories and other industrial premises]]+ComsumptionCategory[[#This Row],[Public lighting]]+ComsumptionCategory[[#This Row],[Traction]]</f>
        <v>32.518999999999998</v>
      </c>
      <c r="H26" s="43">
        <f>ComsumptionCategory[[#This Row],[Domestic and farm premises  ]]/ComsumptionCategory[[#This Row],[ConsumptionTotal]]</f>
        <v>0.24093606814477692</v>
      </c>
      <c r="I26" s="43">
        <f>ComsumptionCategory[[#This Row],[Shops offices,and other commercial  premises ]]/ComsumptionCategory[[#This Row],[ConsumptionTotal]]</f>
        <v>0.10793689842861097</v>
      </c>
      <c r="J26" s="43">
        <f>ComsumptionCategory[[#This Row],[Factories and other industrial premises]]/ComsumptionCategory[[#This Row],[ConsumptionTotal]]</f>
        <v>0.614287032196562</v>
      </c>
      <c r="K26" s="43">
        <f>ComsumptionCategory[[#This Row],[Public lighting]]/ComsumptionCategory[[#This Row],[ConsumptionTotal]]</f>
        <v>8.9178634029336704E-4</v>
      </c>
      <c r="L26" s="43">
        <f>ComsumptionCategory[[#This Row],[Traction]]/ComsumptionCategory[[#This Row],[ConsumptionTotal]]</f>
        <v>3.594821488975676E-2</v>
      </c>
    </row>
    <row r="27" spans="1:12" x14ac:dyDescent="0.25">
      <c r="A27" s="26">
        <v>1945</v>
      </c>
      <c r="B27" s="11">
        <f>8805/1000</f>
        <v>8.8049999999999997</v>
      </c>
      <c r="C27" s="14">
        <f>3482/1000</f>
        <v>3.4820000000000002</v>
      </c>
      <c r="D27" s="14">
        <f>17679/1000</f>
        <v>17.678999999999998</v>
      </c>
      <c r="E27" s="15">
        <f>161/1000</f>
        <v>0.161</v>
      </c>
      <c r="F27" s="15">
        <f>1236/1000</f>
        <v>1.236</v>
      </c>
      <c r="G27" s="29">
        <f>ComsumptionCategory[[#This Row],[Domestic and farm premises  ]]+ComsumptionCategory[[#This Row],[Shops offices,and other commercial  premises ]]+ComsumptionCategory[[#This Row],[Factories and other industrial premises]]+ComsumptionCategory[[#This Row],[Public lighting]]+ComsumptionCategory[[#This Row],[Traction]]</f>
        <v>31.363</v>
      </c>
      <c r="H27" s="43">
        <f>ComsumptionCategory[[#This Row],[Domestic and farm premises  ]]/ComsumptionCategory[[#This Row],[ConsumptionTotal]]</f>
        <v>0.28074482670662881</v>
      </c>
      <c r="I27" s="43">
        <f>ComsumptionCategory[[#This Row],[Shops offices,and other commercial  premises ]]/ComsumptionCategory[[#This Row],[ConsumptionTotal]]</f>
        <v>0.11102254248636929</v>
      </c>
      <c r="J27" s="43">
        <f>ComsumptionCategory[[#This Row],[Factories and other industrial premises]]/ComsumptionCategory[[#This Row],[ConsumptionTotal]]</f>
        <v>0.56368969805184455</v>
      </c>
      <c r="K27" s="43">
        <f>ComsumptionCategory[[#This Row],[Public lighting]]/ComsumptionCategory[[#This Row],[ConsumptionTotal]]</f>
        <v>5.1334374900360302E-3</v>
      </c>
      <c r="L27" s="43">
        <f>ComsumptionCategory[[#This Row],[Traction]]/ComsumptionCategory[[#This Row],[ConsumptionTotal]]</f>
        <v>3.9409495265121323E-2</v>
      </c>
    </row>
    <row r="28" spans="1:12" x14ac:dyDescent="0.25">
      <c r="A28" s="26">
        <v>1946</v>
      </c>
      <c r="B28" s="11">
        <f>11663/1000</f>
        <v>11.663</v>
      </c>
      <c r="C28" s="14">
        <f>3892/1000</f>
        <v>3.8919999999999999</v>
      </c>
      <c r="D28" s="14">
        <f>17632/1000</f>
        <v>17.632000000000001</v>
      </c>
      <c r="E28" s="15">
        <f>242/1000</f>
        <v>0.24199999999999999</v>
      </c>
      <c r="F28" s="15">
        <f>1369/1000</f>
        <v>1.369</v>
      </c>
      <c r="G28" s="29">
        <f>ComsumptionCategory[[#This Row],[Domestic and farm premises  ]]+ComsumptionCategory[[#This Row],[Shops offices,and other commercial  premises ]]+ComsumptionCategory[[#This Row],[Factories and other industrial premises]]+ComsumptionCategory[[#This Row],[Public lighting]]+ComsumptionCategory[[#This Row],[Traction]]</f>
        <v>34.797999999999995</v>
      </c>
      <c r="H28" s="43">
        <f>ComsumptionCategory[[#This Row],[Domestic and farm premises  ]]/ComsumptionCategory[[#This Row],[ConsumptionTotal]]</f>
        <v>0.33516294039887357</v>
      </c>
      <c r="I28" s="43">
        <f>ComsumptionCategory[[#This Row],[Shops offices,and other commercial  premises ]]/ComsumptionCategory[[#This Row],[ConsumptionTotal]]</f>
        <v>0.11184550836254958</v>
      </c>
      <c r="J28" s="43">
        <f>ComsumptionCategory[[#This Row],[Factories and other industrial premises]]/ComsumptionCategory[[#This Row],[ConsumptionTotal]]</f>
        <v>0.50669578711420205</v>
      </c>
      <c r="K28" s="43">
        <f>ComsumptionCategory[[#This Row],[Public lighting]]/ComsumptionCategory[[#This Row],[ConsumptionTotal]]</f>
        <v>6.9544226679694246E-3</v>
      </c>
      <c r="L28" s="43">
        <f>ComsumptionCategory[[#This Row],[Traction]]/ComsumptionCategory[[#This Row],[ConsumptionTotal]]</f>
        <v>3.9341341456405547E-2</v>
      </c>
    </row>
    <row r="29" spans="1:12" x14ac:dyDescent="0.25">
      <c r="A29" s="26">
        <v>1947</v>
      </c>
      <c r="B29" s="11">
        <f>12728/1000</f>
        <v>12.728</v>
      </c>
      <c r="C29" s="14">
        <f>3973/1000</f>
        <v>3.9729999999999999</v>
      </c>
      <c r="D29" s="14">
        <f>17606/1000</f>
        <v>17.606000000000002</v>
      </c>
      <c r="E29" s="15">
        <f>190/1000</f>
        <v>0.19</v>
      </c>
      <c r="F29" s="15">
        <f>1361/1000</f>
        <v>1.361</v>
      </c>
      <c r="G29" s="29">
        <f>ComsumptionCategory[[#This Row],[Domestic and farm premises  ]]+ComsumptionCategory[[#This Row],[Shops offices,and other commercial  premises ]]+ComsumptionCategory[[#This Row],[Factories and other industrial premises]]+ComsumptionCategory[[#This Row],[Public lighting]]+ComsumptionCategory[[#This Row],[Traction]]</f>
        <v>35.857999999999997</v>
      </c>
      <c r="H29" s="43">
        <f>ComsumptionCategory[[#This Row],[Domestic and farm premises  ]]/ComsumptionCategory[[#This Row],[ConsumptionTotal]]</f>
        <v>0.35495565843047577</v>
      </c>
      <c r="I29" s="43">
        <f>ComsumptionCategory[[#This Row],[Shops offices,and other commercial  premises ]]/ComsumptionCategory[[#This Row],[ConsumptionTotal]]</f>
        <v>0.11079814825143623</v>
      </c>
      <c r="J29" s="43">
        <f>ComsumptionCategory[[#This Row],[Factories and other industrial premises]]/ComsumptionCategory[[#This Row],[ConsumptionTotal]]</f>
        <v>0.49099224719727824</v>
      </c>
      <c r="K29" s="43">
        <f>ComsumptionCategory[[#This Row],[Public lighting]]/ComsumptionCategory[[#This Row],[ConsumptionTotal]]</f>
        <v>5.2986781192481463E-3</v>
      </c>
      <c r="L29" s="43">
        <f>ComsumptionCategory[[#This Row],[Traction]]/ComsumptionCategory[[#This Row],[ConsumptionTotal]]</f>
        <v>3.7955268001561716E-2</v>
      </c>
    </row>
    <row r="30" spans="1:12" x14ac:dyDescent="0.25">
      <c r="A30" s="26">
        <v>1948</v>
      </c>
      <c r="B30" s="11">
        <f>13576/1000</f>
        <v>13.576000000000001</v>
      </c>
      <c r="C30" s="14">
        <f>4469/1000</f>
        <v>4.4690000000000003</v>
      </c>
      <c r="D30" s="14">
        <f>19121/1000</f>
        <v>19.120999999999999</v>
      </c>
      <c r="E30" s="15">
        <f>257/1000</f>
        <v>0.25700000000000001</v>
      </c>
      <c r="F30" s="15">
        <f>1398/1000</f>
        <v>1.3979999999999999</v>
      </c>
      <c r="G30" s="29">
        <f>ComsumptionCategory[[#This Row],[Domestic and farm premises  ]]+ComsumptionCategory[[#This Row],[Shops offices,and other commercial  premises ]]+ComsumptionCategory[[#This Row],[Factories and other industrial premises]]+ComsumptionCategory[[#This Row],[Public lighting]]+ComsumptionCategory[[#This Row],[Traction]]</f>
        <v>38.820999999999998</v>
      </c>
      <c r="H30" s="43">
        <f>ComsumptionCategory[[#This Row],[Domestic and farm premises  ]]/ComsumptionCategory[[#This Row],[ConsumptionTotal]]</f>
        <v>0.34970763246696379</v>
      </c>
      <c r="I30" s="43">
        <f>ComsumptionCategory[[#This Row],[Shops offices,and other commercial  premises ]]/ComsumptionCategory[[#This Row],[ConsumptionTotal]]</f>
        <v>0.11511810617964505</v>
      </c>
      <c r="J30" s="43">
        <f>ComsumptionCategory[[#This Row],[Factories and other industrial premises]]/ComsumptionCategory[[#This Row],[ConsumptionTotal]]</f>
        <v>0.4925426959635249</v>
      </c>
      <c r="K30" s="43">
        <f>ComsumptionCategory[[#This Row],[Public lighting]]/ComsumptionCategory[[#This Row],[ConsumptionTotal]]</f>
        <v>6.6201282810849802E-3</v>
      </c>
      <c r="L30" s="43">
        <f>ComsumptionCategory[[#This Row],[Traction]]/ComsumptionCategory[[#This Row],[ConsumptionTotal]]</f>
        <v>3.6011437108781331E-2</v>
      </c>
    </row>
    <row r="31" spans="1:12" x14ac:dyDescent="0.25">
      <c r="A31" s="27">
        <v>1949</v>
      </c>
      <c r="B31" s="16">
        <f>13657/1000</f>
        <v>13.657</v>
      </c>
      <c r="C31" s="17">
        <f>5035/1000</f>
        <v>5.0350000000000001</v>
      </c>
      <c r="D31" s="17">
        <f>20445/1000</f>
        <v>20.445</v>
      </c>
      <c r="E31" s="18">
        <f>335/1000</f>
        <v>0.33500000000000002</v>
      </c>
      <c r="F31" s="18">
        <f>1447/1000</f>
        <v>1.4470000000000001</v>
      </c>
      <c r="G31" s="29">
        <f>ComsumptionCategory[[#This Row],[Domestic and farm premises  ]]+ComsumptionCategory[[#This Row],[Shops offices,and other commercial  premises ]]+ComsumptionCategory[[#This Row],[Factories and other industrial premises]]+ComsumptionCategory[[#This Row],[Public lighting]]+ComsumptionCategory[[#This Row],[Traction]]</f>
        <v>40.919000000000004</v>
      </c>
      <c r="H31" s="43">
        <f>ComsumptionCategory[[#This Row],[Domestic and farm premises  ]]/ComsumptionCategory[[#This Row],[ConsumptionTotal]]</f>
        <v>0.33375693443143767</v>
      </c>
      <c r="I31" s="43">
        <f>ComsumptionCategory[[#This Row],[Shops offices,and other commercial  premises ]]/ComsumptionCategory[[#This Row],[ConsumptionTotal]]</f>
        <v>0.12304797282436031</v>
      </c>
      <c r="J31" s="43">
        <f>ComsumptionCategory[[#This Row],[Factories and other industrial premises]]/ComsumptionCategory[[#This Row],[ConsumptionTotal]]</f>
        <v>0.49964564138908574</v>
      </c>
      <c r="K31" s="43">
        <f>ComsumptionCategory[[#This Row],[Public lighting]]/ComsumptionCategory[[#This Row],[ConsumptionTotal]]</f>
        <v>8.1869058383635968E-3</v>
      </c>
      <c r="L31" s="43">
        <f>ComsumptionCategory[[#This Row],[Traction]]/ComsumptionCategory[[#This Row],[ConsumptionTotal]]</f>
        <v>3.5362545516752608E-2</v>
      </c>
    </row>
    <row r="32" spans="1:12" x14ac:dyDescent="0.25">
      <c r="A32" s="28">
        <v>1950</v>
      </c>
      <c r="B32" s="11">
        <f>14911/1000</f>
        <v>14.911</v>
      </c>
      <c r="C32" s="12">
        <f>5765/1000</f>
        <v>5.7649999999999997</v>
      </c>
      <c r="D32" s="12">
        <f>22920/1000</f>
        <v>22.92</v>
      </c>
      <c r="E32" s="13">
        <f>415/1000</f>
        <v>0.41499999999999998</v>
      </c>
      <c r="F32" s="13">
        <f>1463/1000</f>
        <v>1.4630000000000001</v>
      </c>
      <c r="G32" s="29">
        <f>ComsumptionCategory[[#This Row],[Domestic and farm premises  ]]+ComsumptionCategory[[#This Row],[Shops offices,and other commercial  premises ]]+ComsumptionCategory[[#This Row],[Factories and other industrial premises]]+ComsumptionCategory[[#This Row],[Public lighting]]+ComsumptionCategory[[#This Row],[Traction]]</f>
        <v>45.474000000000004</v>
      </c>
      <c r="H32" s="43">
        <f>ComsumptionCategory[[#This Row],[Domestic and farm premises  ]]/ComsumptionCategory[[#This Row],[ConsumptionTotal]]</f>
        <v>0.32790165809033728</v>
      </c>
      <c r="I32" s="43">
        <f>ComsumptionCategory[[#This Row],[Shops offices,and other commercial  premises ]]/ComsumptionCategory[[#This Row],[ConsumptionTotal]]</f>
        <v>0.12677573998328714</v>
      </c>
      <c r="J32" s="43">
        <f>ComsumptionCategory[[#This Row],[Factories and other industrial premises]]/ComsumptionCategory[[#This Row],[ConsumptionTotal]]</f>
        <v>0.50402427760918322</v>
      </c>
      <c r="K32" s="43">
        <f>ComsumptionCategory[[#This Row],[Public lighting]]/ComsumptionCategory[[#This Row],[ConsumptionTotal]]</f>
        <v>9.1260940317544077E-3</v>
      </c>
      <c r="L32" s="43">
        <f>ComsumptionCategory[[#This Row],[Traction]]/ComsumptionCategory[[#This Row],[ConsumptionTotal]]</f>
        <v>3.2172230285437829E-2</v>
      </c>
    </row>
    <row r="33" spans="1:12" x14ac:dyDescent="0.25">
      <c r="A33" s="28">
        <v>1951</v>
      </c>
      <c r="B33" s="11">
        <f>16939/1000</f>
        <v>16.939</v>
      </c>
      <c r="C33" s="14">
        <f>6354/1000</f>
        <v>6.3540000000000001</v>
      </c>
      <c r="D33" s="14">
        <f>25350/1000</f>
        <v>25.35</v>
      </c>
      <c r="E33" s="15">
        <f>441/1000</f>
        <v>0.441</v>
      </c>
      <c r="F33" s="15">
        <f>1429/1000</f>
        <v>1.429</v>
      </c>
      <c r="G33" s="29">
        <f>ComsumptionCategory[[#This Row],[Domestic and farm premises  ]]+ComsumptionCategory[[#This Row],[Shops offices,and other commercial  premises ]]+ComsumptionCategory[[#This Row],[Factories and other industrial premises]]+ComsumptionCategory[[#This Row],[Public lighting]]+ComsumptionCategory[[#This Row],[Traction]]</f>
        <v>50.513000000000005</v>
      </c>
      <c r="H33" s="43">
        <f>ComsumptionCategory[[#This Row],[Domestic and farm premises  ]]/ComsumptionCategory[[#This Row],[ConsumptionTotal]]</f>
        <v>0.33533941757567354</v>
      </c>
      <c r="I33" s="43">
        <f>ComsumptionCategory[[#This Row],[Shops offices,and other commercial  premises ]]/ComsumptionCategory[[#This Row],[ConsumptionTotal]]</f>
        <v>0.12578940074832221</v>
      </c>
      <c r="J33" s="43">
        <f>ComsumptionCategory[[#This Row],[Factories and other industrial premises]]/ComsumptionCategory[[#This Row],[ConsumptionTotal]]</f>
        <v>0.50185100865123822</v>
      </c>
      <c r="K33" s="43">
        <f>ComsumptionCategory[[#This Row],[Public lighting]]/ComsumptionCategory[[#This Row],[ConsumptionTotal]]</f>
        <v>8.7304258309742044E-3</v>
      </c>
      <c r="L33" s="43">
        <f>ComsumptionCategory[[#This Row],[Traction]]/ComsumptionCategory[[#This Row],[ConsumptionTotal]]</f>
        <v>2.8289747193791695E-2</v>
      </c>
    </row>
    <row r="34" spans="1:12" x14ac:dyDescent="0.25">
      <c r="A34" s="28">
        <v>1952</v>
      </c>
      <c r="B34" s="11">
        <f>16869/1000</f>
        <v>16.869</v>
      </c>
      <c r="C34" s="14">
        <f>7115/1000</f>
        <v>7.1150000000000002</v>
      </c>
      <c r="D34" s="14">
        <f>26068/1000</f>
        <v>26.068000000000001</v>
      </c>
      <c r="E34" s="15">
        <f>479/1000</f>
        <v>0.47899999999999998</v>
      </c>
      <c r="F34" s="15">
        <f>1419/1000</f>
        <v>1.419</v>
      </c>
      <c r="G34" s="29">
        <f>ComsumptionCategory[[#This Row],[Domestic and farm premises  ]]+ComsumptionCategory[[#This Row],[Shops offices,and other commercial  premises ]]+ComsumptionCategory[[#This Row],[Factories and other industrial premises]]+ComsumptionCategory[[#This Row],[Public lighting]]+ComsumptionCategory[[#This Row],[Traction]]</f>
        <v>51.95</v>
      </c>
      <c r="H34" s="43">
        <f>ComsumptionCategory[[#This Row],[Domestic and farm premises  ]]/ComsumptionCategory[[#This Row],[ConsumptionTotal]]</f>
        <v>0.32471607314725698</v>
      </c>
      <c r="I34" s="43">
        <f>ComsumptionCategory[[#This Row],[Shops offices,and other commercial  premises ]]/ComsumptionCategory[[#This Row],[ConsumptionTotal]]</f>
        <v>0.13695861405197304</v>
      </c>
      <c r="J34" s="43">
        <f>ComsumptionCategory[[#This Row],[Factories and other industrial premises]]/ComsumptionCategory[[#This Row],[ConsumptionTotal]]</f>
        <v>0.50179018286814248</v>
      </c>
      <c r="K34" s="43">
        <f>ComsumptionCategory[[#This Row],[Public lighting]]/ComsumptionCategory[[#This Row],[ConsumptionTotal]]</f>
        <v>9.2204042348411931E-3</v>
      </c>
      <c r="L34" s="43">
        <f>ComsumptionCategory[[#This Row],[Traction]]/ComsumptionCategory[[#This Row],[ConsumptionTotal]]</f>
        <v>2.7314725697786334E-2</v>
      </c>
    </row>
    <row r="35" spans="1:12" x14ac:dyDescent="0.25">
      <c r="A35" s="28">
        <v>1953</v>
      </c>
      <c r="B35" s="11">
        <f>17691/1000</f>
        <v>17.690999999999999</v>
      </c>
      <c r="C35" s="14">
        <f>7948/1000</f>
        <v>7.9480000000000004</v>
      </c>
      <c r="D35" s="14">
        <f>28000/1000</f>
        <v>28</v>
      </c>
      <c r="E35" s="15">
        <f>528/1000</f>
        <v>0.52800000000000002</v>
      </c>
      <c r="F35" s="15">
        <f>1401/1000</f>
        <v>1.401</v>
      </c>
      <c r="G35" s="29">
        <f>ComsumptionCategory[[#This Row],[Domestic and farm premises  ]]+ComsumptionCategory[[#This Row],[Shops offices,and other commercial  premises ]]+ComsumptionCategory[[#This Row],[Factories and other industrial premises]]+ComsumptionCategory[[#This Row],[Public lighting]]+ComsumptionCategory[[#This Row],[Traction]]</f>
        <v>55.567999999999998</v>
      </c>
      <c r="H35" s="43">
        <f>ComsumptionCategory[[#This Row],[Domestic and farm premises  ]]/ComsumptionCategory[[#This Row],[ConsumptionTotal]]</f>
        <v>0.31836668586236683</v>
      </c>
      <c r="I35" s="43">
        <f>ComsumptionCategory[[#This Row],[Shops offices,and other commercial  premises ]]/ComsumptionCategory[[#This Row],[ConsumptionTotal]]</f>
        <v>0.14303196084077169</v>
      </c>
      <c r="J35" s="43">
        <f>ComsumptionCategory[[#This Row],[Factories and other industrial premises]]/ComsumptionCategory[[#This Row],[ConsumptionTotal]]</f>
        <v>0.50388712928304058</v>
      </c>
      <c r="K35" s="43">
        <f>ComsumptionCategory[[#This Row],[Public lighting]]/ComsumptionCategory[[#This Row],[ConsumptionTotal]]</f>
        <v>9.5018715807659096E-3</v>
      </c>
      <c r="L35" s="43">
        <f>ComsumptionCategory[[#This Row],[Traction]]/ComsumptionCategory[[#This Row],[ConsumptionTotal]]</f>
        <v>2.5212352433054998E-2</v>
      </c>
    </row>
    <row r="36" spans="1:12" x14ac:dyDescent="0.25">
      <c r="A36" s="28">
        <v>1954</v>
      </c>
      <c r="B36" s="11">
        <f>19075/1000</f>
        <v>19.074999999999999</v>
      </c>
      <c r="C36" s="14">
        <f>8746/1000</f>
        <v>8.7460000000000004</v>
      </c>
      <c r="D36" s="14">
        <f>31553/1000</f>
        <v>31.553000000000001</v>
      </c>
      <c r="E36" s="15">
        <f>576/1000</f>
        <v>0.57599999999999996</v>
      </c>
      <c r="F36" s="15">
        <f>1451/1000</f>
        <v>1.4510000000000001</v>
      </c>
      <c r="G36" s="29">
        <f>ComsumptionCategory[[#This Row],[Domestic and farm premises  ]]+ComsumptionCategory[[#This Row],[Shops offices,and other commercial  premises ]]+ComsumptionCategory[[#This Row],[Factories and other industrial premises]]+ComsumptionCategory[[#This Row],[Public lighting]]+ComsumptionCategory[[#This Row],[Traction]]</f>
        <v>61.400999999999996</v>
      </c>
      <c r="H36" s="43">
        <f>ComsumptionCategory[[#This Row],[Domestic and farm premises  ]]/ComsumptionCategory[[#This Row],[ConsumptionTotal]]</f>
        <v>0.31066269279001973</v>
      </c>
      <c r="I36" s="43">
        <f>ComsumptionCategory[[#This Row],[Shops offices,and other commercial  premises ]]/ComsumptionCategory[[#This Row],[ConsumptionTotal]]</f>
        <v>0.14244067686194037</v>
      </c>
      <c r="J36" s="43">
        <f>ComsumptionCategory[[#This Row],[Factories and other industrial premises]]/ComsumptionCategory[[#This Row],[ConsumptionTotal]]</f>
        <v>0.51388413869480953</v>
      </c>
      <c r="K36" s="43">
        <f>ComsumptionCategory[[#This Row],[Public lighting]]/ComsumptionCategory[[#This Row],[ConsumptionTotal]]</f>
        <v>9.3809547075780521E-3</v>
      </c>
      <c r="L36" s="43">
        <f>ComsumptionCategory[[#This Row],[Traction]]/ComsumptionCategory[[#This Row],[ConsumptionTotal]]</f>
        <v>2.3631536945652353E-2</v>
      </c>
    </row>
    <row r="37" spans="1:12" x14ac:dyDescent="0.25">
      <c r="A37" s="28">
        <v>1955</v>
      </c>
      <c r="B37" s="11">
        <f>21146/1000</f>
        <v>21.146000000000001</v>
      </c>
      <c r="C37" s="14">
        <f>9545/1000</f>
        <v>9.5449999999999999</v>
      </c>
      <c r="D37" s="14">
        <f>34635/1000</f>
        <v>34.634999999999998</v>
      </c>
      <c r="E37" s="15">
        <f>627/1000</f>
        <v>0.627</v>
      </c>
      <c r="F37" s="15">
        <f>1470/1000</f>
        <v>1.47</v>
      </c>
      <c r="G37" s="29">
        <f>ComsumptionCategory[[#This Row],[Domestic and farm premises  ]]+ComsumptionCategory[[#This Row],[Shops offices,and other commercial  premises ]]+ComsumptionCategory[[#This Row],[Factories and other industrial premises]]+ComsumptionCategory[[#This Row],[Public lighting]]+ComsumptionCategory[[#This Row],[Traction]]</f>
        <v>67.422999999999988</v>
      </c>
      <c r="H37" s="43">
        <f>ComsumptionCategory[[#This Row],[Domestic and farm premises  ]]/ComsumptionCategory[[#This Row],[ConsumptionTotal]]</f>
        <v>0.31363184669919769</v>
      </c>
      <c r="I37" s="43">
        <f>ComsumptionCategory[[#This Row],[Shops offices,and other commercial  premises ]]/ComsumptionCategory[[#This Row],[ConsumptionTotal]]</f>
        <v>0.14156890082019491</v>
      </c>
      <c r="J37" s="43">
        <f>ComsumptionCategory[[#This Row],[Factories and other industrial premises]]/ComsumptionCategory[[#This Row],[ConsumptionTotal]]</f>
        <v>0.51369710632870091</v>
      </c>
      <c r="K37" s="43">
        <f>ComsumptionCategory[[#This Row],[Public lighting]]/ComsumptionCategory[[#This Row],[ConsumptionTotal]]</f>
        <v>9.2994972042181462E-3</v>
      </c>
      <c r="L37" s="43">
        <f>ComsumptionCategory[[#This Row],[Traction]]/ComsumptionCategory[[#This Row],[ConsumptionTotal]]</f>
        <v>2.1802648947688477E-2</v>
      </c>
    </row>
    <row r="38" spans="1:12" x14ac:dyDescent="0.25">
      <c r="A38" s="28">
        <v>1956</v>
      </c>
      <c r="B38" s="11">
        <f>23755/1000</f>
        <v>23.754999999999999</v>
      </c>
      <c r="C38" s="14">
        <f>10337/1000</f>
        <v>10.337</v>
      </c>
      <c r="D38" s="14">
        <f>37224/1000</f>
        <v>37.223999999999997</v>
      </c>
      <c r="E38" s="15">
        <f>692/1000</f>
        <v>0.69199999999999995</v>
      </c>
      <c r="F38" s="15">
        <f>1512/1000</f>
        <v>1.512</v>
      </c>
      <c r="G38" s="29">
        <f>ComsumptionCategory[[#This Row],[Domestic and farm premises  ]]+ComsumptionCategory[[#This Row],[Shops offices,and other commercial  premises ]]+ComsumptionCategory[[#This Row],[Factories and other industrial premises]]+ComsumptionCategory[[#This Row],[Public lighting]]+ComsumptionCategory[[#This Row],[Traction]]</f>
        <v>73.52</v>
      </c>
      <c r="H38" s="43">
        <f>ComsumptionCategory[[#This Row],[Domestic and farm premises  ]]/ComsumptionCategory[[#This Row],[ConsumptionTotal]]</f>
        <v>0.3231093579978237</v>
      </c>
      <c r="I38" s="43">
        <f>ComsumptionCategory[[#This Row],[Shops offices,and other commercial  premises ]]/ComsumptionCategory[[#This Row],[ConsumptionTotal]]</f>
        <v>0.14060119695321002</v>
      </c>
      <c r="J38" s="43">
        <f>ComsumptionCategory[[#This Row],[Factories and other industrial premises]]/ComsumptionCategory[[#This Row],[ConsumptionTotal]]</f>
        <v>0.50631120783460282</v>
      </c>
      <c r="K38" s="43">
        <f>ComsumptionCategory[[#This Row],[Public lighting]]/ComsumptionCategory[[#This Row],[ConsumptionTotal]]</f>
        <v>9.4124047878128402E-3</v>
      </c>
      <c r="L38" s="43">
        <f>ComsumptionCategory[[#This Row],[Traction]]/ComsumptionCategory[[#This Row],[ConsumptionTotal]]</f>
        <v>2.05658324265506E-2</v>
      </c>
    </row>
    <row r="39" spans="1:12" x14ac:dyDescent="0.25">
      <c r="A39" s="28">
        <v>1957</v>
      </c>
      <c r="B39" s="11">
        <f>24850/1000</f>
        <v>24.85</v>
      </c>
      <c r="C39" s="14">
        <f>10733/1000</f>
        <v>10.733000000000001</v>
      </c>
      <c r="D39" s="14">
        <f>39348/1000</f>
        <v>39.347999999999999</v>
      </c>
      <c r="E39" s="15">
        <f>742/1000</f>
        <v>0.74199999999999999</v>
      </c>
      <c r="F39" s="15">
        <f>1545/1000</f>
        <v>1.5449999999999999</v>
      </c>
      <c r="G39" s="29">
        <f>ComsumptionCategory[[#This Row],[Domestic and farm premises  ]]+ComsumptionCategory[[#This Row],[Shops offices,and other commercial  premises ]]+ComsumptionCategory[[#This Row],[Factories and other industrial premises]]+ComsumptionCategory[[#This Row],[Public lighting]]+ComsumptionCategory[[#This Row],[Traction]]</f>
        <v>77.218000000000004</v>
      </c>
      <c r="H39" s="43">
        <f>ComsumptionCategory[[#This Row],[Domestic and farm premises  ]]/ComsumptionCategory[[#This Row],[ConsumptionTotal]]</f>
        <v>0.3218161568546194</v>
      </c>
      <c r="I39" s="43">
        <f>ComsumptionCategory[[#This Row],[Shops offices,and other commercial  premises ]]/ComsumptionCategory[[#This Row],[ConsumptionTotal]]</f>
        <v>0.13899608899479396</v>
      </c>
      <c r="J39" s="43">
        <f>ComsumptionCategory[[#This Row],[Factories and other industrial premises]]/ComsumptionCategory[[#This Row],[ConsumptionTotal]]</f>
        <v>0.50957030744127019</v>
      </c>
      <c r="K39" s="43">
        <f>ComsumptionCategory[[#This Row],[Public lighting]]/ComsumptionCategory[[#This Row],[ConsumptionTotal]]</f>
        <v>9.6091584863632826E-3</v>
      </c>
      <c r="L39" s="43">
        <f>ComsumptionCategory[[#This Row],[Traction]]/ComsumptionCategory[[#This Row],[ConsumptionTotal]]</f>
        <v>2.0008288222953197E-2</v>
      </c>
    </row>
    <row r="40" spans="1:12" x14ac:dyDescent="0.25">
      <c r="A40" s="28">
        <v>1958</v>
      </c>
      <c r="B40" s="11">
        <f>28227/1000</f>
        <v>28.227</v>
      </c>
      <c r="C40" s="14">
        <f>12057/1000</f>
        <v>12.057</v>
      </c>
      <c r="D40" s="14">
        <f>41241/1000</f>
        <v>41.241</v>
      </c>
      <c r="E40" s="15">
        <f>793/1000</f>
        <v>0.79300000000000004</v>
      </c>
      <c r="F40" s="15">
        <f>1551/1000</f>
        <v>1.5509999999999999</v>
      </c>
      <c r="G40" s="29">
        <f>ComsumptionCategory[[#This Row],[Domestic and farm premises  ]]+ComsumptionCategory[[#This Row],[Shops offices,and other commercial  premises ]]+ComsumptionCategory[[#This Row],[Factories and other industrial premises]]+ComsumptionCategory[[#This Row],[Public lighting]]+ComsumptionCategory[[#This Row],[Traction]]</f>
        <v>83.869000000000014</v>
      </c>
      <c r="H40" s="43">
        <f>ComsumptionCategory[[#This Row],[Domestic and farm premises  ]]/ComsumptionCategory[[#This Row],[ConsumptionTotal]]</f>
        <v>0.33656058853688486</v>
      </c>
      <c r="I40" s="43">
        <f>ComsumptionCategory[[#This Row],[Shops offices,and other commercial  premises ]]/ComsumptionCategory[[#This Row],[ConsumptionTotal]]</f>
        <v>0.14375991129022642</v>
      </c>
      <c r="J40" s="43">
        <f>ComsumptionCategory[[#This Row],[Factories and other industrial premises]]/ComsumptionCategory[[#This Row],[ConsumptionTotal]]</f>
        <v>0.4917311521539543</v>
      </c>
      <c r="K40" s="43">
        <f>ComsumptionCategory[[#This Row],[Public lighting]]/ComsumptionCategory[[#This Row],[ConsumptionTotal]]</f>
        <v>9.4552218340507206E-3</v>
      </c>
      <c r="L40" s="43">
        <f>ComsumptionCategory[[#This Row],[Traction]]/ComsumptionCategory[[#This Row],[ConsumptionTotal]]</f>
        <v>1.8493126184883565E-2</v>
      </c>
    </row>
    <row r="41" spans="1:12" x14ac:dyDescent="0.25">
      <c r="A41" s="28">
        <v>1959</v>
      </c>
      <c r="B41" s="16">
        <f>30487/1000</f>
        <v>30.486999999999998</v>
      </c>
      <c r="C41" s="17">
        <f>12837/1000</f>
        <v>12.837</v>
      </c>
      <c r="D41" s="17">
        <f>44695/1000</f>
        <v>44.695</v>
      </c>
      <c r="E41" s="18">
        <f>855/1000</f>
        <v>0.85499999999999998</v>
      </c>
      <c r="F41" s="18">
        <f>1630/1000</f>
        <v>1.63</v>
      </c>
      <c r="G41" s="29">
        <f>ComsumptionCategory[[#This Row],[Domestic and farm premises  ]]+ComsumptionCategory[[#This Row],[Shops offices,and other commercial  premises ]]+ComsumptionCategory[[#This Row],[Factories and other industrial premises]]+ComsumptionCategory[[#This Row],[Public lighting]]+ComsumptionCategory[[#This Row],[Traction]]</f>
        <v>90.504000000000005</v>
      </c>
      <c r="H41" s="43">
        <f>ComsumptionCategory[[#This Row],[Domestic and farm premises  ]]/ComsumptionCategory[[#This Row],[ConsumptionTotal]]</f>
        <v>0.33685803942367182</v>
      </c>
      <c r="I41" s="43">
        <f>ComsumptionCategory[[#This Row],[Shops offices,and other commercial  premises ]]/ComsumptionCategory[[#This Row],[ConsumptionTotal]]</f>
        <v>0.14183903473879605</v>
      </c>
      <c r="J41" s="43">
        <f>ComsumptionCategory[[#This Row],[Factories and other industrial premises]]/ComsumptionCategory[[#This Row],[ConsumptionTotal]]</f>
        <v>0.49384557588614864</v>
      </c>
      <c r="K41" s="43">
        <f>ComsumptionCategory[[#This Row],[Public lighting]]/ComsumptionCategory[[#This Row],[ConsumptionTotal]]</f>
        <v>9.4470962609387431E-3</v>
      </c>
      <c r="L41" s="43">
        <f>ComsumptionCategory[[#This Row],[Traction]]/ComsumptionCategory[[#This Row],[ConsumptionTotal]]</f>
        <v>1.8010253690444619E-2</v>
      </c>
    </row>
    <row r="42" spans="1:12" x14ac:dyDescent="0.25">
      <c r="A42" s="28">
        <v>1960</v>
      </c>
      <c r="B42" s="19">
        <f>35270/1000</f>
        <v>35.270000000000003</v>
      </c>
      <c r="C42" s="12">
        <f>14526/1000</f>
        <v>14.526</v>
      </c>
      <c r="D42" s="12">
        <f>49991/1000</f>
        <v>49.991</v>
      </c>
      <c r="E42" s="13">
        <f>922/1000</f>
        <v>0.92200000000000004</v>
      </c>
      <c r="F42" s="13">
        <f>1654/1000</f>
        <v>1.6539999999999999</v>
      </c>
      <c r="G42" s="29">
        <f>ComsumptionCategory[[#This Row],[Domestic and farm premises  ]]+ComsumptionCategory[[#This Row],[Shops offices,and other commercial  premises ]]+ComsumptionCategory[[#This Row],[Factories and other industrial premises]]+ComsumptionCategory[[#This Row],[Public lighting]]+ComsumptionCategory[[#This Row],[Traction]]</f>
        <v>102.363</v>
      </c>
      <c r="H42" s="43">
        <f>ComsumptionCategory[[#This Row],[Domestic and farm premises  ]]/ComsumptionCategory[[#This Row],[ConsumptionTotal]]</f>
        <v>0.34455809227943696</v>
      </c>
      <c r="I42" s="43">
        <f>ComsumptionCategory[[#This Row],[Shops offices,and other commercial  premises ]]/ComsumptionCategory[[#This Row],[ConsumptionTotal]]</f>
        <v>0.14190674364760705</v>
      </c>
      <c r="J42" s="43">
        <f>ComsumptionCategory[[#This Row],[Factories and other industrial premises]]/ComsumptionCategory[[#This Row],[ConsumptionTotal]]</f>
        <v>0.4883698211267743</v>
      </c>
      <c r="K42" s="43">
        <f>ComsumptionCategory[[#This Row],[Public lighting]]/ComsumptionCategory[[#This Row],[ConsumptionTotal]]</f>
        <v>9.0071607905200125E-3</v>
      </c>
      <c r="L42" s="43">
        <f>ComsumptionCategory[[#This Row],[Traction]]/ComsumptionCategory[[#This Row],[ConsumptionTotal]]</f>
        <v>1.6158182155661713E-2</v>
      </c>
    </row>
    <row r="43" spans="1:12" x14ac:dyDescent="0.25">
      <c r="A43" s="28">
        <v>1961</v>
      </c>
      <c r="B43" s="11">
        <f>39968/1000</f>
        <v>39.968000000000004</v>
      </c>
      <c r="C43" s="14">
        <f>15809/1000</f>
        <v>15.808999999999999</v>
      </c>
      <c r="D43" s="14">
        <f>51740/1000</f>
        <v>51.74</v>
      </c>
      <c r="E43" s="15">
        <f>994/1000</f>
        <v>0.99399999999999999</v>
      </c>
      <c r="F43" s="15">
        <f>1721/1000</f>
        <v>1.7210000000000001</v>
      </c>
      <c r="G43" s="29">
        <f>ComsumptionCategory[[#This Row],[Domestic and farm premises  ]]+ComsumptionCategory[[#This Row],[Shops offices,and other commercial  premises ]]+ComsumptionCategory[[#This Row],[Factories and other industrial premises]]+ComsumptionCategory[[#This Row],[Public lighting]]+ComsumptionCategory[[#This Row],[Traction]]</f>
        <v>110.232</v>
      </c>
      <c r="H43" s="43">
        <f>ComsumptionCategory[[#This Row],[Domestic and farm premises  ]]/ComsumptionCategory[[#This Row],[ConsumptionTotal]]</f>
        <v>0.36258073880542857</v>
      </c>
      <c r="I43" s="43">
        <f>ComsumptionCategory[[#This Row],[Shops offices,and other commercial  premises ]]/ComsumptionCategory[[#This Row],[ConsumptionTotal]]</f>
        <v>0.14341570505842224</v>
      </c>
      <c r="J43" s="43">
        <f>ComsumptionCategory[[#This Row],[Factories and other industrial premises]]/ComsumptionCategory[[#This Row],[ConsumptionTotal]]</f>
        <v>0.46937368459249584</v>
      </c>
      <c r="K43" s="43">
        <f>ComsumptionCategory[[#This Row],[Public lighting]]/ComsumptionCategory[[#This Row],[ConsumptionTotal]]</f>
        <v>9.0173452355033022E-3</v>
      </c>
      <c r="L43" s="43">
        <f>ComsumptionCategory[[#This Row],[Traction]]/ComsumptionCategory[[#This Row],[ConsumptionTotal]]</f>
        <v>1.5612526308150085E-2</v>
      </c>
    </row>
    <row r="44" spans="1:12" x14ac:dyDescent="0.25">
      <c r="A44" s="28">
        <v>1962</v>
      </c>
      <c r="B44" s="11">
        <f>47628/1000</f>
        <v>47.628</v>
      </c>
      <c r="C44" s="14">
        <f>18284/1000</f>
        <v>18.283999999999999</v>
      </c>
      <c r="D44" s="14">
        <f>53529/1000</f>
        <v>53.529000000000003</v>
      </c>
      <c r="E44" s="15">
        <f>1060/1000</f>
        <v>1.06</v>
      </c>
      <c r="F44" s="15">
        <f>1856/1000</f>
        <v>1.8560000000000001</v>
      </c>
      <c r="G44" s="29">
        <f>ComsumptionCategory[[#This Row],[Domestic and farm premises  ]]+ComsumptionCategory[[#This Row],[Shops offices,and other commercial  premises ]]+ComsumptionCategory[[#This Row],[Factories and other industrial premises]]+ComsumptionCategory[[#This Row],[Public lighting]]+ComsumptionCategory[[#This Row],[Traction]]</f>
        <v>122.357</v>
      </c>
      <c r="H44" s="43">
        <f>ComsumptionCategory[[#This Row],[Domestic and farm premises  ]]/ComsumptionCategory[[#This Row],[ConsumptionTotal]]</f>
        <v>0.38925439492632213</v>
      </c>
      <c r="I44" s="43">
        <f>ComsumptionCategory[[#This Row],[Shops offices,and other commercial  premises ]]/ComsumptionCategory[[#This Row],[ConsumptionTotal]]</f>
        <v>0.14943158135619539</v>
      </c>
      <c r="J44" s="43">
        <f>ComsumptionCategory[[#This Row],[Factories and other industrial premises]]/ComsumptionCategory[[#This Row],[ConsumptionTotal]]</f>
        <v>0.43748212198729947</v>
      </c>
      <c r="K44" s="43">
        <f>ComsumptionCategory[[#This Row],[Public lighting]]/ComsumptionCategory[[#This Row],[ConsumptionTotal]]</f>
        <v>8.6631741543189197E-3</v>
      </c>
      <c r="L44" s="43">
        <f>ComsumptionCategory[[#This Row],[Traction]]/ComsumptionCategory[[#This Row],[ConsumptionTotal]]</f>
        <v>1.5168727575864072E-2</v>
      </c>
    </row>
    <row r="45" spans="1:12" x14ac:dyDescent="0.25">
      <c r="A45" s="28">
        <v>1963</v>
      </c>
      <c r="B45" s="11">
        <f>54475/1000</f>
        <v>54.475000000000001</v>
      </c>
      <c r="C45" s="14">
        <f>20263/1000</f>
        <v>20.263000000000002</v>
      </c>
      <c r="D45" s="14">
        <f>56106/1000</f>
        <v>56.106000000000002</v>
      </c>
      <c r="E45" s="15">
        <f>1127/1000</f>
        <v>1.127</v>
      </c>
      <c r="F45" s="15">
        <f>1879/1000</f>
        <v>1.879</v>
      </c>
      <c r="G45" s="29">
        <f>ComsumptionCategory[[#This Row],[Domestic and farm premises  ]]+ComsumptionCategory[[#This Row],[Shops offices,and other commercial  premises ]]+ComsumptionCategory[[#This Row],[Factories and other industrial premises]]+ComsumptionCategory[[#This Row],[Public lighting]]+ComsumptionCategory[[#This Row],[Traction]]</f>
        <v>133.85</v>
      </c>
      <c r="H45" s="43">
        <f>ComsumptionCategory[[#This Row],[Domestic and farm premises  ]]/ComsumptionCategory[[#This Row],[ConsumptionTotal]]</f>
        <v>0.40698543145311922</v>
      </c>
      <c r="I45" s="43">
        <f>ComsumptionCategory[[#This Row],[Shops offices,and other commercial  premises ]]/ComsumptionCategory[[#This Row],[ConsumptionTotal]]</f>
        <v>0.15138587971610012</v>
      </c>
      <c r="J45" s="43">
        <f>ComsumptionCategory[[#This Row],[Factories and other industrial premises]]/ComsumptionCategory[[#This Row],[ConsumptionTotal]]</f>
        <v>0.41917071348524471</v>
      </c>
      <c r="K45" s="43">
        <f>ComsumptionCategory[[#This Row],[Public lighting]]/ComsumptionCategory[[#This Row],[ConsumptionTotal]]</f>
        <v>8.4198729921553979E-3</v>
      </c>
      <c r="L45" s="43">
        <f>ComsumptionCategory[[#This Row],[Traction]]/ComsumptionCategory[[#This Row],[ConsumptionTotal]]</f>
        <v>1.4038102353380651E-2</v>
      </c>
    </row>
    <row r="46" spans="1:12" x14ac:dyDescent="0.25">
      <c r="A46" s="28">
        <v>1964</v>
      </c>
      <c r="B46" s="11">
        <f>54411/1000</f>
        <v>54.411000000000001</v>
      </c>
      <c r="C46" s="14">
        <f>21321/1000</f>
        <v>21.321000000000002</v>
      </c>
      <c r="D46" s="14">
        <f>61604/1000</f>
        <v>61.603999999999999</v>
      </c>
      <c r="E46" s="15">
        <f>1191/1000</f>
        <v>1.1910000000000001</v>
      </c>
      <c r="F46" s="15">
        <f>1847/1000</f>
        <v>1.847</v>
      </c>
      <c r="G46" s="29">
        <f>ComsumptionCategory[[#This Row],[Domestic and farm premises  ]]+ComsumptionCategory[[#This Row],[Shops offices,and other commercial  premises ]]+ComsumptionCategory[[#This Row],[Factories and other industrial premises]]+ComsumptionCategory[[#This Row],[Public lighting]]+ComsumptionCategory[[#This Row],[Traction]]</f>
        <v>140.37400000000002</v>
      </c>
      <c r="H46" s="43">
        <f>ComsumptionCategory[[#This Row],[Domestic and farm premises  ]]/ComsumptionCategory[[#This Row],[ConsumptionTotal]]</f>
        <v>0.3876145155085699</v>
      </c>
      <c r="I46" s="43">
        <f>ComsumptionCategory[[#This Row],[Shops offices,and other commercial  premises ]]/ComsumptionCategory[[#This Row],[ConsumptionTotal]]</f>
        <v>0.15188710160001137</v>
      </c>
      <c r="J46" s="43">
        <f>ComsumptionCategory[[#This Row],[Factories and other industrial premises]]/ComsumptionCategory[[#This Row],[ConsumptionTotal]]</f>
        <v>0.43885619844130669</v>
      </c>
      <c r="K46" s="43">
        <f>ComsumptionCategory[[#This Row],[Public lighting]]/ComsumptionCategory[[#This Row],[ConsumptionTotal]]</f>
        <v>8.4844771823842004E-3</v>
      </c>
      <c r="L46" s="43">
        <f>ComsumptionCategory[[#This Row],[Traction]]/ComsumptionCategory[[#This Row],[ConsumptionTotal]]</f>
        <v>1.315770726772764E-2</v>
      </c>
    </row>
    <row r="47" spans="1:12" x14ac:dyDescent="0.25">
      <c r="A47" s="28">
        <v>1965</v>
      </c>
      <c r="B47" s="16">
        <f>59421/1000</f>
        <v>59.420999999999999</v>
      </c>
      <c r="C47" s="17">
        <f>23427/1000</f>
        <v>23.427</v>
      </c>
      <c r="D47" s="17">
        <f>65040/1000</f>
        <v>65.040000000000006</v>
      </c>
      <c r="E47" s="18">
        <f>1260/1000</f>
        <v>1.26</v>
      </c>
      <c r="F47" s="18">
        <f>1923/1000</f>
        <v>1.923</v>
      </c>
      <c r="G47" s="29">
        <f>ComsumptionCategory[[#This Row],[Domestic and farm premises  ]]+ComsumptionCategory[[#This Row],[Shops offices,and other commercial  premises ]]+ComsumptionCategory[[#This Row],[Factories and other industrial premises]]+ComsumptionCategory[[#This Row],[Public lighting]]+ComsumptionCategory[[#This Row],[Traction]]</f>
        <v>151.071</v>
      </c>
      <c r="H47" s="43">
        <f>ComsumptionCategory[[#This Row],[Domestic and farm premises  ]]/ComsumptionCategory[[#This Row],[ConsumptionTotal]]</f>
        <v>0.3933316122882618</v>
      </c>
      <c r="I47" s="43">
        <f>ComsumptionCategory[[#This Row],[Shops offices,and other commercial  premises ]]/ComsumptionCategory[[#This Row],[ConsumptionTotal]]</f>
        <v>0.15507278034831304</v>
      </c>
      <c r="J47" s="43">
        <f>ComsumptionCategory[[#This Row],[Factories and other industrial premises]]/ComsumptionCategory[[#This Row],[ConsumptionTotal]]</f>
        <v>0.43052604404551509</v>
      </c>
      <c r="K47" s="43">
        <f>ComsumptionCategory[[#This Row],[Public lighting]]/ComsumptionCategory[[#This Row],[ConsumptionTotal]]</f>
        <v>8.3404491927636677E-3</v>
      </c>
      <c r="L47" s="43">
        <f>ComsumptionCategory[[#This Row],[Traction]]/ComsumptionCategory[[#This Row],[ConsumptionTotal]]</f>
        <v>1.2729114125146455E-2</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D i a g r a m O b j e c t K e y > < K e y > C o l u m n s \ R2 < / K e y > < / D i a g r a m O b j e c t K e y > < D i a g r a m O b j e c t K e y > < K e y > C o l u m n s \ R3 < / K e y > < / D i a g r a m O b j e c t K e y > < D i a g r a m O b j e c t K e y > < K e y > C o l u m n s \ R4 < / K e y > < / D i a g r a m O b j e c t K e y > < D i a g r a m O b j e c t K e y > < K e y > C o l u m n s \ R5 < / K e y > < / D i a g r a m O b j e c t K e y > < D i a g r a m O b j e c t K e y > < K e y > C o l u m n s \ R6 < / K e y > < / D i a g r a m O b j e c t K e y > < D i a g r a m O b j e c t K e y > < K e y > C o l u m n s \ R7 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a : K e y V a l u e O f D i a g r a m O b j e c t K e y a n y T y p e z b w N T n L X > < a : K e y > < K e y > C o l u m n s \ R2 < / K e y > < / a : K e y > < a : V a l u e   i : t y p e = " M e a s u r e G r i d N o d e V i e w S t a t e " > < C o l u m n > 1 < / C o l u m n > < L a y e d O u t > t r u e < / L a y e d O u t > < / a : V a l u e > < / a : K e y V a l u e O f D i a g r a m O b j e c t K e y a n y T y p e z b w N T n L X > < a : K e y V a l u e O f D i a g r a m O b j e c t K e y a n y T y p e z b w N T n L X > < a : K e y > < K e y > C o l u m n s \ R3 < / K e y > < / a : K e y > < a : V a l u e   i : t y p e = " M e a s u r e G r i d N o d e V i e w S t a t e " > < C o l u m n > 2 < / C o l u m n > < L a y e d O u t > t r u e < / L a y e d O u t > < / a : V a l u e > < / a : K e y V a l u e O f D i a g r a m O b j e c t K e y a n y T y p e z b w N T n L X > < a : K e y V a l u e O f D i a g r a m O b j e c t K e y a n y T y p e z b w N T n L X > < a : K e y > < K e y > C o l u m n s \ R4 < / K e y > < / a : K e y > < a : V a l u e   i : t y p e = " M e a s u r e G r i d N o d e V i e w S t a t e " > < C o l u m n > 3 < / C o l u m n > < L a y e d O u t > t r u e < / L a y e d O u t > < / a : V a l u e > < / a : K e y V a l u e O f D i a g r a m O b j e c t K e y a n y T y p e z b w N T n L X > < a : K e y V a l u e O f D i a g r a m O b j e c t K e y a n y T y p e z b w N T n L X > < a : K e y > < K e y > C o l u m n s \ R5 < / K e y > < / a : K e y > < a : V a l u e   i : t y p e = " M e a s u r e G r i d N o d e V i e w S t a t e " > < C o l u m n > 4 < / C o l u m n > < L a y e d O u t > t r u e < / L a y e d O u t > < / a : V a l u e > < / a : K e y V a l u e O f D i a g r a m O b j e c t K e y a n y T y p e z b w N T n L X > < a : K e y V a l u e O f D i a g r a m O b j e c t K e y a n y T y p e z b w N T n L X > < a : K e y > < K e y > C o l u m n s \ R6 < / K e y > < / a : K e y > < a : V a l u e   i : t y p e = " M e a s u r e G r i d N o d e V i e w S t a t e " > < C o l u m n > 5 < / C o l u m n > < L a y e d O u t > t r u e < / L a y e d O u t > < / a : V a l u e > < / a : K e y V a l u e O f D i a g r a m O b j e c t K e y a n y T y p e z b w N T n L X > < a : K e y V a l u e O f D i a g r a m O b j e c t K e y a n y T y p e z b w N T n L X > < a : K e y > < K e y > C o l u m n s \ R7 < / K e y > < / a : K e y > < a : V a l u e   i : t y p e = " M e a s u r e G r i d N o d e V i e w S t a t e " > < C o l u m n > 6 < / C o l u m n > < L a y e d O u t > t r u e < / L a y e d O u t > < / a : V a l u e > < / a : K e y V a l u e O f D i a g r a m O b j e c t K e y a n y T y p e z b w N T n L X > < / V i e w S t a t e s > < / D i a g r a m M a n a g e r . S e r i a l i z a b l e D i a g r a m > < D i a g r a m M a n a g e r . S e r i a l i z a b l e D i a g r a m > < A d a p t e r   i : t y p e = " M e a s u r e D i a g r a m S a n d b o x A d a p t e r " > < T a b l e N a m e > h�4 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V i e w S t a t e s > < / D i a g r a m M a n a g e r . S e r i a l i z a b l e D i a g r a m > < D i a g r a m M a n a g e r . S e r i a l i z a b l e D i a g r a m > < A d a p t e r   i : t y p e = " M e a s u r e D i a g r a m S a n d b o x A d a p t e r " > < T a b l e N a m e > E l e c t r i v i t y C o m s u m p t i o n 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 E l e c t r i v i t y C o m s u m p t i o n 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 C o l u m n s \ D o m e s t i c   a n d   f a r m   p r e m i s e s < / K e y > < / D i a g r a m O b j e c t K e y > < D i a g r a m O b j e c t K e y > < K e y > C o l u m n s \ S h o p s   o f f i c e s , a n d   o t h e r   c o m m e r c i a l     p r e m i s e s < / K e y > < / D i a g r a m O b j e c t K e y > < D i a g r a m O b j e c t K e y > < K e y > C o l u m n s \ F a c t o r i e s   a n d   o t h e r   i n d u s t r i a l   p r e m i s e s < / K e y > < / D i a g r a m O b j e c t K e y > < D i a g r a m O b j e c t K e y > < K e y > C o l u m n s \ P u b l i c   l i g h t i n g < / K e y > < / D i a g r a m O b j e c t K e y > < D i a g r a m O b j e c t K e y > < K e y > C o l u m n s \ T r a c t i o n < / K e y > < / D i a g r a m O b j e c t K e y > < D i a g r a m O b j e c t K e y > < K e y > C o l u m n s \ C o m s u m p t i o n T o t a l 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 7 < / F o c u s R o w > < S e l e c t i o n E n d C o l u m n > 1 < / S e l e c t i o n E n d C o l u m n > < S e l e c t i o n E n d R o w > 7 < / S e l e c t i o n E n d R o w > < S e l e c t i o n S t a r t C o l u m n > 1 < / 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 C o l u m n s \ D o m e s t i c   a n d   f a r m   p r e m i s e s < / K e y > < / a : K e y > < a : V a l u e   i : t y p e = " M e a s u r e G r i d N o d e V i e w S t a t e " > < C o l u m n > 1 < / C o l u m n > < L a y e d O u t > t r u e < / L a y e d O u t > < / a : V a l u e > < / a : K e y V a l u e O f D i a g r a m O b j e c t K e y a n y T y p e z b w N T n L X > < a : K e y V a l u e O f D i a g r a m O b j e c t K e y a n y T y p e z b w N T n L X > < a : K e y > < K e y > C o l u m n s \ S h o p s   o f f i c e s , a n d   o t h e r   c o m m e r c i a l     p r e m i s e s < / K e y > < / a : K e y > < a : V a l u e   i : t y p e = " M e a s u r e G r i d N o d e V i e w S t a t e " > < C o l u m n > 2 < / C o l u m n > < L a y e d O u t > t r u e < / L a y e d O u t > < / a : V a l u e > < / a : K e y V a l u e O f D i a g r a m O b j e c t K e y a n y T y p e z b w N T n L X > < a : K e y V a l u e O f D i a g r a m O b j e c t K e y a n y T y p e z b w N T n L X > < a : K e y > < K e y > C o l u m n s \ F a c t o r i e s   a n d   o t h e r   i n d u s t r i a l   p r e m i s e s < / K e y > < / a : K e y > < a : V a l u e   i : t y p e = " M e a s u r e G r i d N o d e V i e w S t a t e " > < C o l u m n > 3 < / C o l u m n > < L a y e d O u t > t r u e < / L a y e d O u t > < / a : V a l u e > < / a : K e y V a l u e O f D i a g r a m O b j e c t K e y a n y T y p e z b w N T n L X > < a : K e y V a l u e O f D i a g r a m O b j e c t K e y a n y T y p e z b w N T n L X > < a : K e y > < K e y > C o l u m n s \ P u b l i c   l i g h t i n g < / K e y > < / a : K e y > < a : V a l u e   i : t y p e = " M e a s u r e G r i d N o d e V i e w S t a t e " > < C o l u m n > 4 < / C o l u m n > < L a y e d O u t > t r u e < / L a y e d O u t > < / a : V a l u e > < / a : K e y V a l u e O f D i a g r a m O b j e c t K e y a n y T y p e z b w N T n L X > < a : K e y V a l u e O f D i a g r a m O b j e c t K e y a n y T y p e z b w N T n L X > < a : K e y > < K e y > C o l u m n s \ T r a c t i o n < / K e y > < / a : K e y > < a : V a l u e   i : t y p e = " M e a s u r e G r i d N o d e V i e w S t a t e " > < C o l u m n > 5 < / C o l u m n > < L a y e d O u t > t r u e < / L a y e d O u t > < / a : V a l u e > < / a : K e y V a l u e O f D i a g r a m O b j e c t K e y a n y T y p e z b w N T n L X > < a : K e y V a l u e O f D i a g r a m O b j e c t K e y a n y T y p e z b w N T n L X > < a : K e y > < K e y > C o l u m n s \ C o m s u m p t i o n T o t a l < / K e y > < / a : K e y > < a : V a l u e   i : t y p e = " M e a s u r e G r i d N o d e V i e w S t a t e " > < C o l u m n > 6 < / C o l u m n > < L a y e d O u t > t r u e < / L a y e d O u t > < / a : V a l u e > < / a : K e y V a l u e O f D i a g r a m O b j e c t K e y a n y T y p e z b w N T n L X > < / V i e w S t a t e s > < / D i a g r a m M a n a g e r . S e r i a l i z a b l e D i a g r a m > < D i a g r a m M a n a g e r . S e r i a l i z a b l e D i a g r a m > < A d a p t e r   i : t y p e = " M e a s u r e D i a g r a m S a n d b o x A d a p t e r " > < T a b l e N a m e > S u p p l y A v a i l a b i l i t y 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 S u p p l y A v a i l a b i l i t y 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 C o l u m n s \ E l e c t r i c i t y   s u p p l i e d   ( n e t ) < / K e y > < / D i a g r a m O b j e c t K e y > < D i a g r a m O b j e c t K e y > < K e y > C o l u m n s \ P u r c h a s e s   f r o m   o t h e r   p r o d u c e r s < / K e y > < / D i a g r a m O b j e c t K e y > < D i a g r a m O b j e c t K e y > < K e y > C o l u m n s \ N e t   I m p o r t s < / K e y > < / D i a g r a m O b j e c t K e y > < D i a g r a m O b j e c t K e y > < K e y > C o l u m n s \ E l e c t r i c i t y   a v a i l a b l e < / K e y > < / D i a g r a m O b j e c t K e y > < D i a g r a m O b j e c t K e y > < K e y > C o l u m n s \ L o s s e s   i n   t r a n s m i s s i o n < / K e y > < / D i a g r a m O b j e c t K e y > < D i a g r a m O b j e c t K e y > < K e y > C o l u m n s \ A v a i l a b i l i t y / S u p p l y T o t a l < / K e y > < / D i a g r a m O b j e c t K e y > < D i a g r a m O b j e c t K e y > < K e y > C o l u m n s \ F u e l   i n d u s t r i e s < / K e y > < / D i a g r a m O b j e c t K e y > < D i a g r a m O b j e c t K e y > < K e y > C o l u m n s \ U s e r   I n d u s t r i a l < / K e y > < / D i a g r a m O b j e c t K e y > < D i a g r a m O b j e c t K e y > < K e y > C o l u m n s \ U s e r   D o m e s t i c < / K e y > < / D i a g r a m O b j e c t K e y > < D i a g r a m O b j e c t K e y > < K e y > C o l u m n s \ U s e r   O t h e r < / K e y > < / D i a g r a m O b j e c t K e y > < D i a g r a m O b j e c t K e y > < K e y > C o l u m n s \ U s e r 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 C o l u m n s \ E l e c t r i c i t y   s u p p l i e d   ( n e t ) < / K e y > < / a : K e y > < a : V a l u e   i : t y p e = " M e a s u r e G r i d N o d e V i e w S t a t e " > < C o l u m n > 1 < / C o l u m n > < L a y e d O u t > t r u e < / L a y e d O u t > < / a : V a l u e > < / a : K e y V a l u e O f D i a g r a m O b j e c t K e y a n y T y p e z b w N T n L X > < a : K e y V a l u e O f D i a g r a m O b j e c t K e y a n y T y p e z b w N T n L X > < a : K e y > < K e y > C o l u m n s \ P u r c h a s e s   f r o m   o t h e r   p r o d u c e r s < / K e y > < / a : K e y > < a : V a l u e   i : t y p e = " M e a s u r e G r i d N o d e V i e w S t a t e " > < C o l u m n > 2 < / C o l u m n > < L a y e d O u t > t r u e < / L a y e d O u t > < / a : V a l u e > < / a : K e y V a l u e O f D i a g r a m O b j e c t K e y a n y T y p e z b w N T n L X > < a : K e y V a l u e O f D i a g r a m O b j e c t K e y a n y T y p e z b w N T n L X > < a : K e y > < K e y > C o l u m n s \ N e t   I m p o r t s < / K e y > < / a : K e y > < a : V a l u e   i : t y p e = " M e a s u r e G r i d N o d e V i e w S t a t e " > < C o l u m n > 3 < / C o l u m n > < L a y e d O u t > t r u e < / L a y e d O u t > < / a : V a l u e > < / a : K e y V a l u e O f D i a g r a m O b j e c t K e y a n y T y p e z b w N T n L X > < a : K e y V a l u e O f D i a g r a m O b j e c t K e y a n y T y p e z b w N T n L X > < a : K e y > < K e y > C o l u m n s \ E l e c t r i c i t y   a v a i l a b l e < / K e y > < / a : K e y > < a : V a l u e   i : t y p e = " M e a s u r e G r i d N o d e V i e w S t a t e " > < C o l u m n > 4 < / C o l u m n > < L a y e d O u t > t r u e < / L a y e d O u t > < / a : V a l u e > < / a : K e y V a l u e O f D i a g r a m O b j e c t K e y a n y T y p e z b w N T n L X > < a : K e y V a l u e O f D i a g r a m O b j e c t K e y a n y T y p e z b w N T n L X > < a : K e y > < K e y > C o l u m n s \ L o s s e s   i n   t r a n s m i s s i o n < / K e y > < / a : K e y > < a : V a l u e   i : t y p e = " M e a s u r e G r i d N o d e V i e w S t a t e " > < C o l u m n > 5 < / C o l u m n > < L a y e d O u t > t r u e < / L a y e d O u t > < / a : V a l u e > < / a : K e y V a l u e O f D i a g r a m O b j e c t K e y a n y T y p e z b w N T n L X > < a : K e y V a l u e O f D i a g r a m O b j e c t K e y a n y T y p e z b w N T n L X > < a : K e y > < K e y > C o l u m n s \ A v a i l a b i l i t y / S u p p l y T o t a l < / K e y > < / a : K e y > < a : V a l u e   i : t y p e = " M e a s u r e G r i d N o d e V i e w S t a t e " > < C o l u m n > 6 < / C o l u m n > < L a y e d O u t > t r u e < / L a y e d O u t > < / a : V a l u e > < / a : K e y V a l u e O f D i a g r a m O b j e c t K e y a n y T y p e z b w N T n L X > < a : K e y V a l u e O f D i a g r a m O b j e c t K e y a n y T y p e z b w N T n L X > < a : K e y > < K e y > C o l u m n s \ F u e l   i n d u s t r i e s < / K e y > < / a : K e y > < a : V a l u e   i : t y p e = " M e a s u r e G r i d N o d e V i e w S t a t e " > < C o l u m n > 7 < / C o l u m n > < L a y e d O u t > t r u e < / L a y e d O u t > < / a : V a l u e > < / a : K e y V a l u e O f D i a g r a m O b j e c t K e y a n y T y p e z b w N T n L X > < a : K e y V a l u e O f D i a g r a m O b j e c t K e y a n y T y p e z b w N T n L X > < a : K e y > < K e y > C o l u m n s \ U s e r   I n d u s t r i a l < / K e y > < / a : K e y > < a : V a l u e   i : t y p e = " M e a s u r e G r i d N o d e V i e w S t a t e " > < C o l u m n > 8 < / C o l u m n > < L a y e d O u t > t r u e < / L a y e d O u t > < / a : V a l u e > < / a : K e y V a l u e O f D i a g r a m O b j e c t K e y a n y T y p e z b w N T n L X > < a : K e y V a l u e O f D i a g r a m O b j e c t K e y a n y T y p e z b w N T n L X > < a : K e y > < K e y > C o l u m n s \ U s e r   D o m e s t i c < / K e y > < / a : K e y > < a : V a l u e   i : t y p e = " M e a s u r e G r i d N o d e V i e w S t a t e " > < C o l u m n > 9 < / C o l u m n > < L a y e d O u t > t r u e < / L a y e d O u t > < / a : V a l u e > < / a : K e y V a l u e O f D i a g r a m O b j e c t K e y a n y T y p e z b w N T n L X > < a : K e y V a l u e O f D i a g r a m O b j e c t K e y a n y T y p e z b w N T n L X > < a : K e y > < K e y > C o l u m n s \ U s e r   O t h e r < / K e y > < / a : K e y > < a : V a l u e   i : t y p e = " M e a s u r e G r i d N o d e V i e w S t a t e " > < C o l u m n > 1 0 < / C o l u m n > < L a y e d O u t > t r u e < / L a y e d O u t > < / a : V a l u e > < / a : K e y V a l u e O f D i a g r a m O b j e c t K e y a n y T y p e z b w N T n L X > < a : K e y V a l u e O f D i a g r a m O b j e c t K e y a n y T y p e z b w N T n L X > < a : K e y > < K e y > C o l u m n s \ U s e r   T o t a l < / 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 T a g s \ T a b l e s \ & l t ; T a b l e s \ E l e c t r i v i t y C o m s u m p t i o n & g t ; < / K e y > < / D i a g r a m O b j e c t K e y > < D i a g r a m O b j e c t K e y > < K e y > D y n a m i c   T a g s \ T a b l e s \ & l t ; T a b l e s \ S u p p l y A v a i l a b i l i t y & g t ; < / K e y > < / D i a g r a m O b j e c t K e y > < D i a g r a m O b j e c t K e y > < K e y > T a b l e s \ E l e c t r i v i t y C o m s u m p t i o n < / K e y > < / D i a g r a m O b j e c t K e y > < D i a g r a m O b j e c t K e y > < K e y > T a b l e s \ E l e c t r i v i t y C o m s u m p t i o n \ C o l u m n s \ Y e a r < / K e y > < / D i a g r a m O b j e c t K e y > < D i a g r a m O b j e c t K e y > < K e y > T a b l e s \ E l e c t r i v i t y C o m s u m p t i o n \ C o l u m n s \ D o m e s t i c   a n d   f a r m   p r e m i s e s < / K e y > < / D i a g r a m O b j e c t K e y > < D i a g r a m O b j e c t K e y > < K e y > T a b l e s \ E l e c t r i v i t y C o m s u m p t i o n \ C o l u m n s \ S h o p s   o f f i c e s , a n d   o t h e r   c o m m e r c i a l     p r e m i s e s < / K e y > < / D i a g r a m O b j e c t K e y > < D i a g r a m O b j e c t K e y > < K e y > T a b l e s \ E l e c t r i v i t y C o m s u m p t i o n \ C o l u m n s \ F a c t o r i e s   a n d   o t h e r   i n d u s t r i a l   p r e m i s e s < / K e y > < / D i a g r a m O b j e c t K e y > < D i a g r a m O b j e c t K e y > < K e y > T a b l e s \ E l e c t r i v i t y C o m s u m p t i o n \ C o l u m n s \ P u b l i c   l i g h t i n g < / K e y > < / D i a g r a m O b j e c t K e y > < D i a g r a m O b j e c t K e y > < K e y > T a b l e s \ E l e c t r i v i t y C o m s u m p t i o n \ C o l u m n s \ T r a c t i o n < / K e y > < / D i a g r a m O b j e c t K e y > < D i a g r a m O b j e c t K e y > < K e y > T a b l e s \ E l e c t r i v i t y C o m s u m p t i o n \ C o l u m n s \ C o n s u m p t i o n T o t a l < / K e y > < / D i a g r a m O b j e c t K e y > < D i a g r a m O b j e c t K e y > < K e y > T a b l e s \ E l e c t r i v i t y C o m s u m p t i o n \ C o l u m n s \ D o m e s t i c   a n d   f a r m   p r e m i s e s     % < / K e y > < / D i a g r a m O b j e c t K e y > < D i a g r a m O b j e c t K e y > < K e y > T a b l e s \ E l e c t r i v i t y C o m s u m p t i o n \ C o l u m n s \ S h o p s   o f f i c e s , a n d   o t h e r   c o m m e r c i a l     p r e m i s e s   % < / K e y > < / D i a g r a m O b j e c t K e y > < D i a g r a m O b j e c t K e y > < K e y > T a b l e s \ E l e c t r i v i t y C o m s u m p t i o n \ C o l u m n s \ F a c t o r i e s   a n d   o t h e r   i n d u s t r i a l   p r e m i s e s   % < / K e y > < / D i a g r a m O b j e c t K e y > < D i a g r a m O b j e c t K e y > < K e y > T a b l e s \ E l e c t r i v i t y C o m s u m p t i o n \ C o l u m n s \ P u b l i c   l i g h t i n g % < / K e y > < / D i a g r a m O b j e c t K e y > < D i a g r a m O b j e c t K e y > < K e y > T a b l e s \ E l e c t r i v i t y C o m s u m p t i o n \ C o l u m n s \ T r a c t i o n % < / K e y > < / D i a g r a m O b j e c t K e y > < D i a g r a m O b j e c t K e y > < K e y > T a b l e s \ S u p p l y A v a i l a b i l i t y < / K e y > < / D i a g r a m O b j e c t K e y > < D i a g r a m O b j e c t K e y > < K e y > T a b l e s \ S u p p l y A v a i l a b i l i t y \ C o l u m n s \ Y e a r < / K e y > < / D i a g r a m O b j e c t K e y > < D i a g r a m O b j e c t K e y > < K e y > T a b l e s \ S u p p l y A v a i l a b i l i t y \ C o l u m n s \ E l e c t r i c i t y   s u p p l i e d   ( n e t ) < / K e y > < / D i a g r a m O b j e c t K e y > < D i a g r a m O b j e c t K e y > < K e y > T a b l e s \ S u p p l y A v a i l a b i l i t y \ C o l u m n s \ P u r c h a s e s   f r o m   o t h e r   p r o d u c e r s < / K e y > < / D i a g r a m O b j e c t K e y > < D i a g r a m O b j e c t K e y > < K e y > T a b l e s \ S u p p l y A v a i l a b i l i t y \ C o l u m n s \ N e t   I m p o r t s < / K e y > < / D i a g r a m O b j e c t K e y > < D i a g r a m O b j e c t K e y > < K e y > T a b l e s \ S u p p l y A v a i l a b i l i t y \ C o l u m n s \ E l e c t r i c i t y   a v a i l a b l e < / K e y > < / D i a g r a m O b j e c t K e y > < D i a g r a m O b j e c t K e y > < K e y > T a b l e s \ S u p p l y A v a i l a b i l i t y \ C o l u m n s \ L o s s e s   i n   t r a n s m i s s i o n < / K e y > < / D i a g r a m O b j e c t K e y > < D i a g r a m O b j e c t K e y > < K e y > T a b l e s \ S u p p l y A v a i l a b i l i t y \ C o l u m n s \ A v a i l a b i l i t y / S u p p l y T o t a l < / K e y > < / D i a g r a m O b j e c t K e y > < D i a g r a m O b j e c t K e y > < K e y > T a b l e s \ S u p p l y A v a i l a b i l i t y \ C o l u m n s \ F u e l   i n d u s t r i e s < / K e y > < / D i a g r a m O b j e c t K e y > < D i a g r a m O b j e c t K e y > < K e y > T a b l e s \ S u p p l y A v a i l a b i l i t y \ C o l u m n s \ U s e r   I n d u s t r i a l < / K e y > < / D i a g r a m O b j e c t K e y > < D i a g r a m O b j e c t K e y > < K e y > T a b l e s \ S u p p l y A v a i l a b i l i t y \ C o l u m n s \ U s e r   D o m e s t i c < / K e y > < / D i a g r a m O b j e c t K e y > < D i a g r a m O b j e c t K e y > < K e y > T a b l e s \ S u p p l y A v a i l a b i l i t y \ C o l u m n s \ U s e r   O t h e r < / K e y > < / D i a g r a m O b j e c t K e y > < D i a g r a m O b j e c t K e y > < K e y > T a b l e s \ S u p p l y A v a i l a b i l i t y \ C o l u m n s \ U s e r   T o t a l < / K e y > < / D i a g r a m O b j e c t K e y > < D i a g r a m O b j e c t K e y > < K e y > R e l a t i o n s h i p s \ & l t ; T a b l e s \ E l e c t r i v i t y C o m s u m p t i o n \ C o l u m n s \ Y e a r & g t ; - & l t ; T a b l e s \ S u p p l y A v a i l a b i l i t y \ C o l u m n s \ Y e a r & g t ; < / K e y > < / D i a g r a m O b j e c t K e y > < D i a g r a m O b j e c t K e y > < K e y > R e l a t i o n s h i p s \ & l t ; T a b l e s \ E l e c t r i v i t y C o m s u m p t i o n \ C o l u m n s \ Y e a r & g t ; - & l t ; T a b l e s \ S u p p l y A v a i l a b i l i t y \ C o l u m n s \ Y e a r & g t ; \ F K < / K e y > < / D i a g r a m O b j e c t K e y > < D i a g r a m O b j e c t K e y > < K e y > R e l a t i o n s h i p s \ & l t ; T a b l e s \ E l e c t r i v i t y C o m s u m p t i o n \ C o l u m n s \ Y e a r & g t ; - & l t ; T a b l e s \ S u p p l y A v a i l a b i l i t y \ C o l u m n s \ Y e a r & g t ; \ P K < / K e y > < / D i a g r a m O b j e c t K e y > < D i a g r a m O b j e c t K e y > < K e y > R e l a t i o n s h i p s \ & l t ; T a b l e s \ E l e c t r i v i t y C o m s u m p t i o n \ C o l u m n s \ Y e a r & g t ; - & l t ; T a b l e s \ S u p p l y A v a i l a b i l i t y \ C o l u m n s \ Y e a r & g t ; \ C r o s s F i l t e r < / K e y > < / D i a g r a m O b j e c t K e y > < / A l l K e y s > < S e l e c t e d K e y s > < D i a g r a m O b j e c t K e y > < K e y > R e l a t i o n s h i p s \ & l t ; T a b l e s \ E l e c t r i v i t y C o m s u m p t i o n \ C o l u m n s \ Y e a r & g t ; - & l t ; T a b l e s \ S u p p l y A v a i l a b i l i t y \ C o l u m n s \ Y e a r & g t ; \ C r o s s F i l t e r 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 T a g s \ T a b l e s \ & l t ; T a b l e s \ E l e c t r i v i t y C o m s u m p t i o n & g t ; < / K e y > < / a : K e y > < a : V a l u e   i : t y p e = " D i a g r a m D i s p l a y T a g V i e w S t a t e " > < I s N o t F i l t e r e d O u t > t r u e < / I s N o t F i l t e r e d O u t > < / a : V a l u e > < / a : K e y V a l u e O f D i a g r a m O b j e c t K e y a n y T y p e z b w N T n L X > < a : K e y V a l u e O f D i a g r a m O b j e c t K e y a n y T y p e z b w N T n L X > < a : K e y > < K e y > D y n a m i c   T a g s \ T a b l e s \ & l t ; T a b l e s \ S u p p l y A v a i l a b i l i t y & g t ; < / K e y > < / a : K e y > < a : V a l u e   i : t y p e = " D i a g r a m D i s p l a y T a g V i e w S t a t e " > < I s N o t F i l t e r e d O u t > t r u e < / I s N o t F i l t e r e d O u t > < / a : V a l u e > < / a : K e y V a l u e O f D i a g r a m O b j e c t K e y a n y T y p e z b w N T n L X > < a : K e y V a l u e O f D i a g r a m O b j e c t K e y a n y T y p e z b w N T n L X > < a : K e y > < K e y > T a b l e s \ E l e c t r i v i t y C o m s u m p t i o n < / K e y > < / a : K e y > < a : V a l u e   i : t y p e = " D i a g r a m D i s p l a y N o d e V i e w S t a t e " > < H e i g h t > 3 1 1 . 3 3 3 3 3 3 3 3 3 3 3 3 3 1 < / H e i g h t > < I s E x p a n d e d > t r u e < / I s E x p a n d e d > < L a y e d O u t > t r u e < / L a y e d O u t > < W i d t h > 2 0 0 < / W i d t h > < / a : V a l u e > < / a : K e y V a l u e O f D i a g r a m O b j e c t K e y a n y T y p e z b w N T n L X > < a : K e y V a l u e O f D i a g r a m O b j e c t K e y a n y T y p e z b w N T n L X > < a : K e y > < K e y > T a b l e s \ E l e c t r i v i t y C o m s u m p t i o n \ C o l u m n s \ Y e a r < / K e y > < / a : K e y > < a : V a l u e   i : t y p e = " D i a g r a m D i s p l a y N o d e V i e w S t a t e " > < H e i g h t > 1 5 0 < / H e i g h t > < I s E x p a n d e d > t r u e < / I s E x p a n d e d > < W i d t h > 2 0 0 < / W i d t h > < / a : V a l u e > < / a : K e y V a l u e O f D i a g r a m O b j e c t K e y a n y T y p e z b w N T n L X > < a : K e y V a l u e O f D i a g r a m O b j e c t K e y a n y T y p e z b w N T n L X > < a : K e y > < K e y > T a b l e s \ E l e c t r i v i t y C o m s u m p t i o n \ C o l u m n s \ D o m e s t i c   a n d   f a r m   p r e m i s e s < / K e y > < / a : K e y > < a : V a l u e   i : t y p e = " D i a g r a m D i s p l a y N o d e V i e w S t a t e " > < H e i g h t > 1 5 0 < / H e i g h t > < I s E x p a n d e d > t r u e < / I s E x p a n d e d > < W i d t h > 2 0 0 < / W i d t h > < / a : V a l u e > < / a : K e y V a l u e O f D i a g r a m O b j e c t K e y a n y T y p e z b w N T n L X > < a : K e y V a l u e O f D i a g r a m O b j e c t K e y a n y T y p e z b w N T n L X > < a : K e y > < K e y > T a b l e s \ E l e c t r i v i t y C o m s u m p t i o n \ C o l u m n s \ S h o p s   o f f i c e s , a n d   o t h e r   c o m m e r c i a l     p r e m i s e s < / K e y > < / a : K e y > < a : V a l u e   i : t y p e = " D i a g r a m D i s p l a y N o d e V i e w S t a t e " > < H e i g h t > 1 5 0 < / H e i g h t > < I s E x p a n d e d > t r u e < / I s E x p a n d e d > < W i d t h > 2 0 0 < / W i d t h > < / a : V a l u e > < / a : K e y V a l u e O f D i a g r a m O b j e c t K e y a n y T y p e z b w N T n L X > < a : K e y V a l u e O f D i a g r a m O b j e c t K e y a n y T y p e z b w N T n L X > < a : K e y > < K e y > T a b l e s \ E l e c t r i v i t y C o m s u m p t i o n \ C o l u m n s \ F a c t o r i e s   a n d   o t h e r   i n d u s t r i a l   p r e m i s e s < / 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 T a b l e s \ E l e c t r i v i t y C o m s u m p t i o n \ C o l u m n s \ C o n s u m p t i o n T o t a l < / K e y > < / a : K e y > < a : V a l u e   i : t y p e = " D i a g r a m D i s p l a y N o d e V i e w S t a t e " > < H e i g h t > 1 5 0 < / H e i g h t > < I s E x p a n d e d > t r u e < / I s E x p a n d e d > < W i d t h > 2 0 0 < / W i d t h > < / a : V a l u e > < / a : K e y V a l u e O f D i a g r a m O b j e c t K e y a n y T y p e z b w N T n L X > < a : K e y V a l u e O f D i a g r a m O b j e c t K e y a n y T y p e z b w N T n L X > < a : K e y > < K e y > T a b l e s \ E l e c t r i v i t y C o m s u m p t i o n \ C o l u m n s \ D o m e s t i c   a n d   f a r m   p r e m i s e s     % < / K e y > < / a : K e y > < a : V a l u e   i : t y p e = " D i a g r a m D i s p l a y N o d e V i e w S t a t e " > < H e i g h t > 1 5 0 < / H e i g h t > < I s E x p a n d e d > t r u e < / I s E x p a n d e d > < W i d t h > 2 0 0 < / W i d t h > < / a : V a l u e > < / a : K e y V a l u e O f D i a g r a m O b j e c t K e y a n y T y p e z b w N T n L X > < a : K e y V a l u e O f D i a g r a m O b j e c t K e y a n y T y p e z b w N T n L X > < a : K e y > < K e y > T a b l e s \ E l e c t r i v i t y C o m s u m p t i o n \ C o l u m n s \ S h o p s   o f f i c e s , a n d   o t h e r   c o m m e r c i a l     p r e m i s e s   % < / K e y > < / a : K e y > < a : V a l u e   i : t y p e = " D i a g r a m D i s p l a y N o d e V i e w S t a t e " > < H e i g h t > 1 5 0 < / H e i g h t > < I s E x p a n d e d > t r u e < / I s E x p a n d e d > < W i d t h > 2 0 0 < / W i d t h > < / a : V a l u e > < / a : K e y V a l u e O f D i a g r a m O b j e c t K e y a n y T y p e z b w N T n L X > < a : K e y V a l u e O f D i a g r a m O b j e c t K e y a n y T y p e z b w N T n L X > < a : K e y > < K e y > T a b l e s \ E l e c t r i v i t y C o m s u m p t i o n \ C o l u m n s \ F a c t o r i e s   a n d   o t h e r   i n d u s t r i a l   p r e m i s e s   % < / 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 T a b l e s \ S u p p l y A v a i l a b i l i t y < / K e y > < / a : K e y > < a : V a l u e   i : t y p e = " D i a g r a m D i s p l a y N o d e V i e w S t a t e " > < H e i g h t > 1 5 0 < / H e i g h t > < I s E x p a n d e d > t r u e < / I s E x p a n d e d > < L a y e d O u t > t r u e < / L a y e d O u t > < L e f t > 4 1 0 . 6 6 6 6 6 6 6 6 6 6 6 6 7 4 < / L e f t > < T a b I n d e x > 1 < / T a b I n d e x > < T o p > 3 6 < / T o p > < W i d t h > 2 0 0 < / W i d t h > < / a : V a l u e > < / a : K e y V a l u e O f D i a g r a m O b j e c t K e y a n y T y p e z b w N T n L X > < a : K e y V a l u e O f D i a g r a m O b j e c t K e y a n y T y p e z b w N T n L X > < a : K e y > < K e y > T a b l e s \ S u p p l y A v a i l a b i l i t y \ C o l u m n s \ Y e a r < / K e y > < / a : K e y > < a : V a l u e   i : t y p e = " D i a g r a m D i s p l a y N o d e V i e w S t a t e " > < H e i g h t > 1 5 0 < / H e i g h t > < I s E x p a n d e d > t r u e < / I s E x p a n d e d > < W i d t h > 2 0 0 < / W i d t h > < / a : V a l u e > < / a : K e y V a l u e O f D i a g r a m O b j e c t K e y a n y T y p e z b w N T n L X > < a : K e y V a l u e O f D i a g r a m O b j e c t K e y a n y T y p e z b w N T n L X > < a : K e y > < K e y > T a b l e s \ S u p p l y A v a i l a b i l i t y \ C o l u m n s \ E l e c t r i c i t y   s u p p l i e d   ( n e t ) < / K e y > < / a : K e y > < a : V a l u e   i : t y p e = " D i a g r a m D i s p l a y N o d e V i e w S t a t e " > < H e i g h t > 1 5 0 < / H e i g h t > < I s E x p a n d e d > t r u e < / I s E x p a n d e d > < W i d t h > 2 0 0 < / W i d t h > < / a : V a l u e > < / a : K e y V a l u e O f D i a g r a m O b j e c t K e y a n y T y p e z b w N T n L X > < a : K e y V a l u e O f D i a g r a m O b j e c t K e y a n y T y p e z b w N T n L X > < a : K e y > < K e y > T a b l e s \ S u p p l y A v a i l a b i l i t y \ C o l u m n s \ P u r c h a s e s   f r o m   o t h e r   p r o d u c e r s < / K e y > < / a : K e y > < a : V a l u e   i : t y p e = " D i a g r a m D i s p l a y N o d e V i e w S t a t e " > < H e i g h t > 1 5 0 < / H e i g h t > < I s E x p a n d e d > t r u e < / I s E x p a n d e d > < W i d t h > 2 0 0 < / W i d t h > < / a : V a l u e > < / a : K e y V a l u e O f D i a g r a m O b j e c t K e y a n y T y p e z b w N T n L X > < a : K e y V a l u e O f D i a g r a m O b j e c t K e y a n y T y p e z b w N T n L X > < a : K e y > < K e y > T a b l e s \ S u p p l y A v a i l a b i l i t y \ C o l u m n s \ N e t   I m p o r t s < / K e y > < / a : K e y > < a : V a l u e   i : t y p e = " D i a g r a m D i s p l a y N o d e V i e w S t a t e " > < H e i g h t > 1 5 0 < / H e i g h t > < I s E x p a n d e d > t r u e < / I s E x p a n d e d > < W i d t h > 2 0 0 < / W i d t h > < / a : V a l u e > < / a : K e y V a l u e O f D i a g r a m O b j e c t K e y a n y T y p e z b w N T n L X > < a : K e y V a l u e O f D i a g r a m O b j e c t K e y a n y T y p e z b w N T n L X > < a : K e y > < K e y > T a b l e s \ S u p p l y A v a i l a b i l i t y \ C o l u m n s \ E l e c t r i c i t y   a v a i l a b l e < / K e y > < / a : K e y > < a : V a l u e   i : t y p e = " D i a g r a m D i s p l a y N o d e V i e w S t a t e " > < H e i g h t > 1 5 0 < / H e i g h t > < I s E x p a n d e d > t r u e < / I s E x p a n d e d > < W i d t h > 2 0 0 < / W i d t h > < / a : V a l u e > < / a : K e y V a l u e O f D i a g r a m O b j e c t K e y a n y T y p e z b w N T n L X > < a : K e y V a l u e O f D i a g r a m O b j e c t K e y a n y T y p e z b w N T n L X > < a : K e y > < K e y > T a b l e s \ S u p p l y A v a i l a b i l i t y \ C o l u m n s \ L o s s e s   i n   t r a n s m i s s i o n < / K e y > < / a : K e y > < a : V a l u e   i : t y p e = " D i a g r a m D i s p l a y N o d e V i e w S t a t e " > < H e i g h t > 1 5 0 < / H e i g h t > < I s E x p a n d e d > t r u e < / I s E x p a n d e d > < W i d t h > 2 0 0 < / W i d t h > < / a : V a l u e > < / a : K e y V a l u e O f D i a g r a m O b j e c t K e y a n y T y p e z b w N T n L X > < a : K e y V a l u e O f D i a g r a m O b j e c t K e y a n y T y p e z b w N T n L X > < a : K e y > < K e y > T a b l e s \ S u p p l y A v a i l a b i l i t y \ C o l u m n s \ A v a i l a b i l i t y / S u p p l y T o t a l < / K e y > < / a : K e y > < a : V a l u e   i : t y p e = " D i a g r a m D i s p l a y N o d e V i e w S t a t e " > < H e i g h t > 1 5 0 < / H e i g h t > < I s E x p a n d e d > t r u e < / I s E x p a n d e d > < W i d t h > 2 0 0 < / W i d t h > < / a : V a l u e > < / a : K e y V a l u e O f D i a g r a m O b j e c t K e y a n y T y p e z b w N T n L X > < a : K e y V a l u e O f D i a g r a m O b j e c t K e y a n y T y p e z b w N T n L X > < a : K e y > < K e y > T a b l e s \ S u p p l y A v a i l a b i l i t y \ C o l u m n s \ F u e l   i n d u s t r i e s < / K e y > < / a : K e y > < a : V a l u e   i : t y p e = " D i a g r a m D i s p l a y N o d e V i e w S t a t e " > < H e i g h t > 1 5 0 < / H e i g h t > < I s E x p a n d e d > t r u e < / I s E x p a n d e d > < W i d t h > 2 0 0 < / W i d t h > < / a : V a l u e > < / a : K e y V a l u e O f D i a g r a m O b j e c t K e y a n y T y p e z b w N T n L X > < a : K e y V a l u e O f D i a g r a m O b j e c t K e y a n y T y p e z b w N T n L X > < a : K e y > < K e y > T a b l e s \ S u p p l y A v a i l a b i l i t y \ C o l u m n s \ U s e r   I n d u s t r i a l < / K e y > < / a : K e y > < a : V a l u e   i : t y p e = " D i a g r a m D i s p l a y N o d e V i e w S t a t e " > < H e i g h t > 1 5 0 < / H e i g h t > < I s E x p a n d e d > t r u e < / I s E x p a n d e d > < W i d t h > 2 0 0 < / W i d t h > < / a : V a l u e > < / a : K e y V a l u e O f D i a g r a m O b j e c t K e y a n y T y p e z b w N T n L X > < a : K e y V a l u e O f D i a g r a m O b j e c t K e y a n y T y p e z b w N T n L X > < a : K e y > < K e y > T a b l e s \ S u p p l y A v a i l a b i l i t y \ C o l u m n s \ U s e r   D o m e s t i c < / K e y > < / a : K e y > < a : V a l u e   i : t y p e = " D i a g r a m D i s p l a y N o d e V i e w S t a t e " > < H e i g h t > 1 5 0 < / H e i g h t > < I s E x p a n d e d > t r u e < / I s E x p a n d e d > < W i d t h > 2 0 0 < / W i d t h > < / a : V a l u e > < / a : K e y V a l u e O f D i a g r a m O b j e c t K e y a n y T y p e z b w N T n L X > < a : K e y V a l u e O f D i a g r a m O b j e c t K e y a n y T y p e z b w N T n L X > < a : K e y > < K e y > T a b l e s \ S u p p l y A v a i l a b i l i t y \ C o l u m n s \ U s e r   O t h e r < / K e y > < / a : K e y > < a : V a l u e   i : t y p e = " D i a g r a m D i s p l a y N o d e V i e w S t a t e " > < H e i g h t > 1 5 0 < / H e i g h t > < I s E x p a n d e d > t r u e < / I s E x p a n d e d > < W i d t h > 2 0 0 < / W i d t h > < / a : V a l u e > < / a : K e y V a l u e O f D i a g r a m O b j e c t K e y a n y T y p e z b w N T n L X > < a : K e y V a l u e O f D i a g r a m O b j e c t K e y a n y T y p e z b w N T n L X > < a : K e y > < K e y > T a b l e s \ S u p p l y A v a i l a b i l i t y \ C o l u m n s \ U s e r   T o t a l < / K e y > < / a : K e y > < a : V a l u e   i : t y p e = " D i a g r a m D i s p l a y N o d e V i e w S t a t e " > < H e i g h t > 1 5 0 < / H e i g h t > < I s E x p a n d e d > t r u e < / I s E x p a n d e d > < W i d t h > 2 0 0 < / W i d t h > < / a : V a l u e > < / a : K e y V a l u e O f D i a g r a m O b j e c t K e y a n y T y p e z b w N T n L X > < a : K e y V a l u e O f D i a g r a m O b j e c t K e y a n y T y p e z b w N T n L X > < a : K e y > < K e y > R e l a t i o n s h i p s \ & l t ; T a b l e s \ E l e c t r i v i t y C o m s u m p t i o n \ C o l u m n s \ Y e a r & g t ; - & l t ; T a b l e s \ S u p p l y A v a i l a b i l i t y \ C o l u m n s \ Y e a r & g t ; < / K e y > < / a : K e y > < a : V a l u e   i : t y p e = " D i a g r a m D i s p l a y L i n k V i e w S t a t e " > < A u t o m a t i o n P r o p e r t y H e l p e r T e x t > E n d   p o i n t   1 :   ( 2 1 6 , 1 5 5 . 6 6 6 6 6 7 ) .   E n d   p o i n t   2 :   ( 3 9 4 . 6 6 6 6 6 6 6 6 6 6 6 7 , 1 1 1 )   < / A u t o m a t i o n P r o p e r t y H e l p e r T e x t > < L a y e d O u t > t r u e < / L a y e d O u t > < 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a : K e y V a l u e O f D i a g r a m O b j e c t K e y a n y T y p e z b w N T n L X > < a : K e y > < K e y > R e l a t i o n s h i p s \ & l t ; T a b l e s \ E l e c t r i v i t y C o m s u m p t i o n \ C o l u m n s \ Y e a r & g t ; - & l t ; T a b l e s \ S u p p l y A v a i l a b i l i t y \ C o l u m n s \ Y e a r & g t ; \ F K < / K e y > < / a : K e y > < a : V a l u e   i : t y p e = " D i a g r a m D i s p l a y L i n k E n d p o i n t V i e w S t a t e " > < H e i g h t > 1 6 < / H e i g h t > < L a b e l L o c a t i o n   x m l n s : b = " h t t p : / / s c h e m a s . d a t a c o n t r a c t . o r g / 2 0 0 4 / 0 7 / S y s t e m . W i n d o w s " > < b : _ x > 2 0 0 < / b : _ x > < b : _ y > 1 4 7 . 6 6 6 6 6 7 0 0 0 0 0 0 0 2 < / b : _ y > < / L a b e l L o c a t i o n > < L o c a t i o n   x m l n s : b = " h t t p : / / s c h e m a s . d a t a c o n t r a c t . o r g / 2 0 0 4 / 0 7 / S y s t e m . W i n d o w s " > < b : _ x > 2 0 0 < / b : _ x > < b : _ y > 1 5 5 . 6 6 6 6 6 7 < / b : _ y > < / L o c a t i o n > < S h a p e R o t a t e A n g l e > 1 . 1 3 6 8 6 8 3 7 7 2 1 6 1 6 0 3 E - 1 3 < / S h a p e R o t a t e A n g l e > < W i d t h > 1 6 < / W i d t h > < / a : V a l u e > < / a : K e y V a l u e O f D i a g r a m O b j e c t K e y a n y T y p e z b w N T n L X > < a : K e y V a l u e O f D i a g r a m O b j e c t K e y a n y T y p e z b w N T n L X > < a : K e y > < K e y > R e l a t i o n s h i p s \ & l t ; T a b l e s \ E l e c t r i v i t y C o m s u m p t i o n \ C o l u m n s \ Y e a r & g t ; - & l t ; T a b l e s \ S u p p l y A v a i l a b i l i t y \ C o l u m n s \ Y e a r & g t ; \ P K < / K e y > < / a : K e y > < a : V a l u e   i : t y p e = " D i a g r a m D i s p l a y L i n k E n d p o i n t V i e w S t a t e " > < H e i g h t > 1 6 < / H e i g h t > < L a b e l L o c a t i o n   x m l n s : b = " h t t p : / / s c h e m a s . d a t a c o n t r a c t . o r g / 2 0 0 4 / 0 7 / S y s t e m . W i n d o w s " > < b : _ x > 3 9 4 . 6 6 6 6 6 6 6 6 6 6 6 6 7 4 < / b : _ x > < b : _ y > 1 0 3 < / b : _ y > < / L a b e l L o c a t i o n > < L o c a t i o n   x m l n s : b = " h t t p : / / s c h e m a s . d a t a c o n t r a c t . o r g / 2 0 0 4 / 0 7 / S y s t e m . W i n d o w s " > < b : _ x > 4 1 0 . 6 6 6 6 6 6 6 6 6 6 6 6 7 4 < / b : _ x > < b : _ y > 1 1 1 < / b : _ y > < / L o c a t i o n > < S h a p e R o t a t e A n g l e > 1 8 0 < / S h a p e R o t a t e A n g l e > < W i d t h > 1 6 < / W i d t h > < / a : V a l u e > < / a : K e y V a l u e O f D i a g r a m O b j e c t K e y a n y T y p e z b w N T n L X > < a : K e y V a l u e O f D i a g r a m O b j e c t K e y a n y T y p e z b w N T n L X > < a : K e y > < K e y > R e l a t i o n s h i p s \ & l t ; T a b l e s \ E l e c t r i v i t y C o m s u m p t i o n \ C o l u m n s \ Y e a r & g t ; - & l t ; T a b l e s \ S u p p l y A v a i l a b i l i t y \ C o l u m n s \ Y e a r & g t ; \ C r o s s F i l t e r < / K e y > < / a : K e y > < a : V a l u e   i : t y p e = " D i a g r a m D i s p l a y L i n k C r o s s F i l t e r V i e w S t a t e " > < 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 C o l u m n s \ R2 < / K e y > < / a : K e y > < a : V a l u e   i : t y p e = " T a b l e W i d g e t B a s e V i e w S t a t e " / > < / a : K e y V a l u e O f D i a g r a m O b j e c t K e y a n y T y p e z b w N T n L X > < a : K e y V a l u e O f D i a g r a m O b j e c t K e y a n y T y p e z b w N T n L X > < a : K e y > < K e y > C o l u m n s \ R3 < / K e y > < / a : K e y > < a : V a l u e   i : t y p e = " T a b l e W i d g e t B a s e V i e w S t a t e " / > < / a : K e y V a l u e O f D i a g r a m O b j e c t K e y a n y T y p e z b w N T n L X > < a : K e y V a l u e O f D i a g r a m O b j e c t K e y a n y T y p e z b w N T n L X > < a : K e y > < K e y > C o l u m n s \ R4 < / K e y > < / a : K e y > < a : V a l u e   i : t y p e = " T a b l e W i d g e t B a s e V i e w S t a t e " / > < / a : K e y V a l u e O f D i a g r a m O b j e c t K e y a n y T y p e z b w N T n L X > < a : K e y V a l u e O f D i a g r a m O b j e c t K e y a n y T y p e z b w N T n L X > < a : K e y > < K e y > C o l u m n s \ R5 < / K e y > < / a : K e y > < a : V a l u e   i : t y p e = " T a b l e W i d g e t B a s e V i e w S t a t e " / > < / a : K e y V a l u e O f D i a g r a m O b j e c t K e y a n y T y p e z b w N T n L X > < a : K e y V a l u e O f D i a g r a m O b j e c t K e y a n y T y p e z b w N T n L X > < a : K e y > < K e y > C o l u m n s \ R6 < / K e y > < / a : K e y > < a : V a l u e   i : t y p e = " T a b l e W i d g e t B a s e V i e w S t a t e " / > < / a : K e y V a l u e O f D i a g r a m O b j e c t K e y a n y T y p e z b w N T n L X > < a : K e y V a l u e O f D i a g r a m O b j e c t K e y a n y T y p e z b w N T n L X > < a : K e y > < K e y > C o l u m n s \ R7 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 E l e c t r i v i t y C o m s u m p t i o n 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 E l e c t r i v i t y C o m s u m p t i o n 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 C o l u m n s \ D o m e s t i c   a n d   f a r m   p r e m i s e s < / K e y > < / a : K e y > < a : V a l u e   i : t y p e = " T a b l e W i d g e t B a s e V i e w S t a t e " / > < / a : K e y V a l u e O f D i a g r a m O b j e c t K e y a n y T y p e z b w N T n L X > < a : K e y V a l u e O f D i a g r a m O b j e c t K e y a n y T y p e z b w N T n L X > < a : K e y > < K e y > C o l u m n s \ S h o p s   o f f i c e s , a n d   o t h e r   c o m m e r c i a l     p r e m i s e s < / K e y > < / a : K e y > < a : V a l u e   i : t y p e = " T a b l e W i d g e t B a s e V i e w S t a t e " / > < / a : K e y V a l u e O f D i a g r a m O b j e c t K e y a n y T y p e z b w N T n L X > < a : K e y V a l u e O f D i a g r a m O b j e c t K e y a n y T y p e z b w N T n L X > < a : K e y > < K e y > C o l u m n s \ F a c t o r i e s   a n d   o t h e r   i n d u s t r i a l   p r e m i s e s < / K e y > < / a : K e y > < a : V a l u e   i : t y p e = " T a b l e W i d g e t B a s e V i e w S t a t e " / > < / a : K e y V a l u e O f D i a g r a m O b j e c t K e y a n y T y p e z b w N T n L X > < a : K e y V a l u e O f D i a g r a m O b j e c t K e y a n y T y p e z b w N T n L X > < a : K e y > < K e y > C o l u m n s \ P u b l i c   l i g h t i n g < / K e y > < / a : K e y > < a : V a l u e   i : t y p e = " T a b l e W i d g e t B a s e V i e w S t a t e " / > < / a : K e y V a l u e O f D i a g r a m O b j e c t K e y a n y T y p e z b w N T n L X > < a : K e y V a l u e O f D i a g r a m O b j e c t K e y a n y T y p e z b w N T n L X > < a : K e y > < K e y > C o l u m n s \ T r a c t i o n < / K e y > < / a : K e y > < a : V a l u e   i : t y p e = " T a b l e W i d g e t B a s e V i e w S t a t e " / > < / a : K e y V a l u e O f D i a g r a m O b j e c t K e y a n y T y p e z b w N T n L X > < a : K e y V a l u e O f D i a g r a m O b j e c t K e y a n y T y p e z b w N T n L X > < a : K e y > < K e y > C o l u m n s \ C o m s u m p t i o n T o t a l 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 S u p p l y A v a i l a b i l i t y 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 S u p p l y A v a i l a b i l i t y 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 C o l u m n s \ E l e c t r i c i t y   s u p p l i e d   ( n e t ) < / K e y > < / a : K e y > < a : V a l u e   i : t y p e = " T a b l e W i d g e t B a s e V i e w S t a t e " / > < / a : K e y V a l u e O f D i a g r a m O b j e c t K e y a n y T y p e z b w N T n L X > < a : K e y V a l u e O f D i a g r a m O b j e c t K e y a n y T y p e z b w N T n L X > < a : K e y > < K e y > C o l u m n s \ P u r c h a s e s   f r o m   o t h e r   p r o d u c e r s < / K e y > < / a : K e y > < a : V a l u e   i : t y p e = " T a b l e W i d g e t B a s e V i e w S t a t e " / > < / a : K e y V a l u e O f D i a g r a m O b j e c t K e y a n y T y p e z b w N T n L X > < a : K e y V a l u e O f D i a g r a m O b j e c t K e y a n y T y p e z b w N T n L X > < a : K e y > < K e y > C o l u m n s \ N e t   I m p o r t s < / K e y > < / a : K e y > < a : V a l u e   i : t y p e = " T a b l e W i d g e t B a s e V i e w S t a t e " / > < / a : K e y V a l u e O f D i a g r a m O b j e c t K e y a n y T y p e z b w N T n L X > < a : K e y V a l u e O f D i a g r a m O b j e c t K e y a n y T y p e z b w N T n L X > < a : K e y > < K e y > C o l u m n s \ E l e c t r i c i t y   a v a i l a b l e < / K e y > < / a : K e y > < a : V a l u e   i : t y p e = " T a b l e W i d g e t B a s e V i e w S t a t e " / > < / a : K e y V a l u e O f D i a g r a m O b j e c t K e y a n y T y p e z b w N T n L X > < a : K e y V a l u e O f D i a g r a m O b j e c t K e y a n y T y p e z b w N T n L X > < a : K e y > < K e y > C o l u m n s \ L o s s e s   i n   t r a n s m i s s i o n < / K e y > < / a : K e y > < a : V a l u e   i : t y p e = " T a b l e W i d g e t B a s e V i e w S t a t e " / > < / a : K e y V a l u e O f D i a g r a m O b j e c t K e y a n y T y p e z b w N T n L X > < a : K e y V a l u e O f D i a g r a m O b j e c t K e y a n y T y p e z b w N T n L X > < a : K e y > < K e y > C o l u m n s \ A v a i l a b i l i t y / S u p p l y T o t a l < / K e y > < / a : K e y > < a : V a l u e   i : t y p e = " T a b l e W i d g e t B a s e V i e w S t a t e " / > < / a : K e y V a l u e O f D i a g r a m O b j e c t K e y a n y T y p e z b w N T n L X > < a : K e y V a l u e O f D i a g r a m O b j e c t K e y a n y T y p e z b w N T n L X > < a : K e y > < K e y > C o l u m n s \ F u e l   i n d u s t r i e s < / K e y > < / a : K e y > < a : V a l u e   i : t y p e = " T a b l e W i d g e t B a s e V i e w S t a t e " / > < / a : K e y V a l u e O f D i a g r a m O b j e c t K e y a n y T y p e z b w N T n L X > < a : K e y V a l u e O f D i a g r a m O b j e c t K e y a n y T y p e z b w N T n L X > < a : K e y > < K e y > C o l u m n s \ U s e r   I n d u s t r i a l < / K e y > < / a : K e y > < a : V a l u e   i : t y p e = " T a b l e W i d g e t B a s e V i e w S t a t e " / > < / a : K e y V a l u e O f D i a g r a m O b j e c t K e y a n y T y p e z b w N T n L X > < a : K e y V a l u e O f D i a g r a m O b j e c t K e y a n y T y p e z b w N T n L X > < a : K e y > < K e y > C o l u m n s \ U s e r   D o m e s t i c < / K e y > < / a : K e y > < a : V a l u e   i : t y p e = " T a b l e W i d g e t B a s e V i e w S t a t e " / > < / a : K e y V a l u e O f D i a g r a m O b j e c t K e y a n y T y p e z b w N T n L X > < a : K e y V a l u e O f D i a g r a m O b j e c t K e y a n y T y p e z b w N T n L X > < a : K e y > < K e y > C o l u m n s \ U s e r   O t h e r < / K e y > < / a : K e y > < a : V a l u e   i : t y p e = " T a b l e W i d g e t B a s e V i e w S t a t e " / > < / a : K e y V a l u e O f D i a g r a m O b j e c t K e y a n y T y p e z b w N T n L X > < a : K e y V a l u e O f D i a g r a m O b j e c t K e y a n y T y p e z b w N T n L X > < a : K e y > < K e y > C o l u m n s \ U s e r 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 h�1 < / K e y > < V a l u e   x m l n s : a = " h t t p : / / s c h e m a s . d a t a c o n t r a c t . o r g / 2 0 0 4 / 0 7 / M i c r o s o f t . A n a l y s i s S e r v i c e s . C o m m o n " > < a : H a s F o c u s > t r u e < / a : H a s F o c u s > < a : S i z e A t D p i 9 6 > 1 4 3 < / a : S i z e A t D p i 9 6 > < a : V i s i b l e > t r u e < / a : V i s i b l e > < / V a l u e > < / K e y V a l u e O f s t r i n g S a n d b o x E d i t o r . M e a s u r e G r i d S t a t e S c d E 3 5 R y > < K e y V a l u e O f s t r i n g S a n d b o x E d i t o r . M e a s u r e G r i d S t a t e S c d E 3 5 R y > < K e y > S u p p l y A v a i l a b i l i t y 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 2 0 2 0 - 1 2 - 1 9 T 0 1 : 1 1 : 4 9 . 0 6 3 7 9 1 1 + 0 0 : 0 0 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S u p p l y A v a i l a b i l i t y " > < 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 E l e c t r i c i t y   s u p p l i e d   ( n e t ) < / s t r i n g > < / k e y > < v a l u e > < i n t > 2 6 8 < / i n t > < / v a l u e > < / i t e m > < i t e m > < k e y > < s t r i n g > P u r c h a s e s   f r o m   o t h e r   p r o d u c e r s < / s t r i n g > < / k e y > < v a l u e > < i n t > 3 4 4 < / i n t > < / v a l u e > < / i t e m > < i t e m > < k e y > < s t r i n g > N e t   I m p o r t s < / s t r i n g > < / k e y > < v a l u e > < i n t > 1 5 8 < / i n t > < / v a l u e > < / i t e m > < i t e m > < k e y > < s t r i n g > E l e c t r i c i t y   a v a i l a b l e < / s t r i n g > < / k e y > < v a l u e > < i n t > 2 2 2 < / i n t > < / v a l u e > < / i t e m > < i t e m > < k e y > < s t r i n g > L o s s e s   i n   t r a n s m i s s i o n < / s t r i n g > < / k e y > < v a l u e > < i n t > 2 5 2 < / i n t > < / v a l u e > < / i t e m > < i t e m > < k e y > < s t r i n g > A v a i l a b i l i t y / S u p p l y T o t a l < / s t r i n g > < / k e y > < v a l u e > < i n t > 2 6 2 < / i n t > < / v a l u e > < / i t e m > < i t e m > < k e y > < s t r i n g > F u e l   i n d u s t r i e s < / s t r i n g > < / k e y > < v a l u e > < i n t > 1 8 2 < / i n t > < / v a l u e > < / i t e m > < i t e m > < k e y > < s t r i n g > U s e r   I n d u s t r i a l < / s t r i n g > < / k e y > < v a l u e > < i n t > 1 8 3 < / i n t > < / v a l u e > < / i t e m > < i t e m > < k e y > < s t r i n g > U s e r   D o m e s t i c < / s t r i n g > < / k e y > < v a l u e > < i n t > 1 8 1 < / i n t > < / v a l u e > < / i t e m > < i t e m > < k e y > < s t r i n g > U s e r   O t h e r < / s t r i n g > < / k e y > < v a l u e > < i n t > 1 4 9 < / i n t > < / v a l u e > < / i t e m > < i t e m > < k e y > < s t r i n g > U s e r   T o t a l < / s t r i n g > < / k e y > < v a l u e > < i n t > 1 4 0 < / i n t > < / v a l u e > < / i t e m > < / C o l u m n W i d t h s > < C o l u m n D i s p l a y I n d e x > < i t e m > < k e y > < s t r i n g > Y e a r < / s t r i n g > < / k e y > < v a l u e > < i n t > 0 < / i n t > < / v a l u e > < / i t e m > < i t e m > < k e y > < s t r i n g > E l e c t r i c i t y   s u p p l i e d   ( n e t ) < / s t r i n g > < / k e y > < v a l u e > < i n t > 1 < / i n t > < / v a l u e > < / i t e m > < i t e m > < k e y > < s t r i n g > P u r c h a s e s   f r o m   o t h e r   p r o d u c e r s < / s t r i n g > < / k e y > < v a l u e > < i n t > 2 < / i n t > < / v a l u e > < / i t e m > < i t e m > < k e y > < s t r i n g > N e t   I m p o r t s < / s t r i n g > < / k e y > < v a l u e > < i n t > 3 < / i n t > < / v a l u e > < / i t e m > < i t e m > < k e y > < s t r i n g > E l e c t r i c i t y   a v a i l a b l e < / s t r i n g > < / k e y > < v a l u e > < i n t > 4 < / i n t > < / v a l u e > < / i t e m > < i t e m > < k e y > < s t r i n g > L o s s e s   i n   t r a n s m i s s i o n < / s t r i n g > < / k e y > < v a l u e > < i n t > 5 < / i n t > < / v a l u e > < / i t e m > < i t e m > < k e y > < s t r i n g > A v a i l a b i l i t y / S u p p l y T o t a l < / s t r i n g > < / k e y > < v a l u e > < i n t > 6 < / i n t > < / v a l u e > < / i t e m > < i t e m > < k e y > < s t r i n g > F u e l   i n d u s t r i e s < / s t r i n g > < / k e y > < v a l u e > < i n t > 7 < / i n t > < / v a l u e > < / i t e m > < i t e m > < k e y > < s t r i n g > U s e r   I n d u s t r i a l < / s t r i n g > < / k e y > < v a l u e > < i n t > 8 < / i n t > < / v a l u e > < / i t e m > < i t e m > < k e y > < s t r i n g > U s e r   D o m e s t i c < / s t r i n g > < / k e y > < v a l u e > < i n t > 9 < / i n t > < / v a l u e > < / i t e m > < i t e m > < k e y > < s t r i n g > U s e r   O t h e r < / s t r i n g > < / k e y > < v a l u e > < i n t > 1 0 < / i n t > < / v a l u e > < / i t e m > < i t e m > < k e y > < s t r i n g > U s e r   T o t a l < / 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S u p p l y A v a i l a b i l i t y ] ] > < / C u s t o m C o n t e n t > < / G e m i n i > 
</file>

<file path=customXml/item8.xml>��< ? x m l   v e r s i o n = " 1 . 0 "   e n c o d i n g = " U T F - 1 6 " ? > < G e m i n i   x m l n s = " h t t p : / / g e m i n i / p i v o t c u s t o m i z a t i o n / T a b l e X M L _ h�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 D o m e s t i c   a n d   f a r m   p r e m i s e s < / s t r i n g > < / k e y > < v a l u e > < i n t > 3 1 1 < / i n t > < / v a l u e > < / i t e m > < i t e m > < k e y > < s t r i n g > S h o p s   o f f i c e s , a n d   o t h e r   c o m m e r c i a l     p r e m i s e s < / s t r i n g > < / k e y > < v a l u e > < i n t > 4 6 7 < / i n t > < / v a l u e > < / i t e m > < i t e m > < k e y > < s t r i n g > F a c t o r i e s   a n d   o t h e r   i n d u s t r i a l   p r e m i s e s < / s t r i n g > < / k e y > < v a l u e > < i n t > 4 0 4 < / i n t > < / v a l u e > < / i t e m > < i t e m > < k e y > < s t r i n g > P u b l i c   l i g h t i n g < / s t r i n g > < / k e y > < v a l u e > < i n t > 1 7 4 < / i n t > < / v a l u e > < / i t e m > < i t e m > < k e y > < s t r i n g > T r a c t i o n < / s t r i n g > < / k e y > < v a l u e > < i n t > 1 2 3 < / i n t > < / v a l u e > < / i t e m > < / C o l u m n W i d t h s > < C o l u m n D i s p l a y I n d e x > < i t e m > < k e y > < s t r i n g > Y e a r < / s t r i n g > < / k e y > < v a l u e > < i n t > 0 < / i n t > < / v a l u e > < / i t e m > < i t e m > < k e y > < s t r i n g > D o m e s t i c   a n d   f a r m   p r e m i s e s < / s t r i n g > < / k e y > < v a l u e > < i n t > 1 < / i n t > < / v a l u e > < / i t e m > < i t e m > < k e y > < s t r i n g > S h o p s   o f f i c e s , a n d   o t h e r   c o m m e r c i a l     p r e m i s e s < / s t r i n g > < / k e y > < v a l u e > < i n t > 2 < / i n t > < / v a l u e > < / i t e m > < i t e m > < k e y > < s t r i n g > F a c t o r i e s   a n d   o t h e r   i n d u s t r i a l   p r e m i s e s < / s t r i n g > < / k e y > < v a l u e > < i n t > 3 < / i n t > < / v a l u e > < / i t e m > < i t e m > < k e y > < s t r i n g > P u b l i c   l i g h t i n g < / s t r i n g > < / k e y > < v a l u e > < i n t > 4 < / i n t > < / v a l u e > < / i t e m > < i t e m > < k e y > < s t r i n g > T r a c t i o n 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h�1 , S u p p l y A v a i l a b i l i t y ] ] > < / C u s t o m C o n t e n t > < / G e m i n i > 
</file>

<file path=customXml/itemProps1.xml><?xml version="1.0" encoding="utf-8"?>
<ds:datastoreItem xmlns:ds="http://schemas.openxmlformats.org/officeDocument/2006/customXml" ds:itemID="{864B79F4-FC9F-47CA-8403-9D6C6356FE45}">
  <ds:schemaRefs/>
</ds:datastoreItem>
</file>

<file path=customXml/itemProps10.xml><?xml version="1.0" encoding="utf-8"?>
<ds:datastoreItem xmlns:ds="http://schemas.openxmlformats.org/officeDocument/2006/customXml" ds:itemID="{29030067-BB5C-4377-AE70-0405FCC245CA}">
  <ds:schemaRefs/>
</ds:datastoreItem>
</file>

<file path=customXml/itemProps11.xml><?xml version="1.0" encoding="utf-8"?>
<ds:datastoreItem xmlns:ds="http://schemas.openxmlformats.org/officeDocument/2006/customXml" ds:itemID="{3B27EB83-B61A-470B-BF32-1DBBCE9AF271}">
  <ds:schemaRefs/>
</ds:datastoreItem>
</file>

<file path=customXml/itemProps12.xml><?xml version="1.0" encoding="utf-8"?>
<ds:datastoreItem xmlns:ds="http://schemas.openxmlformats.org/officeDocument/2006/customXml" ds:itemID="{B78D6C68-92AD-4081-B2C2-8A8649B4934F}">
  <ds:schemaRefs/>
</ds:datastoreItem>
</file>

<file path=customXml/itemProps13.xml><?xml version="1.0" encoding="utf-8"?>
<ds:datastoreItem xmlns:ds="http://schemas.openxmlformats.org/officeDocument/2006/customXml" ds:itemID="{F0855D4D-6A62-4010-97D8-5204D2D8BBB1}">
  <ds:schemaRefs/>
</ds:datastoreItem>
</file>

<file path=customXml/itemProps14.xml><?xml version="1.0" encoding="utf-8"?>
<ds:datastoreItem xmlns:ds="http://schemas.openxmlformats.org/officeDocument/2006/customXml" ds:itemID="{02F5489C-DDE5-4571-83C2-EA5BF6E132D0}">
  <ds:schemaRefs/>
</ds:datastoreItem>
</file>

<file path=customXml/itemProps15.xml><?xml version="1.0" encoding="utf-8"?>
<ds:datastoreItem xmlns:ds="http://schemas.openxmlformats.org/officeDocument/2006/customXml" ds:itemID="{316BFA64-4A61-4C30-8595-953899989737}">
  <ds:schemaRefs/>
</ds:datastoreItem>
</file>

<file path=customXml/itemProps16.xml><?xml version="1.0" encoding="utf-8"?>
<ds:datastoreItem xmlns:ds="http://schemas.openxmlformats.org/officeDocument/2006/customXml" ds:itemID="{7CC30FA7-1DA3-4A17-BDCE-734FF8AEA86E}">
  <ds:schemaRefs/>
</ds:datastoreItem>
</file>

<file path=customXml/itemProps17.xml><?xml version="1.0" encoding="utf-8"?>
<ds:datastoreItem xmlns:ds="http://schemas.openxmlformats.org/officeDocument/2006/customXml" ds:itemID="{E170AD8A-4869-4EA5-BA57-784EAFFA3CC3}">
  <ds:schemaRefs/>
</ds:datastoreItem>
</file>

<file path=customXml/itemProps2.xml><?xml version="1.0" encoding="utf-8"?>
<ds:datastoreItem xmlns:ds="http://schemas.openxmlformats.org/officeDocument/2006/customXml" ds:itemID="{560D7AF0-1734-416C-B9A4-BAEE4E65B2DF}">
  <ds:schemaRefs/>
</ds:datastoreItem>
</file>

<file path=customXml/itemProps3.xml><?xml version="1.0" encoding="utf-8"?>
<ds:datastoreItem xmlns:ds="http://schemas.openxmlformats.org/officeDocument/2006/customXml" ds:itemID="{EBF9D5B3-5ACF-47AC-A857-3CA762CC0078}">
  <ds:schemaRefs/>
</ds:datastoreItem>
</file>

<file path=customXml/itemProps4.xml><?xml version="1.0" encoding="utf-8"?>
<ds:datastoreItem xmlns:ds="http://schemas.openxmlformats.org/officeDocument/2006/customXml" ds:itemID="{8FE26C18-4E4C-4D24-84C9-B52F9F2180EB}">
  <ds:schemaRefs/>
</ds:datastoreItem>
</file>

<file path=customXml/itemProps5.xml><?xml version="1.0" encoding="utf-8"?>
<ds:datastoreItem xmlns:ds="http://schemas.openxmlformats.org/officeDocument/2006/customXml" ds:itemID="{F17DB0E1-CC7B-4D6E-A126-1A51B295D21D}">
  <ds:schemaRefs/>
</ds:datastoreItem>
</file>

<file path=customXml/itemProps6.xml><?xml version="1.0" encoding="utf-8"?>
<ds:datastoreItem xmlns:ds="http://schemas.openxmlformats.org/officeDocument/2006/customXml" ds:itemID="{F3606BEC-8EBA-4191-ACDD-5816CF4E0D63}">
  <ds:schemaRefs/>
</ds:datastoreItem>
</file>

<file path=customXml/itemProps7.xml><?xml version="1.0" encoding="utf-8"?>
<ds:datastoreItem xmlns:ds="http://schemas.openxmlformats.org/officeDocument/2006/customXml" ds:itemID="{BFC9C34B-7891-4582-A6DC-90C3B1DC2845}">
  <ds:schemaRefs/>
</ds:datastoreItem>
</file>

<file path=customXml/itemProps8.xml><?xml version="1.0" encoding="utf-8"?>
<ds:datastoreItem xmlns:ds="http://schemas.openxmlformats.org/officeDocument/2006/customXml" ds:itemID="{5012D75C-24F0-4206-A70F-23C3205D9CAC}">
  <ds:schemaRefs/>
</ds:datastoreItem>
</file>

<file path=customXml/itemProps9.xml><?xml version="1.0" encoding="utf-8"?>
<ds:datastoreItem xmlns:ds="http://schemas.openxmlformats.org/officeDocument/2006/customXml" ds:itemID="{A98CB287-4EF2-4DA4-9CC4-6BAC33AD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File Index</vt:lpstr>
      <vt:lpstr>DashboardForSupplyAvaComsump</vt:lpstr>
      <vt:lpstr>SupplyPiePivot</vt:lpstr>
      <vt:lpstr>AvailabilityPiePivot</vt:lpstr>
      <vt:lpstr>LinePivot</vt:lpstr>
      <vt:lpstr>BarPivotConsumption</vt:lpstr>
      <vt:lpstr>PivotConsumption</vt:lpstr>
      <vt:lpstr>SupplyAvaility</vt:lpstr>
      <vt:lpstr>Consumption Category</vt:lpstr>
      <vt:lpstr>ForBoxPlot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jiang</cp:lastModifiedBy>
  <dcterms:created xsi:type="dcterms:W3CDTF">2020-12-18T01:59:44Z</dcterms:created>
  <dcterms:modified xsi:type="dcterms:W3CDTF">2020-12-19T01:11:49Z</dcterms:modified>
</cp:coreProperties>
</file>