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9edd566fc26c48f/ドキュメント/Year 3 Sem 1/Separation/"/>
    </mc:Choice>
  </mc:AlternateContent>
  <xr:revisionPtr revIDLastSave="79" documentId="8_{752DA1DE-D4D5-4775-9F06-D2BA60591C40}" xr6:coauthVersionLast="47" xr6:coauthVersionMax="47" xr10:uidLastSave="{4F1E061E-AD16-47B4-9A72-788A3513AAD0}"/>
  <bookViews>
    <workbookView xWindow="-108" yWindow="-108" windowWidth="23256" windowHeight="12456" tabRatio="755" activeTab="2" xr2:uid="{00000000-000D-0000-FFFF-FFFF00000000}"/>
  </bookViews>
  <sheets>
    <sheet name="Cover page" sheetId="1" r:id="rId1"/>
    <sheet name="Answer Table" sheetId="2" r:id="rId2"/>
    <sheet name="Process Flow Diagram" sheetId="3" r:id="rId3"/>
    <sheet name="Conversion " sheetId="4" r:id="rId4"/>
    <sheet name="Database" sheetId="5" r:id="rId5"/>
    <sheet name="Reactor" sheetId="6" r:id="rId6"/>
    <sheet name="Cooler 1" sheetId="7" r:id="rId7"/>
    <sheet name="Phase Separator" sheetId="8" r:id="rId8"/>
    <sheet name="Heater 3" sheetId="9" r:id="rId9"/>
    <sheet name="Distillation Column 1 " sheetId="10" r:id="rId10"/>
    <sheet name="Distillation Column 2" sheetId="11" r:id="rId11"/>
    <sheet name="Cooler 2" sheetId="12" r:id="rId12"/>
    <sheet name="Liquid-liquid Extractor " sheetId="13" r:id="rId13"/>
    <sheet name="Distillation Column 3" sheetId="14" r:id="rId14"/>
    <sheet name="Heater 4" sheetId="15" r:id="rId15"/>
    <sheet name="Holding Tank" sheetId="16" r:id="rId16"/>
    <sheet name="Heater 2" sheetId="17" r:id="rId17"/>
    <sheet name="Heater 1" sheetId="18" r:id="rId18"/>
    <sheet name="Heat Exchanger" sheetId="25" r:id="rId19"/>
    <sheet name="∆Tm Calculation" sheetId="26" r:id="rId20"/>
    <sheet name="Iteration 1 of HEX" sheetId="27" r:id="rId21"/>
    <sheet name="Iteration 2 of HEX" sheetId="28" r:id="rId22"/>
    <sheet name="No. stages of DC1" sheetId="22" r:id="rId23"/>
    <sheet name="Diameter of DC1" sheetId="20" r:id="rId24"/>
    <sheet name="Height of DC1" sheetId="21" r:id="rId25"/>
    <sheet name="Diameter of DC3" sheetId="23" r:id="rId26"/>
    <sheet name="Height of DC3" sheetId="24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8" l="1"/>
  <c r="D22" i="28"/>
  <c r="I21" i="28"/>
  <c r="N20" i="28"/>
  <c r="D19" i="28"/>
  <c r="I17" i="28" s="1"/>
  <c r="D16" i="28"/>
  <c r="D25" i="28" s="1"/>
  <c r="D26" i="28" s="1"/>
  <c r="H13" i="28"/>
  <c r="C8" i="28"/>
  <c r="G6" i="28"/>
  <c r="N13" i="28" s="1"/>
  <c r="C6" i="28"/>
  <c r="N31" i="27"/>
  <c r="N26" i="27"/>
  <c r="N23" i="27"/>
  <c r="D47" i="27"/>
  <c r="D41" i="27"/>
  <c r="D38" i="27"/>
  <c r="D16" i="27"/>
  <c r="E28" i="21"/>
  <c r="I6" i="21"/>
  <c r="E7" i="21" s="1"/>
  <c r="D7" i="21"/>
  <c r="D8" i="21"/>
  <c r="D9" i="21"/>
  <c r="D6" i="21"/>
  <c r="C118" i="22"/>
  <c r="C117" i="22"/>
  <c r="C115" i="22"/>
  <c r="G102" i="22"/>
  <c r="G103" i="22"/>
  <c r="G104" i="22"/>
  <c r="G101" i="22"/>
  <c r="C104" i="22"/>
  <c r="D104" i="22" s="1"/>
  <c r="E104" i="22" s="1"/>
  <c r="C103" i="22"/>
  <c r="D103" i="22" s="1"/>
  <c r="E103" i="22" s="1"/>
  <c r="F103" i="22" s="1"/>
  <c r="C102" i="22"/>
  <c r="D102" i="22" s="1"/>
  <c r="E102" i="22" s="1"/>
  <c r="C101" i="22"/>
  <c r="D101" i="22" s="1"/>
  <c r="E101" i="22" s="1"/>
  <c r="G95" i="22"/>
  <c r="G96" i="22"/>
  <c r="G97" i="22"/>
  <c r="C97" i="22"/>
  <c r="D97" i="22" s="1"/>
  <c r="E97" i="22" s="1"/>
  <c r="C96" i="22"/>
  <c r="D96" i="22" s="1"/>
  <c r="E96" i="22" s="1"/>
  <c r="C95" i="22"/>
  <c r="D95" i="22" s="1"/>
  <c r="E95" i="22" s="1"/>
  <c r="G94" i="22"/>
  <c r="D92" i="22"/>
  <c r="C94" i="22"/>
  <c r="D94" i="22" s="1"/>
  <c r="E94" i="22" s="1"/>
  <c r="D76" i="22"/>
  <c r="G63" i="22"/>
  <c r="D59" i="22"/>
  <c r="F59" i="22" s="1"/>
  <c r="C47" i="22"/>
  <c r="G47" i="22" s="1"/>
  <c r="C48" i="22"/>
  <c r="G48" i="22" s="1"/>
  <c r="C49" i="22"/>
  <c r="G49" i="22" s="1"/>
  <c r="C46" i="22"/>
  <c r="G46" i="22" s="1"/>
  <c r="C32" i="22"/>
  <c r="C30" i="22"/>
  <c r="D30" i="22" s="1"/>
  <c r="C29" i="22"/>
  <c r="G29" i="22" s="1"/>
  <c r="C28" i="22"/>
  <c r="D28" i="22" s="1"/>
  <c r="C27" i="22"/>
  <c r="G27" i="22" s="1"/>
  <c r="C20" i="22"/>
  <c r="E19" i="22"/>
  <c r="C19" i="22"/>
  <c r="L10" i="22"/>
  <c r="L13" i="22" s="1"/>
  <c r="L11" i="22"/>
  <c r="L12" i="22"/>
  <c r="L9" i="22"/>
  <c r="K10" i="22"/>
  <c r="K11" i="22"/>
  <c r="K12" i="22"/>
  <c r="K9" i="22"/>
  <c r="I10" i="22"/>
  <c r="I11" i="22"/>
  <c r="I12" i="22"/>
  <c r="I9" i="22"/>
  <c r="H10" i="22"/>
  <c r="H11" i="22"/>
  <c r="H13" i="22" s="1"/>
  <c r="H12" i="22"/>
  <c r="H9" i="22"/>
  <c r="I63" i="22" s="1"/>
  <c r="F10" i="22"/>
  <c r="F11" i="22"/>
  <c r="F12" i="22"/>
  <c r="F9" i="22"/>
  <c r="G9" i="22" s="1"/>
  <c r="E10" i="22"/>
  <c r="E11" i="22"/>
  <c r="E12" i="22"/>
  <c r="E9" i="22"/>
  <c r="D10" i="22"/>
  <c r="D11" i="22"/>
  <c r="D12" i="22"/>
  <c r="D9" i="22"/>
  <c r="G11" i="22"/>
  <c r="D35" i="28" l="1"/>
  <c r="D29" i="28"/>
  <c r="D32" i="28"/>
  <c r="N16" i="28"/>
  <c r="N23" i="28" s="1"/>
  <c r="D38" i="28"/>
  <c r="D41" i="28" s="1"/>
  <c r="D47" i="28" s="1"/>
  <c r="F97" i="22"/>
  <c r="F96" i="22"/>
  <c r="F101" i="22"/>
  <c r="E9" i="21"/>
  <c r="E6" i="21"/>
  <c r="E8" i="21"/>
  <c r="F104" i="22"/>
  <c r="F102" i="22"/>
  <c r="F95" i="22"/>
  <c r="F94" i="22"/>
  <c r="C63" i="22"/>
  <c r="D63" i="22" s="1"/>
  <c r="E63" i="22" s="1"/>
  <c r="C64" i="22"/>
  <c r="D64" i="22" s="1"/>
  <c r="E64" i="22" s="1"/>
  <c r="C65" i="22"/>
  <c r="D65" i="22" s="1"/>
  <c r="E65" i="22" s="1"/>
  <c r="F65" i="22" s="1"/>
  <c r="C66" i="22"/>
  <c r="D66" i="22" s="1"/>
  <c r="E66" i="22" s="1"/>
  <c r="F66" i="22" s="1"/>
  <c r="J9" i="22"/>
  <c r="J12" i="22"/>
  <c r="M12" i="22"/>
  <c r="C50" i="22"/>
  <c r="M11" i="22"/>
  <c r="G10" i="22"/>
  <c r="J10" i="22"/>
  <c r="K13" i="22"/>
  <c r="G50" i="22"/>
  <c r="M10" i="22"/>
  <c r="E13" i="22"/>
  <c r="E32" i="22"/>
  <c r="F13" i="22"/>
  <c r="I13" i="22"/>
  <c r="G30" i="22"/>
  <c r="F30" i="22"/>
  <c r="E30" i="22"/>
  <c r="G28" i="22"/>
  <c r="F28" i="22"/>
  <c r="E28" i="22"/>
  <c r="F29" i="22"/>
  <c r="D29" i="22"/>
  <c r="E29" i="22"/>
  <c r="F27" i="22"/>
  <c r="D27" i="22"/>
  <c r="E27" i="22"/>
  <c r="G12" i="22"/>
  <c r="G13" i="22" s="1"/>
  <c r="J11" i="22"/>
  <c r="M9" i="22"/>
  <c r="N26" i="28" l="1"/>
  <c r="N31" i="28" s="1"/>
  <c r="N33" i="28" s="1"/>
  <c r="N35" i="28" s="1"/>
  <c r="F63" i="22"/>
  <c r="H63" i="22" s="1"/>
  <c r="F6" i="21" s="1"/>
  <c r="C106" i="22"/>
  <c r="C108" i="22" s="1"/>
  <c r="D139" i="22" s="1"/>
  <c r="D140" i="22" s="1"/>
  <c r="E35" i="21" s="1"/>
  <c r="E12" i="21"/>
  <c r="J63" i="22"/>
  <c r="C74" i="22"/>
  <c r="J13" i="22"/>
  <c r="H28" i="22"/>
  <c r="I28" i="22" s="1"/>
  <c r="C72" i="22"/>
  <c r="F71" i="22"/>
  <c r="F73" i="22"/>
  <c r="J66" i="22"/>
  <c r="F72" i="22"/>
  <c r="H66" i="22"/>
  <c r="F9" i="21" s="1"/>
  <c r="F74" i="22"/>
  <c r="H27" i="22"/>
  <c r="C71" i="22"/>
  <c r="E73" i="22"/>
  <c r="E71" i="22"/>
  <c r="J65" i="22"/>
  <c r="E72" i="22"/>
  <c r="E74" i="22"/>
  <c r="H65" i="22"/>
  <c r="F8" i="21" s="1"/>
  <c r="H29" i="22"/>
  <c r="I29" i="22" s="1"/>
  <c r="C73" i="22"/>
  <c r="F64" i="22"/>
  <c r="M13" i="22"/>
  <c r="D49" i="22"/>
  <c r="E49" i="22" s="1"/>
  <c r="D46" i="22"/>
  <c r="E46" i="22" s="1"/>
  <c r="D47" i="22"/>
  <c r="E47" i="22" s="1"/>
  <c r="D48" i="22"/>
  <c r="E48" i="22" s="1"/>
  <c r="H30" i="22"/>
  <c r="I30" i="22" s="1"/>
  <c r="I27" i="22"/>
  <c r="D71" i="22" l="1"/>
  <c r="J64" i="22"/>
  <c r="C83" i="22" s="1"/>
  <c r="C84" i="22" s="1"/>
  <c r="D72" i="22"/>
  <c r="D74" i="22"/>
  <c r="H64" i="22"/>
  <c r="F7" i="21" s="1"/>
  <c r="E17" i="21" s="1"/>
  <c r="D25" i="21" s="1"/>
  <c r="D73" i="22"/>
  <c r="E50" i="22"/>
  <c r="D54" i="22" s="1"/>
  <c r="C68" i="22" s="1"/>
  <c r="G73" i="22" l="1"/>
  <c r="H73" i="22" s="1"/>
  <c r="G72" i="22"/>
  <c r="H72" i="22" s="1"/>
  <c r="G71" i="22"/>
  <c r="H71" i="22" s="1"/>
  <c r="G74" i="22"/>
  <c r="H74" i="22" s="1"/>
  <c r="D22" i="27" l="1"/>
  <c r="I21" i="27"/>
  <c r="N20" i="27"/>
  <c r="D19" i="27"/>
  <c r="I17" i="27" s="1"/>
  <c r="D25" i="27"/>
  <c r="D26" i="27" s="1"/>
  <c r="H13" i="27"/>
  <c r="C8" i="27"/>
  <c r="G6" i="27"/>
  <c r="N13" i="27" s="1"/>
  <c r="C6" i="27"/>
  <c r="H38" i="26"/>
  <c r="F38" i="26"/>
  <c r="D38" i="26"/>
  <c r="C38" i="26"/>
  <c r="B38" i="26"/>
  <c r="H34" i="26"/>
  <c r="G34" i="26"/>
  <c r="F34" i="26"/>
  <c r="D34" i="26"/>
  <c r="C34" i="26"/>
  <c r="E30" i="26"/>
  <c r="G30" i="26" s="1"/>
  <c r="E26" i="26"/>
  <c r="G22" i="26"/>
  <c r="G38" i="26" s="1"/>
  <c r="E22" i="26"/>
  <c r="E38" i="26" s="1"/>
  <c r="E18" i="26"/>
  <c r="E34" i="26" s="1"/>
  <c r="C10" i="26"/>
  <c r="C9" i="26"/>
  <c r="C8" i="26"/>
  <c r="C13" i="26" s="1"/>
  <c r="C7" i="26"/>
  <c r="C6" i="26"/>
  <c r="B18" i="26" s="1"/>
  <c r="I16" i="5"/>
  <c r="AE90" i="25" s="1"/>
  <c r="H16" i="5"/>
  <c r="E16" i="5"/>
  <c r="AE73" i="25"/>
  <c r="AE69" i="25"/>
  <c r="AE65" i="25"/>
  <c r="AE54" i="25"/>
  <c r="AE33" i="25" s="1"/>
  <c r="AD16" i="25"/>
  <c r="AA13" i="25"/>
  <c r="E11" i="25"/>
  <c r="AC19" i="25" s="1"/>
  <c r="AE20" i="25" s="1"/>
  <c r="S36" i="25" s="1"/>
  <c r="H37" i="5"/>
  <c r="G37" i="5"/>
  <c r="F37" i="5"/>
  <c r="E37" i="5"/>
  <c r="D37" i="5"/>
  <c r="C37" i="5"/>
  <c r="AE94" i="25" s="1"/>
  <c r="D49" i="5"/>
  <c r="AE86" i="25" s="1"/>
  <c r="D35" i="27" l="1"/>
  <c r="D29" i="27"/>
  <c r="D32" i="27"/>
  <c r="N16" i="27"/>
  <c r="AE97" i="25"/>
  <c r="AK38" i="25" s="1"/>
  <c r="AE76" i="25"/>
  <c r="AG39" i="25" s="1"/>
  <c r="AF39" i="25"/>
  <c r="S33" i="25"/>
  <c r="S34" i="25"/>
  <c r="E8" i="25"/>
  <c r="AD33" i="25"/>
  <c r="AD46" i="25" s="1"/>
  <c r="E28" i="25" s="1"/>
  <c r="E9" i="25"/>
  <c r="E18" i="25" s="1"/>
  <c r="E25" i="25" s="1"/>
  <c r="N33" i="27" l="1"/>
  <c r="N35" i="27" s="1"/>
  <c r="S43" i="25"/>
  <c r="S50" i="25" s="1"/>
  <c r="AE100" i="25"/>
  <c r="AF46" i="25"/>
  <c r="S53" i="25" l="1"/>
  <c r="AE99" i="25"/>
  <c r="AC103" i="25" s="1"/>
  <c r="AE104" i="25" s="1"/>
  <c r="AJ38" i="25" l="1"/>
  <c r="AJ46" i="25" s="1"/>
  <c r="M23" i="25" s="1"/>
  <c r="AH45" i="25"/>
  <c r="AH46" i="25" s="1"/>
  <c r="G57" i="25" s="1"/>
  <c r="M3" i="25"/>
  <c r="M6" i="25" s="1"/>
  <c r="G37" i="25"/>
  <c r="G40" i="25" s="1"/>
  <c r="G38" i="25" l="1"/>
  <c r="G47" i="25" s="1"/>
  <c r="G54" i="25" s="1"/>
  <c r="M4" i="25"/>
  <c r="M13" i="25" s="1"/>
  <c r="M20" i="25" s="1"/>
  <c r="G78" i="20" l="1"/>
  <c r="E79" i="20" s="1"/>
  <c r="E12" i="20"/>
  <c r="L6" i="20"/>
  <c r="L7" i="20"/>
  <c r="L5" i="20"/>
  <c r="L4" i="20"/>
  <c r="K6" i="20"/>
  <c r="D80" i="20" s="1"/>
  <c r="K7" i="20"/>
  <c r="D81" i="20" s="1"/>
  <c r="K5" i="20"/>
  <c r="D79" i="20" s="1"/>
  <c r="K4" i="20"/>
  <c r="D78" i="20" s="1"/>
  <c r="D20" i="20"/>
  <c r="D19" i="20"/>
  <c r="D18" i="20"/>
  <c r="E14" i="20"/>
  <c r="I7" i="20"/>
  <c r="I5" i="20"/>
  <c r="I6" i="20"/>
  <c r="I4" i="20"/>
  <c r="H7" i="20"/>
  <c r="H5" i="20"/>
  <c r="H6" i="20"/>
  <c r="H4" i="20"/>
  <c r="F5" i="20"/>
  <c r="F6" i="20"/>
  <c r="G6" i="20" s="1"/>
  <c r="F7" i="20"/>
  <c r="F4" i="20"/>
  <c r="E5" i="20"/>
  <c r="E6" i="20"/>
  <c r="E7" i="20"/>
  <c r="E4" i="20"/>
  <c r="D5" i="20"/>
  <c r="D6" i="20"/>
  <c r="D7" i="20"/>
  <c r="D4" i="20"/>
  <c r="E92" i="24"/>
  <c r="E53" i="24"/>
  <c r="J44" i="24"/>
  <c r="J42" i="24"/>
  <c r="D45" i="24"/>
  <c r="D42" i="24"/>
  <c r="M38" i="24"/>
  <c r="I38" i="24"/>
  <c r="E38" i="24"/>
  <c r="E35" i="24"/>
  <c r="E34" i="24"/>
  <c r="M31" i="24"/>
  <c r="M36" i="24" s="1"/>
  <c r="K44" i="24" s="1"/>
  <c r="L44" i="24" s="1"/>
  <c r="I31" i="24"/>
  <c r="I37" i="24" s="1"/>
  <c r="H45" i="24" s="1"/>
  <c r="E31" i="24"/>
  <c r="E37" i="24" s="1"/>
  <c r="E45" i="24" s="1"/>
  <c r="D22" i="24"/>
  <c r="D21" i="24"/>
  <c r="D20" i="24"/>
  <c r="D19" i="24"/>
  <c r="E16" i="24"/>
  <c r="F21" i="24" s="1"/>
  <c r="F12" i="24"/>
  <c r="E15" i="24"/>
  <c r="D13" i="24"/>
  <c r="F13" i="24" s="1"/>
  <c r="D14" i="24"/>
  <c r="F14" i="24" s="1"/>
  <c r="D15" i="24"/>
  <c r="G15" i="24" s="1"/>
  <c r="D12" i="24"/>
  <c r="E12" i="24" s="1"/>
  <c r="I7" i="24"/>
  <c r="H7" i="24"/>
  <c r="J45" i="24" s="1"/>
  <c r="G7" i="24"/>
  <c r="F7" i="24"/>
  <c r="G45" i="24" s="1"/>
  <c r="E7" i="24"/>
  <c r="D7" i="24"/>
  <c r="I6" i="24"/>
  <c r="H6" i="24"/>
  <c r="G6" i="24"/>
  <c r="F6" i="24"/>
  <c r="G44" i="24" s="1"/>
  <c r="E6" i="24"/>
  <c r="D6" i="24"/>
  <c r="D44" i="24" s="1"/>
  <c r="I5" i="24"/>
  <c r="H5" i="24"/>
  <c r="J43" i="24" s="1"/>
  <c r="G5" i="24"/>
  <c r="F5" i="24"/>
  <c r="G43" i="24" s="1"/>
  <c r="E5" i="24"/>
  <c r="D5" i="24"/>
  <c r="D43" i="24" s="1"/>
  <c r="I4" i="24"/>
  <c r="G4" i="24"/>
  <c r="F4" i="24"/>
  <c r="G42" i="24" s="1"/>
  <c r="E4" i="24"/>
  <c r="D4" i="24"/>
  <c r="L11" i="23"/>
  <c r="M11" i="23" s="1"/>
  <c r="L10" i="23"/>
  <c r="M10" i="23" s="1"/>
  <c r="L9" i="23"/>
  <c r="M9" i="23" s="1"/>
  <c r="K9" i="23"/>
  <c r="K11" i="23"/>
  <c r="K10" i="23"/>
  <c r="I8" i="23"/>
  <c r="I9" i="23"/>
  <c r="I12" i="23"/>
  <c r="H9" i="23"/>
  <c r="H8" i="23"/>
  <c r="F11" i="23"/>
  <c r="F10" i="23"/>
  <c r="F9" i="23"/>
  <c r="F8" i="23"/>
  <c r="E11" i="23"/>
  <c r="E10" i="23"/>
  <c r="E9" i="23"/>
  <c r="E8" i="23"/>
  <c r="E12" i="23" s="1"/>
  <c r="D11" i="23"/>
  <c r="D10" i="23"/>
  <c r="D9" i="23"/>
  <c r="J9" i="23" s="1"/>
  <c r="D8" i="23"/>
  <c r="G8" i="23" s="1"/>
  <c r="D30" i="23"/>
  <c r="D29" i="23"/>
  <c r="E21" i="23"/>
  <c r="E19" i="23"/>
  <c r="E22" i="23" s="1"/>
  <c r="E23" i="23" s="1"/>
  <c r="N11" i="23"/>
  <c r="N10" i="23"/>
  <c r="N9" i="23"/>
  <c r="E5" i="23"/>
  <c r="D28" i="23" s="1"/>
  <c r="N8" i="23"/>
  <c r="O8" i="23" s="1"/>
  <c r="L8" i="23"/>
  <c r="H12" i="23"/>
  <c r="J11" i="23"/>
  <c r="J10" i="23"/>
  <c r="I11" i="23"/>
  <c r="I10" i="23"/>
  <c r="H11" i="23"/>
  <c r="H10" i="23"/>
  <c r="G9" i="23"/>
  <c r="G10" i="23"/>
  <c r="G11" i="23"/>
  <c r="M14" i="4"/>
  <c r="AB56" i="18"/>
  <c r="AB46" i="18"/>
  <c r="AA65" i="9"/>
  <c r="AA57" i="9"/>
  <c r="AA46" i="9"/>
  <c r="U157" i="8"/>
  <c r="U65" i="8"/>
  <c r="S60" i="7"/>
  <c r="U144" i="6"/>
  <c r="Y88" i="6" s="1"/>
  <c r="U128" i="6"/>
  <c r="U88" i="6" s="1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G6" i="2"/>
  <c r="F6" i="2"/>
  <c r="E6" i="2"/>
  <c r="D6" i="2"/>
  <c r="C6" i="2"/>
  <c r="B6" i="2"/>
  <c r="V24" i="2"/>
  <c r="V25" i="2"/>
  <c r="U24" i="2"/>
  <c r="U25" i="2"/>
  <c r="T24" i="2"/>
  <c r="T25" i="2"/>
  <c r="S24" i="2"/>
  <c r="S25" i="2"/>
  <c r="R24" i="2"/>
  <c r="R25" i="2"/>
  <c r="Q24" i="2"/>
  <c r="Q25" i="2"/>
  <c r="P24" i="2"/>
  <c r="P25" i="2"/>
  <c r="O24" i="2"/>
  <c r="O25" i="2"/>
  <c r="N24" i="2"/>
  <c r="N25" i="2"/>
  <c r="M24" i="2"/>
  <c r="M25" i="2"/>
  <c r="L24" i="2"/>
  <c r="L25" i="2"/>
  <c r="K24" i="2"/>
  <c r="K25" i="2"/>
  <c r="J24" i="2"/>
  <c r="J25" i="2"/>
  <c r="I24" i="2"/>
  <c r="I25" i="2"/>
  <c r="H24" i="2"/>
  <c r="H25" i="2"/>
  <c r="G24" i="2"/>
  <c r="G25" i="2"/>
  <c r="F24" i="2"/>
  <c r="F25" i="2"/>
  <c r="E24" i="2"/>
  <c r="E25" i="2"/>
  <c r="D25" i="2"/>
  <c r="D24" i="2"/>
  <c r="C24" i="2"/>
  <c r="C25" i="2"/>
  <c r="B24" i="2"/>
  <c r="U217" i="8"/>
  <c r="U37" i="3"/>
  <c r="B25" i="2"/>
  <c r="G89" i="3"/>
  <c r="G88" i="3"/>
  <c r="G86" i="3"/>
  <c r="AV127" i="3"/>
  <c r="AV126" i="3"/>
  <c r="AV124" i="3"/>
  <c r="BB122" i="3"/>
  <c r="BB121" i="3"/>
  <c r="BB119" i="3"/>
  <c r="AM122" i="3"/>
  <c r="AM121" i="3"/>
  <c r="AM119" i="3"/>
  <c r="N89" i="3"/>
  <c r="N88" i="3"/>
  <c r="N86" i="3"/>
  <c r="T94" i="3"/>
  <c r="T93" i="3"/>
  <c r="T91" i="3"/>
  <c r="BC74" i="3"/>
  <c r="BC73" i="3"/>
  <c r="BC71" i="3"/>
  <c r="BR83" i="3"/>
  <c r="BR84" i="3"/>
  <c r="BR81" i="3"/>
  <c r="BR44" i="3"/>
  <c r="BR43" i="3"/>
  <c r="BR41" i="3"/>
  <c r="BJ63" i="3"/>
  <c r="BJ62" i="3"/>
  <c r="BJ60" i="3"/>
  <c r="BC36" i="3"/>
  <c r="BC37" i="3"/>
  <c r="BC34" i="3"/>
  <c r="AV62" i="3"/>
  <c r="AV63" i="3"/>
  <c r="AV60" i="3"/>
  <c r="AO63" i="3"/>
  <c r="AO62" i="3"/>
  <c r="AO60" i="3"/>
  <c r="AH91" i="3"/>
  <c r="AH92" i="3"/>
  <c r="AH89" i="3"/>
  <c r="AR29" i="3"/>
  <c r="AR30" i="3"/>
  <c r="AR27" i="3"/>
  <c r="AI28" i="3"/>
  <c r="AI29" i="3"/>
  <c r="U39" i="3"/>
  <c r="U40" i="3"/>
  <c r="U60" i="3"/>
  <c r="N40" i="3"/>
  <c r="N37" i="3"/>
  <c r="G40" i="3"/>
  <c r="G39" i="3"/>
  <c r="G37" i="3"/>
  <c r="U104" i="6"/>
  <c r="U41" i="6"/>
  <c r="AA7" i="18"/>
  <c r="X4" i="18"/>
  <c r="Y7" i="17"/>
  <c r="V4" i="17"/>
  <c r="S8" i="16"/>
  <c r="P5" i="16"/>
  <c r="U58" i="15"/>
  <c r="U54" i="15"/>
  <c r="T8" i="15"/>
  <c r="Q5" i="15"/>
  <c r="X244" i="14"/>
  <c r="X240" i="14"/>
  <c r="X236" i="14"/>
  <c r="X223" i="14"/>
  <c r="X219" i="14"/>
  <c r="X215" i="14"/>
  <c r="X202" i="14"/>
  <c r="X198" i="14"/>
  <c r="X194" i="14"/>
  <c r="X181" i="14"/>
  <c r="X177" i="14"/>
  <c r="X173" i="14"/>
  <c r="X160" i="14"/>
  <c r="X156" i="14"/>
  <c r="X139" i="14"/>
  <c r="X135" i="14"/>
  <c r="X131" i="14"/>
  <c r="X118" i="14"/>
  <c r="X114" i="14"/>
  <c r="X110" i="14"/>
  <c r="X97" i="14"/>
  <c r="X93" i="14"/>
  <c r="X89" i="14"/>
  <c r="X76" i="14"/>
  <c r="X72" i="14"/>
  <c r="X9" i="14"/>
  <c r="T6" i="14"/>
  <c r="U255" i="13"/>
  <c r="U251" i="13"/>
  <c r="U247" i="13"/>
  <c r="U234" i="13"/>
  <c r="U230" i="13"/>
  <c r="U226" i="13"/>
  <c r="U213" i="13"/>
  <c r="U209" i="13"/>
  <c r="U205" i="13"/>
  <c r="U192" i="13"/>
  <c r="U188" i="13"/>
  <c r="U171" i="13"/>
  <c r="U167" i="13"/>
  <c r="U150" i="13"/>
  <c r="U146" i="13"/>
  <c r="U142" i="13"/>
  <c r="U129" i="13"/>
  <c r="U125" i="13"/>
  <c r="U121" i="13"/>
  <c r="U108" i="13"/>
  <c r="U104" i="13"/>
  <c r="U100" i="13"/>
  <c r="U87" i="13"/>
  <c r="U83" i="13"/>
  <c r="V17" i="13"/>
  <c r="Q13" i="13"/>
  <c r="V124" i="12"/>
  <c r="V120" i="12"/>
  <c r="V116" i="12"/>
  <c r="V103" i="12"/>
  <c r="V99" i="12"/>
  <c r="V95" i="12"/>
  <c r="V82" i="12"/>
  <c r="V78" i="12"/>
  <c r="V64" i="12"/>
  <c r="V39" i="12" s="1"/>
  <c r="V57" i="12"/>
  <c r="V38" i="12" s="1"/>
  <c r="W7" i="12"/>
  <c r="R4" i="12"/>
  <c r="Z226" i="11"/>
  <c r="Z209" i="11"/>
  <c r="Z205" i="11"/>
  <c r="Z201" i="11"/>
  <c r="Z184" i="11"/>
  <c r="Z167" i="11"/>
  <c r="Z163" i="11"/>
  <c r="Z159" i="11"/>
  <c r="Z146" i="11"/>
  <c r="Z142" i="11"/>
  <c r="Z138" i="11"/>
  <c r="Z121" i="11"/>
  <c r="Z104" i="11"/>
  <c r="Z100" i="11"/>
  <c r="Z96" i="11"/>
  <c r="Z83" i="11"/>
  <c r="Z79" i="11"/>
  <c r="Z75" i="11"/>
  <c r="AA8" i="11"/>
  <c r="U5" i="11"/>
  <c r="V226" i="10"/>
  <c r="V209" i="10"/>
  <c r="V205" i="10"/>
  <c r="V201" i="10"/>
  <c r="V188" i="10"/>
  <c r="V184" i="10"/>
  <c r="V180" i="10"/>
  <c r="V170" i="10"/>
  <c r="X58" i="10" s="1"/>
  <c r="V163" i="10"/>
  <c r="X57" i="10" s="1"/>
  <c r="V142" i="10"/>
  <c r="V125" i="10"/>
  <c r="V121" i="10"/>
  <c r="V117" i="10"/>
  <c r="V104" i="10"/>
  <c r="V100" i="10"/>
  <c r="V96" i="10"/>
  <c r="V83" i="10"/>
  <c r="V79" i="10"/>
  <c r="G29" i="10"/>
  <c r="U11" i="10"/>
  <c r="R7" i="10"/>
  <c r="AA61" i="9"/>
  <c r="Z10" i="9"/>
  <c r="W7" i="9"/>
  <c r="U234" i="8"/>
  <c r="U213" i="8"/>
  <c r="U209" i="8"/>
  <c r="U192" i="8"/>
  <c r="U188" i="8"/>
  <c r="U175" i="8"/>
  <c r="U171" i="8"/>
  <c r="U142" i="8"/>
  <c r="U121" i="8"/>
  <c r="U117" i="8"/>
  <c r="U100" i="8"/>
  <c r="U96" i="8"/>
  <c r="U79" i="8"/>
  <c r="T8" i="8"/>
  <c r="Q5" i="8"/>
  <c r="S177" i="7"/>
  <c r="S155" i="7"/>
  <c r="S151" i="7"/>
  <c r="S133" i="7"/>
  <c r="S129" i="7"/>
  <c r="S111" i="7"/>
  <c r="S88" i="7"/>
  <c r="S45" i="7" s="1"/>
  <c r="S81" i="7"/>
  <c r="S44" i="7" s="1"/>
  <c r="S74" i="7"/>
  <c r="S43" i="7" s="1"/>
  <c r="U7" i="7"/>
  <c r="R4" i="7"/>
  <c r="Y116" i="6"/>
  <c r="W116" i="6"/>
  <c r="U116" i="6"/>
  <c r="Y110" i="6"/>
  <c r="W110" i="6"/>
  <c r="U110" i="6"/>
  <c r="Y104" i="6"/>
  <c r="W104" i="6"/>
  <c r="U172" i="6"/>
  <c r="Y96" i="6" s="1"/>
  <c r="U165" i="6"/>
  <c r="Y91" i="6" s="1"/>
  <c r="U158" i="6"/>
  <c r="Y90" i="6" s="1"/>
  <c r="U25" i="6"/>
  <c r="U18" i="6"/>
  <c r="U20" i="6" s="1"/>
  <c r="T13" i="6"/>
  <c r="Q5" i="6"/>
  <c r="G32" i="5"/>
  <c r="F32" i="5"/>
  <c r="E32" i="5"/>
  <c r="D32" i="5"/>
  <c r="H24" i="5"/>
  <c r="H14" i="5"/>
  <c r="Z188" i="11" s="1"/>
  <c r="F44" i="6"/>
  <c r="S37" i="6" s="1"/>
  <c r="T39" i="6" s="1"/>
  <c r="AU50" i="3"/>
  <c r="AU49" i="3"/>
  <c r="AU48" i="3"/>
  <c r="Y3" i="2"/>
  <c r="M4" i="20" l="1"/>
  <c r="M7" i="20"/>
  <c r="G4" i="20"/>
  <c r="G7" i="20"/>
  <c r="M6" i="20"/>
  <c r="E19" i="20" s="1"/>
  <c r="J4" i="20"/>
  <c r="J8" i="20" s="1"/>
  <c r="D37" i="20" s="1"/>
  <c r="E8" i="20"/>
  <c r="J6" i="20"/>
  <c r="J5" i="20"/>
  <c r="J7" i="20"/>
  <c r="H8" i="20"/>
  <c r="E33" i="20"/>
  <c r="F8" i="20"/>
  <c r="M37" i="24"/>
  <c r="K45" i="24" s="1"/>
  <c r="M34" i="24"/>
  <c r="K42" i="24" s="1"/>
  <c r="L42" i="24" s="1"/>
  <c r="M35" i="24"/>
  <c r="K43" i="24" s="1"/>
  <c r="L43" i="24" s="1"/>
  <c r="E42" i="24"/>
  <c r="I34" i="24"/>
  <c r="H42" i="24" s="1"/>
  <c r="I35" i="24"/>
  <c r="H43" i="24" s="1"/>
  <c r="E43" i="24"/>
  <c r="F43" i="24" s="1"/>
  <c r="E49" i="24" s="1"/>
  <c r="I36" i="24"/>
  <c r="H44" i="24" s="1"/>
  <c r="I44" i="24" s="1"/>
  <c r="E36" i="24"/>
  <c r="E44" i="24" s="1"/>
  <c r="F44" i="24" s="1"/>
  <c r="G51" i="24" s="1"/>
  <c r="F22" i="24"/>
  <c r="E13" i="24"/>
  <c r="J8" i="23"/>
  <c r="L12" i="23"/>
  <c r="D27" i="23"/>
  <c r="E33" i="23" s="1"/>
  <c r="J12" i="23"/>
  <c r="K12" i="23"/>
  <c r="E23" i="24"/>
  <c r="G48" i="24"/>
  <c r="G50" i="24"/>
  <c r="L45" i="24"/>
  <c r="E20" i="20"/>
  <c r="E78" i="20"/>
  <c r="K8" i="20"/>
  <c r="E81" i="20"/>
  <c r="L8" i="20"/>
  <c r="E80" i="20"/>
  <c r="G5" i="20"/>
  <c r="M5" i="20"/>
  <c r="E18" i="20" s="1"/>
  <c r="I8" i="20"/>
  <c r="G12" i="24"/>
  <c r="D8" i="24"/>
  <c r="H12" i="24"/>
  <c r="E8" i="24"/>
  <c r="H8" i="24"/>
  <c r="F19" i="24"/>
  <c r="F8" i="24"/>
  <c r="I8" i="24"/>
  <c r="F20" i="24"/>
  <c r="G8" i="24"/>
  <c r="G13" i="24"/>
  <c r="G14" i="24"/>
  <c r="E14" i="24"/>
  <c r="H15" i="24"/>
  <c r="F15" i="24"/>
  <c r="H14" i="24"/>
  <c r="H13" i="24"/>
  <c r="O11" i="23"/>
  <c r="O10" i="23"/>
  <c r="F12" i="23"/>
  <c r="G12" i="23"/>
  <c r="M12" i="23"/>
  <c r="O9" i="23"/>
  <c r="U48" i="3"/>
  <c r="U27" i="6"/>
  <c r="U230" i="8"/>
  <c r="U151" i="6"/>
  <c r="Y89" i="6" s="1"/>
  <c r="S107" i="7"/>
  <c r="U111" i="6"/>
  <c r="AB29" i="18"/>
  <c r="U153" i="13"/>
  <c r="W67" i="13" s="1"/>
  <c r="Z212" i="11"/>
  <c r="AD61" i="11" s="1"/>
  <c r="V106" i="12"/>
  <c r="X34" i="12" s="1"/>
  <c r="V128" i="10"/>
  <c r="V62" i="10" s="1"/>
  <c r="V127" i="12"/>
  <c r="X35" i="12" s="1"/>
  <c r="U105" i="6"/>
  <c r="X121" i="14"/>
  <c r="X54" i="14" s="1"/>
  <c r="X184" i="14"/>
  <c r="Z53" i="14" s="1"/>
  <c r="X226" i="14"/>
  <c r="AB54" i="14" s="1"/>
  <c r="X205" i="14"/>
  <c r="AB53" i="14" s="1"/>
  <c r="X247" i="14"/>
  <c r="AB56" i="14" s="1"/>
  <c r="U111" i="13"/>
  <c r="U64" i="13" s="1"/>
  <c r="U237" i="13"/>
  <c r="AA65" i="13" s="1"/>
  <c r="U258" i="13"/>
  <c r="AA67" i="13" s="1"/>
  <c r="U132" i="13"/>
  <c r="U65" i="13" s="1"/>
  <c r="U216" i="13"/>
  <c r="AA64" i="13" s="1"/>
  <c r="Z107" i="11"/>
  <c r="Z61" i="11" s="1"/>
  <c r="Z86" i="11"/>
  <c r="Z60" i="11" s="1"/>
  <c r="Z170" i="11"/>
  <c r="AB61" i="11" s="1"/>
  <c r="U220" i="8"/>
  <c r="Y53" i="8" s="1"/>
  <c r="U196" i="8"/>
  <c r="U199" i="8" s="1"/>
  <c r="Y52" i="8" s="1"/>
  <c r="V212" i="10"/>
  <c r="Z62" i="10" s="1"/>
  <c r="V191" i="10"/>
  <c r="Z61" i="10" s="1"/>
  <c r="V107" i="10"/>
  <c r="V61" i="10" s="1"/>
  <c r="U117" i="6"/>
  <c r="S42" i="6"/>
  <c r="U43" i="6"/>
  <c r="AA27" i="9"/>
  <c r="L8" i="16"/>
  <c r="V89" i="6"/>
  <c r="F41" i="6"/>
  <c r="F11" i="2"/>
  <c r="F40" i="6"/>
  <c r="U44" i="3" s="1"/>
  <c r="Z222" i="11"/>
  <c r="Z180" i="11"/>
  <c r="Z191" i="11" s="1"/>
  <c r="AB62" i="11" s="1"/>
  <c r="Z125" i="11"/>
  <c r="V230" i="10"/>
  <c r="V138" i="10"/>
  <c r="S173" i="7"/>
  <c r="Z117" i="11"/>
  <c r="V222" i="10"/>
  <c r="U238" i="8"/>
  <c r="Z230" i="11"/>
  <c r="V146" i="10"/>
  <c r="U138" i="8"/>
  <c r="AA68" i="9"/>
  <c r="AC32" i="9" s="1"/>
  <c r="Z149" i="11"/>
  <c r="AB60" i="11" s="1"/>
  <c r="U68" i="15"/>
  <c r="W35" i="15" s="1"/>
  <c r="T62" i="16"/>
  <c r="X33" i="16" s="1"/>
  <c r="U163" i="13"/>
  <c r="U174" i="13" s="1"/>
  <c r="Y63" i="13" s="1"/>
  <c r="U79" i="13"/>
  <c r="U90" i="13" s="1"/>
  <c r="U63" i="13" s="1"/>
  <c r="V74" i="12"/>
  <c r="V85" i="12" s="1"/>
  <c r="X33" i="12" s="1"/>
  <c r="T55" i="16"/>
  <c r="V33" i="16" s="1"/>
  <c r="V75" i="10"/>
  <c r="V86" i="10" s="1"/>
  <c r="V60" i="10" s="1"/>
  <c r="Z51" i="17"/>
  <c r="AB32" i="17" s="1"/>
  <c r="U50" i="15"/>
  <c r="U61" i="15" s="1"/>
  <c r="U29" i="15" s="1"/>
  <c r="U167" i="8"/>
  <c r="U178" i="8" s="1"/>
  <c r="Y51" i="8" s="1"/>
  <c r="Z44" i="17"/>
  <c r="Z32" i="17" s="1"/>
  <c r="T48" i="16"/>
  <c r="T33" i="16" s="1"/>
  <c r="X152" i="14"/>
  <c r="X163" i="14" s="1"/>
  <c r="Z52" i="14" s="1"/>
  <c r="X68" i="14"/>
  <c r="X79" i="14" s="1"/>
  <c r="X52" i="14" s="1"/>
  <c r="V50" i="12"/>
  <c r="V37" i="12" s="1"/>
  <c r="V156" i="10"/>
  <c r="X56" i="10" s="1"/>
  <c r="U75" i="8"/>
  <c r="S67" i="7"/>
  <c r="S42" i="7" s="1"/>
  <c r="U184" i="13"/>
  <c r="U195" i="13" s="1"/>
  <c r="AA63" i="13" s="1"/>
  <c r="X100" i="14"/>
  <c r="X53" i="14" s="1"/>
  <c r="X142" i="14"/>
  <c r="X56" i="14" s="1"/>
  <c r="AD29" i="18"/>
  <c r="S41" i="7"/>
  <c r="W46" i="8"/>
  <c r="G8" i="20" l="1"/>
  <c r="E50" i="24"/>
  <c r="E48" i="24"/>
  <c r="I42" i="24"/>
  <c r="G49" i="24"/>
  <c r="F42" i="24"/>
  <c r="D49" i="24" s="1"/>
  <c r="F49" i="24" s="1"/>
  <c r="F45" i="24"/>
  <c r="I43" i="24"/>
  <c r="E68" i="24" s="1"/>
  <c r="E70" i="24" s="1"/>
  <c r="H74" i="24" s="1"/>
  <c r="H75" i="24" s="1"/>
  <c r="E94" i="24" s="1"/>
  <c r="E51" i="24"/>
  <c r="I45" i="24"/>
  <c r="I12" i="24"/>
  <c r="J12" i="24" s="1"/>
  <c r="D83" i="20"/>
  <c r="G23" i="24"/>
  <c r="E28" i="24" s="1"/>
  <c r="H50" i="24" s="1"/>
  <c r="H48" i="24"/>
  <c r="I15" i="24"/>
  <c r="J15" i="24" s="1"/>
  <c r="D51" i="24"/>
  <c r="D48" i="24"/>
  <c r="F48" i="24" s="1"/>
  <c r="M8" i="20"/>
  <c r="E21" i="20"/>
  <c r="D36" i="20"/>
  <c r="I13" i="24"/>
  <c r="J13" i="24" s="1"/>
  <c r="I14" i="24"/>
  <c r="J14" i="24" s="1"/>
  <c r="O12" i="23"/>
  <c r="E15" i="23" s="1"/>
  <c r="E16" i="23" s="1"/>
  <c r="F62" i="23" s="1"/>
  <c r="F64" i="23" s="1"/>
  <c r="F65" i="23" s="1"/>
  <c r="F68" i="23" s="1"/>
  <c r="U241" i="8"/>
  <c r="Y54" i="8" s="1"/>
  <c r="U48" i="6"/>
  <c r="U56" i="6" s="1"/>
  <c r="U70" i="6" s="1"/>
  <c r="Z233" i="11"/>
  <c r="AD62" i="11" s="1"/>
  <c r="Z128" i="11"/>
  <c r="Z62" i="11" s="1"/>
  <c r="F51" i="6"/>
  <c r="U55" i="3" s="1"/>
  <c r="U45" i="3"/>
  <c r="V233" i="10"/>
  <c r="Z63" i="10" s="1"/>
  <c r="U61" i="6"/>
  <c r="W33" i="16"/>
  <c r="W38" i="16" s="1"/>
  <c r="L24" i="16" s="1"/>
  <c r="L5" i="16"/>
  <c r="L15" i="16" s="1"/>
  <c r="L21" i="16" s="1"/>
  <c r="L4" i="16"/>
  <c r="F7" i="2"/>
  <c r="V149" i="10"/>
  <c r="V63" i="10" s="1"/>
  <c r="F8" i="2"/>
  <c r="E25" i="20" l="1"/>
  <c r="D92" i="20" s="1"/>
  <c r="D93" i="20" s="1"/>
  <c r="E101" i="20" s="1"/>
  <c r="E107" i="20" s="1"/>
  <c r="E116" i="20" s="1"/>
  <c r="D50" i="24"/>
  <c r="E58" i="24"/>
  <c r="H51" i="24"/>
  <c r="H49" i="24"/>
  <c r="I49" i="24" s="1"/>
  <c r="E62" i="24"/>
  <c r="E63" i="24" s="1"/>
  <c r="E59" i="24"/>
  <c r="F51" i="24"/>
  <c r="I51" i="24" s="1"/>
  <c r="I48" i="24"/>
  <c r="F50" i="24"/>
  <c r="I50" i="24" s="1"/>
  <c r="E40" i="23"/>
  <c r="U66" i="6"/>
  <c r="F18" i="2"/>
  <c r="U54" i="6"/>
  <c r="U75" i="6"/>
  <c r="F57" i="6"/>
  <c r="F23" i="2" s="1"/>
  <c r="M39" i="6"/>
  <c r="D14" i="6"/>
  <c r="N24" i="3" s="1"/>
  <c r="M41" i="6"/>
  <c r="F40" i="20" l="1"/>
  <c r="U61" i="3"/>
  <c r="X88" i="6"/>
  <c r="E7" i="7"/>
  <c r="U24" i="3" s="1"/>
  <c r="E9" i="7"/>
  <c r="U26" i="3" s="1"/>
  <c r="X90" i="6"/>
  <c r="M43" i="6"/>
  <c r="M42" i="6"/>
  <c r="M40" i="6"/>
  <c r="T6" i="18"/>
  <c r="T88" i="6"/>
  <c r="D12" i="6"/>
  <c r="D10" i="2"/>
  <c r="D11" i="6"/>
  <c r="D7" i="2" l="1"/>
  <c r="N21" i="3"/>
  <c r="D8" i="2"/>
  <c r="N22" i="3"/>
  <c r="D21" i="6"/>
  <c r="N31" i="3" s="1"/>
  <c r="D17" i="2"/>
  <c r="X91" i="6"/>
  <c r="E10" i="7"/>
  <c r="U27" i="3" s="1"/>
  <c r="M36" i="6"/>
  <c r="R43" i="7"/>
  <c r="V19" i="7"/>
  <c r="N9" i="7" s="1"/>
  <c r="G12" i="2"/>
  <c r="X96" i="6"/>
  <c r="E11" i="7"/>
  <c r="U28" i="3" s="1"/>
  <c r="T4" i="18"/>
  <c r="T13" i="18" s="1"/>
  <c r="T20" i="18" s="1"/>
  <c r="AB11" i="18"/>
  <c r="J6" i="18" s="1"/>
  <c r="AC29" i="18"/>
  <c r="AC35" i="18" s="1"/>
  <c r="T23" i="18" s="1"/>
  <c r="E8" i="7"/>
  <c r="U25" i="3" s="1"/>
  <c r="X89" i="6"/>
  <c r="R41" i="7"/>
  <c r="V11" i="7"/>
  <c r="N7" i="7" s="1"/>
  <c r="G10" i="2"/>
  <c r="M37" i="6"/>
  <c r="D28" i="6" l="1"/>
  <c r="D23" i="2" s="1"/>
  <c r="X98" i="6"/>
  <c r="E4" i="7"/>
  <c r="V23" i="7"/>
  <c r="N10" i="7" s="1"/>
  <c r="R44" i="7"/>
  <c r="G13" i="2"/>
  <c r="J4" i="18"/>
  <c r="AA29" i="18"/>
  <c r="AA35" i="18" s="1"/>
  <c r="B10" i="2"/>
  <c r="G24" i="3"/>
  <c r="V15" i="7"/>
  <c r="N8" i="7" s="1"/>
  <c r="R42" i="7"/>
  <c r="G11" i="2"/>
  <c r="E24" i="8"/>
  <c r="AC26" i="3" s="1"/>
  <c r="T47" i="7"/>
  <c r="E22" i="8"/>
  <c r="AC24" i="3" s="1"/>
  <c r="T41" i="7"/>
  <c r="R45" i="7"/>
  <c r="V27" i="7"/>
  <c r="N11" i="7" s="1"/>
  <c r="G14" i="2"/>
  <c r="M48" i="6"/>
  <c r="M46" i="6"/>
  <c r="T3" i="18"/>
  <c r="M49" i="6"/>
  <c r="E5" i="7"/>
  <c r="M47" i="6"/>
  <c r="M50" i="6"/>
  <c r="M56" i="6" l="1"/>
  <c r="N38" i="3"/>
  <c r="B26" i="2"/>
  <c r="J23" i="18"/>
  <c r="G41" i="3" s="1"/>
  <c r="G7" i="2"/>
  <c r="U21" i="3"/>
  <c r="E18" i="7"/>
  <c r="U22" i="3"/>
  <c r="N4" i="7"/>
  <c r="R51" i="7"/>
  <c r="E24" i="7" s="1"/>
  <c r="U41" i="3" s="1"/>
  <c r="E17" i="7"/>
  <c r="J3" i="18"/>
  <c r="B8" i="2"/>
  <c r="G22" i="3"/>
  <c r="G8" i="2"/>
  <c r="E16" i="7"/>
  <c r="E14" i="7"/>
  <c r="U31" i="3" s="1"/>
  <c r="S12" i="8"/>
  <c r="U13" i="8" s="1"/>
  <c r="L5" i="8" s="1"/>
  <c r="T46" i="8"/>
  <c r="H10" i="2"/>
  <c r="E15" i="7"/>
  <c r="E26" i="8"/>
  <c r="AC28" i="3" s="1"/>
  <c r="T49" i="7"/>
  <c r="T46" i="7"/>
  <c r="E23" i="8"/>
  <c r="AC25" i="3" s="1"/>
  <c r="E25" i="8"/>
  <c r="AC27" i="3" s="1"/>
  <c r="T48" i="7"/>
  <c r="M53" i="6"/>
  <c r="S22" i="8"/>
  <c r="U23" i="8" s="1"/>
  <c r="G54" i="8" s="1"/>
  <c r="H12" i="2"/>
  <c r="T52" i="8"/>
  <c r="N5" i="7"/>
  <c r="J13" i="18"/>
  <c r="G31" i="3" s="1"/>
  <c r="G26" i="2" l="1"/>
  <c r="G19" i="2"/>
  <c r="U33" i="3"/>
  <c r="G21" i="2"/>
  <c r="U35" i="3"/>
  <c r="G20" i="2"/>
  <c r="U34" i="3"/>
  <c r="G18" i="2"/>
  <c r="U32" i="3"/>
  <c r="N16" i="7"/>
  <c r="N14" i="7"/>
  <c r="N20" i="7" s="1"/>
  <c r="N18" i="7"/>
  <c r="V46" i="8"/>
  <c r="V56" i="8" s="1"/>
  <c r="L22" i="8" s="1"/>
  <c r="L3" i="8"/>
  <c r="L12" i="8" s="1"/>
  <c r="L19" i="8" s="1"/>
  <c r="E5" i="9"/>
  <c r="AI13" i="3" s="1"/>
  <c r="L2" i="8"/>
  <c r="T51" i="8"/>
  <c r="H11" i="2"/>
  <c r="S17" i="8"/>
  <c r="U18" i="8" s="1"/>
  <c r="G53" i="8" s="1"/>
  <c r="S32" i="8"/>
  <c r="U33" i="8" s="1"/>
  <c r="G56" i="8" s="1"/>
  <c r="T54" i="8"/>
  <c r="H14" i="2"/>
  <c r="E20" i="8"/>
  <c r="B7" i="2"/>
  <c r="G21" i="3"/>
  <c r="N17" i="7"/>
  <c r="E21" i="7"/>
  <c r="G17" i="2"/>
  <c r="J20" i="18"/>
  <c r="B17" i="2"/>
  <c r="E19" i="8"/>
  <c r="S27" i="8"/>
  <c r="U28" i="8" s="1"/>
  <c r="G55" i="8" s="1"/>
  <c r="T53" i="8"/>
  <c r="H13" i="2"/>
  <c r="G18" i="10"/>
  <c r="AH78" i="3" s="1"/>
  <c r="X52" i="8"/>
  <c r="N15" i="7"/>
  <c r="U38" i="3" l="1"/>
  <c r="G23" i="2"/>
  <c r="B23" i="2"/>
  <c r="G38" i="3"/>
  <c r="H7" i="2"/>
  <c r="AC21" i="3"/>
  <c r="E30" i="8"/>
  <c r="AC22" i="3"/>
  <c r="E33" i="8"/>
  <c r="E32" i="8"/>
  <c r="E2" i="9"/>
  <c r="Y13" i="9"/>
  <c r="AA14" i="9" s="1"/>
  <c r="O5" i="9" s="1"/>
  <c r="AR14" i="3" s="1"/>
  <c r="Z27" i="9"/>
  <c r="Z38" i="9" s="1"/>
  <c r="E22" i="9" s="1"/>
  <c r="AI30" i="3" s="1"/>
  <c r="E3" i="9"/>
  <c r="I10" i="2"/>
  <c r="X51" i="8"/>
  <c r="G49" i="8"/>
  <c r="G50" i="8"/>
  <c r="G60" i="8" s="1"/>
  <c r="G17" i="10"/>
  <c r="AH77" i="3" s="1"/>
  <c r="U61" i="10"/>
  <c r="T29" i="10"/>
  <c r="V22" i="10"/>
  <c r="I49" i="10" s="1"/>
  <c r="J12" i="2"/>
  <c r="G19" i="10"/>
  <c r="AH79" i="3" s="1"/>
  <c r="X53" i="8"/>
  <c r="X54" i="8"/>
  <c r="G20" i="10"/>
  <c r="AH80" i="3" s="1"/>
  <c r="H8" i="2"/>
  <c r="E31" i="8"/>
  <c r="E29" i="8"/>
  <c r="N21" i="7"/>
  <c r="I26" i="2" l="1"/>
  <c r="AC31" i="3"/>
  <c r="E35" i="8"/>
  <c r="E36" i="8"/>
  <c r="H23" i="2" s="1"/>
  <c r="H21" i="2"/>
  <c r="AC35" i="3"/>
  <c r="I8" i="2"/>
  <c r="AI11" i="3"/>
  <c r="H18" i="2"/>
  <c r="AC32" i="3"/>
  <c r="H19" i="2"/>
  <c r="AC33" i="3"/>
  <c r="I7" i="2"/>
  <c r="AI10" i="3"/>
  <c r="H20" i="2"/>
  <c r="AC34" i="3"/>
  <c r="G62" i="8"/>
  <c r="E12" i="9"/>
  <c r="E19" i="9" s="1"/>
  <c r="X56" i="8"/>
  <c r="G68" i="8" s="1"/>
  <c r="E9" i="11"/>
  <c r="AM108" i="3" s="1"/>
  <c r="Y61" i="10"/>
  <c r="X29" i="10"/>
  <c r="V31" i="10" s="1"/>
  <c r="N10" i="10" s="1"/>
  <c r="T39" i="10"/>
  <c r="V40" i="10" s="1"/>
  <c r="I51" i="10" s="1"/>
  <c r="J14" i="2"/>
  <c r="U63" i="10"/>
  <c r="G13" i="10"/>
  <c r="T25" i="10"/>
  <c r="V26" i="10" s="1"/>
  <c r="N9" i="10" s="1"/>
  <c r="U60" i="10"/>
  <c r="J11" i="2"/>
  <c r="G14" i="10"/>
  <c r="H17" i="2"/>
  <c r="T34" i="10"/>
  <c r="U62" i="10"/>
  <c r="V17" i="10"/>
  <c r="N11" i="10" s="1"/>
  <c r="J13" i="2"/>
  <c r="G61" i="8"/>
  <c r="O2" i="9"/>
  <c r="AR11" i="3" s="1"/>
  <c r="AB32" i="9"/>
  <c r="AB38" i="9" s="1"/>
  <c r="O22" i="9" s="1"/>
  <c r="AR31" i="3" s="1"/>
  <c r="O3" i="9"/>
  <c r="K10" i="2"/>
  <c r="G63" i="8"/>
  <c r="K26" i="2" l="1"/>
  <c r="AC38" i="3"/>
  <c r="H6" i="2"/>
  <c r="AC37" i="3"/>
  <c r="J7" i="2"/>
  <c r="AH73" i="3"/>
  <c r="O12" i="9"/>
  <c r="AR21" i="3" s="1"/>
  <c r="AR12" i="3"/>
  <c r="I23" i="2"/>
  <c r="AI27" i="3"/>
  <c r="I17" i="2"/>
  <c r="AI20" i="3"/>
  <c r="G27" i="10"/>
  <c r="AH74" i="3"/>
  <c r="G26" i="10"/>
  <c r="G24" i="10"/>
  <c r="U65" i="10"/>
  <c r="G33" i="10" s="1"/>
  <c r="AH93" i="3" s="1"/>
  <c r="K7" i="2"/>
  <c r="E8" i="12"/>
  <c r="AO49" i="3" s="1"/>
  <c r="W57" i="10"/>
  <c r="J8" i="2"/>
  <c r="G25" i="10"/>
  <c r="E9" i="12"/>
  <c r="AO50" i="3" s="1"/>
  <c r="W58" i="10"/>
  <c r="V34" i="10"/>
  <c r="V36" i="10" s="1"/>
  <c r="I50" i="10" s="1"/>
  <c r="K8" i="2"/>
  <c r="N5" i="10"/>
  <c r="W56" i="10"/>
  <c r="E7" i="12"/>
  <c r="AO48" i="3" s="1"/>
  <c r="N6" i="10"/>
  <c r="G66" i="8"/>
  <c r="E11" i="11"/>
  <c r="AM110" i="3" s="1"/>
  <c r="Y63" i="10"/>
  <c r="Z26" i="11"/>
  <c r="H39" i="11" s="1"/>
  <c r="Y60" i="11"/>
  <c r="M12" i="2"/>
  <c r="J26" i="2" l="1"/>
  <c r="K17" i="2"/>
  <c r="O19" i="9"/>
  <c r="K23" i="2" s="1"/>
  <c r="J19" i="2"/>
  <c r="AH85" i="3"/>
  <c r="J18" i="2"/>
  <c r="AH84" i="3"/>
  <c r="J20" i="2"/>
  <c r="AH86" i="3"/>
  <c r="J21" i="2"/>
  <c r="AH87" i="3"/>
  <c r="N16" i="10"/>
  <c r="N18" i="10"/>
  <c r="W65" i="10"/>
  <c r="N25" i="10" s="1"/>
  <c r="N17" i="10"/>
  <c r="E10" i="11"/>
  <c r="AM109" i="3" s="1"/>
  <c r="Y62" i="10"/>
  <c r="Y65" i="10" s="1"/>
  <c r="I64" i="10" s="1"/>
  <c r="I44" i="10"/>
  <c r="I45" i="10"/>
  <c r="Y62" i="11"/>
  <c r="M14" i="2"/>
  <c r="U38" i="12"/>
  <c r="T14" i="12"/>
  <c r="V15" i="12" s="1"/>
  <c r="N8" i="12" s="1"/>
  <c r="L12" i="2"/>
  <c r="AV113" i="3"/>
  <c r="N12" i="2"/>
  <c r="AA60" i="11"/>
  <c r="E4" i="12"/>
  <c r="U37" i="12"/>
  <c r="E3" i="12"/>
  <c r="T10" i="12"/>
  <c r="V11" i="12" s="1"/>
  <c r="N7" i="12" s="1"/>
  <c r="L11" i="2"/>
  <c r="L13" i="2"/>
  <c r="T18" i="12"/>
  <c r="V19" i="12" s="1"/>
  <c r="N9" i="12" s="1"/>
  <c r="U39" i="12"/>
  <c r="G30" i="10"/>
  <c r="AR28" i="3" l="1"/>
  <c r="J23" i="2"/>
  <c r="AH90" i="3"/>
  <c r="L8" i="2"/>
  <c r="AO45" i="3"/>
  <c r="L7" i="2"/>
  <c r="AO44" i="3"/>
  <c r="U42" i="12"/>
  <c r="E23" i="12" s="1"/>
  <c r="AO64" i="3" s="1"/>
  <c r="N22" i="10"/>
  <c r="I56" i="10"/>
  <c r="I58" i="10"/>
  <c r="E21" i="13"/>
  <c r="AV49" i="3" s="1"/>
  <c r="W34" i="12"/>
  <c r="E16" i="12"/>
  <c r="E14" i="12"/>
  <c r="AO55" i="3" s="1"/>
  <c r="W33" i="12"/>
  <c r="N3" i="12"/>
  <c r="E20" i="13"/>
  <c r="AV48" i="3" s="1"/>
  <c r="N4" i="12"/>
  <c r="I57" i="10"/>
  <c r="E22" i="13"/>
  <c r="AV50" i="3" s="1"/>
  <c r="W35" i="12"/>
  <c r="E15" i="12"/>
  <c r="Y61" i="11"/>
  <c r="Y64" i="11" s="1"/>
  <c r="E24" i="11" s="1"/>
  <c r="AM123" i="3" s="1"/>
  <c r="Z16" i="11"/>
  <c r="M13" i="2"/>
  <c r="Z22" i="11"/>
  <c r="H40" i="11" s="1"/>
  <c r="E4" i="11"/>
  <c r="E5" i="11"/>
  <c r="AM104" i="3" s="1"/>
  <c r="M26" i="2" l="1"/>
  <c r="L26" i="2"/>
  <c r="M7" i="2"/>
  <c r="AM103" i="3"/>
  <c r="L20" i="2"/>
  <c r="AO57" i="3"/>
  <c r="L19" i="2"/>
  <c r="AO56" i="3"/>
  <c r="Z31" i="11"/>
  <c r="N10" i="11" s="1"/>
  <c r="O13" i="2" s="1"/>
  <c r="M8" i="2"/>
  <c r="E16" i="11"/>
  <c r="AM115" i="3" s="1"/>
  <c r="E18" i="11"/>
  <c r="N14" i="12"/>
  <c r="W42" i="12"/>
  <c r="N23" i="12" s="1"/>
  <c r="U27" i="13"/>
  <c r="H49" i="13" s="1"/>
  <c r="E17" i="13"/>
  <c r="E16" i="13"/>
  <c r="T63" i="13"/>
  <c r="P11" i="2"/>
  <c r="N16" i="12"/>
  <c r="Z36" i="11"/>
  <c r="I61" i="10"/>
  <c r="T64" i="13"/>
  <c r="U36" i="13"/>
  <c r="O46" i="13" s="1"/>
  <c r="P12" i="2"/>
  <c r="AA61" i="11"/>
  <c r="AV114" i="3"/>
  <c r="N13" i="2"/>
  <c r="N15" i="12"/>
  <c r="U41" i="13"/>
  <c r="O47" i="13" s="1"/>
  <c r="T65" i="13"/>
  <c r="P13" i="2"/>
  <c r="E20" i="12"/>
  <c r="L18" i="2"/>
  <c r="E17" i="11"/>
  <c r="L23" i="2" l="1"/>
  <c r="AO61" i="3"/>
  <c r="E28" i="13"/>
  <c r="AV45" i="3"/>
  <c r="M21" i="2"/>
  <c r="AM117" i="3"/>
  <c r="P7" i="2"/>
  <c r="AV44" i="3"/>
  <c r="M20" i="2"/>
  <c r="AM116" i="3"/>
  <c r="AC61" i="11"/>
  <c r="BB109" i="3"/>
  <c r="E27" i="13"/>
  <c r="H46" i="13"/>
  <c r="J8" i="15"/>
  <c r="BC59" i="3" s="1"/>
  <c r="X63" i="13"/>
  <c r="X68" i="13" s="1"/>
  <c r="H69" i="13" s="1"/>
  <c r="H45" i="13"/>
  <c r="N20" i="12"/>
  <c r="H41" i="11"/>
  <c r="Z41" i="11"/>
  <c r="N11" i="11" s="1"/>
  <c r="T68" i="13"/>
  <c r="E36" i="13" s="1"/>
  <c r="AV64" i="3" s="1"/>
  <c r="E23" i="14"/>
  <c r="Z65" i="13"/>
  <c r="U32" i="13"/>
  <c r="O45" i="13" s="1"/>
  <c r="M19" i="2"/>
  <c r="E21" i="11"/>
  <c r="E22" i="14"/>
  <c r="Z64" i="13"/>
  <c r="U22" i="13"/>
  <c r="P8" i="2"/>
  <c r="E29" i="13"/>
  <c r="P26" i="2" l="1"/>
  <c r="P18" i="2"/>
  <c r="AV55" i="3"/>
  <c r="P19" i="2"/>
  <c r="AV56" i="3"/>
  <c r="P20" i="2"/>
  <c r="AV57" i="3"/>
  <c r="M23" i="2"/>
  <c r="AM120" i="3"/>
  <c r="X28" i="14"/>
  <c r="L15" i="14" s="1"/>
  <c r="W54" i="14"/>
  <c r="BJ50" i="3"/>
  <c r="S13" i="2"/>
  <c r="W53" i="14"/>
  <c r="X15" i="14"/>
  <c r="H54" i="14" s="1"/>
  <c r="S12" i="2"/>
  <c r="BJ49" i="3"/>
  <c r="T29" i="15"/>
  <c r="T40" i="15" s="1"/>
  <c r="J5" i="15"/>
  <c r="J4" i="15"/>
  <c r="S13" i="15"/>
  <c r="U14" i="15" s="1"/>
  <c r="M35" i="15" s="1"/>
  <c r="R11" i="2"/>
  <c r="AA62" i="11"/>
  <c r="AA64" i="11" s="1"/>
  <c r="H54" i="11" s="1"/>
  <c r="AV128" i="3" s="1"/>
  <c r="AV115" i="3"/>
  <c r="N14" i="2"/>
  <c r="H34" i="11"/>
  <c r="H35" i="11"/>
  <c r="H48" i="11" s="1"/>
  <c r="H56" i="13"/>
  <c r="U45" i="13"/>
  <c r="O49" i="13" s="1"/>
  <c r="O42" i="13" s="1"/>
  <c r="O52" i="13" s="1"/>
  <c r="M21" i="13"/>
  <c r="AC62" i="11"/>
  <c r="AC64" i="11" s="1"/>
  <c r="N24" i="11" s="1"/>
  <c r="BB123" i="3" s="1"/>
  <c r="BB110" i="3"/>
  <c r="O14" i="2"/>
  <c r="N5" i="11"/>
  <c r="N4" i="11"/>
  <c r="E21" i="14"/>
  <c r="Z63" i="13"/>
  <c r="E33" i="13"/>
  <c r="J24" i="15" l="1"/>
  <c r="BC75" i="3" s="1"/>
  <c r="O26" i="2"/>
  <c r="N26" i="2"/>
  <c r="R26" i="2"/>
  <c r="R7" i="2"/>
  <c r="BC55" i="3"/>
  <c r="R8" i="2"/>
  <c r="BC56" i="3"/>
  <c r="P23" i="2"/>
  <c r="AV61" i="3"/>
  <c r="J15" i="15"/>
  <c r="O41" i="13"/>
  <c r="X24" i="14"/>
  <c r="L14" i="14" s="1"/>
  <c r="BR30" i="3" s="1"/>
  <c r="AV122" i="3"/>
  <c r="N21" i="2"/>
  <c r="BB103" i="3"/>
  <c r="O7" i="2"/>
  <c r="AV108" i="3"/>
  <c r="N7" i="2"/>
  <c r="O54" i="13"/>
  <c r="O53" i="13"/>
  <c r="H66" i="13"/>
  <c r="BB104" i="3"/>
  <c r="O8" i="2"/>
  <c r="N17" i="11"/>
  <c r="N18" i="11"/>
  <c r="V35" i="15"/>
  <c r="V40" i="15" s="1"/>
  <c r="M51" i="15" s="1"/>
  <c r="M32" i="15"/>
  <c r="M31" i="15"/>
  <c r="H41" i="16"/>
  <c r="M42" i="15"/>
  <c r="M48" i="15" s="1"/>
  <c r="N8" i="2"/>
  <c r="AV109" i="3"/>
  <c r="H46" i="11"/>
  <c r="H47" i="11"/>
  <c r="W52" i="14"/>
  <c r="X19" i="14"/>
  <c r="H53" i="14" s="1"/>
  <c r="S11" i="2"/>
  <c r="BJ48" i="3"/>
  <c r="V67" i="13"/>
  <c r="V68" i="13" s="1"/>
  <c r="M33" i="13" s="1"/>
  <c r="BC38" i="3" s="1"/>
  <c r="M14" i="13"/>
  <c r="M28" i="13" s="1"/>
  <c r="M13" i="13"/>
  <c r="Q15" i="2"/>
  <c r="BC26" i="3"/>
  <c r="O56" i="13"/>
  <c r="E25" i="14"/>
  <c r="E18" i="14" s="1"/>
  <c r="Z67" i="13"/>
  <c r="Y53" i="14"/>
  <c r="BR70" i="3"/>
  <c r="T12" i="2"/>
  <c r="AA54" i="14"/>
  <c r="BR31" i="3"/>
  <c r="U13" i="2"/>
  <c r="Z68" i="13" l="1"/>
  <c r="O61" i="13" s="1"/>
  <c r="Q26" i="2"/>
  <c r="J21" i="15"/>
  <c r="BC66" i="3"/>
  <c r="U12" i="2"/>
  <c r="R18" i="2"/>
  <c r="AA53" i="14"/>
  <c r="O58" i="13"/>
  <c r="E17" i="14"/>
  <c r="S7" i="2" s="1"/>
  <c r="M30" i="13"/>
  <c r="BC33" i="3"/>
  <c r="Q22" i="2"/>
  <c r="BJ45" i="3"/>
  <c r="S8" i="2"/>
  <c r="E30" i="14"/>
  <c r="E29" i="14"/>
  <c r="E28" i="14"/>
  <c r="AV121" i="3"/>
  <c r="N20" i="2"/>
  <c r="BB117" i="3"/>
  <c r="O21" i="2"/>
  <c r="BC18" i="3"/>
  <c r="Q7" i="2"/>
  <c r="Y52" i="14"/>
  <c r="Y57" i="14" s="1"/>
  <c r="H69" i="14" s="1"/>
  <c r="BR85" i="3" s="1"/>
  <c r="H49" i="14"/>
  <c r="BR69" i="3"/>
  <c r="T11" i="2"/>
  <c r="H50" i="14"/>
  <c r="H38" i="16"/>
  <c r="H37" i="16"/>
  <c r="U33" i="16"/>
  <c r="U38" i="16" s="1"/>
  <c r="H57" i="16" s="1"/>
  <c r="T95" i="3" s="1"/>
  <c r="T79" i="3"/>
  <c r="V11" i="2"/>
  <c r="V13" i="16"/>
  <c r="E11" i="16" s="1"/>
  <c r="N74" i="3" s="1"/>
  <c r="N21" i="11"/>
  <c r="O20" i="2"/>
  <c r="BB116" i="3"/>
  <c r="W56" i="14"/>
  <c r="W57" i="14" s="1"/>
  <c r="E37" i="14" s="1"/>
  <c r="BJ64" i="3" s="1"/>
  <c r="X32" i="14"/>
  <c r="L17" i="14" s="1"/>
  <c r="E32" i="14"/>
  <c r="S15" i="2"/>
  <c r="BJ52" i="3"/>
  <c r="H51" i="11"/>
  <c r="N19" i="2"/>
  <c r="AV120" i="3"/>
  <c r="BC19" i="3"/>
  <c r="Q8" i="2"/>
  <c r="S26" i="2" l="1"/>
  <c r="T26" i="2"/>
  <c r="V26" i="2"/>
  <c r="Q23" i="2"/>
  <c r="BC35" i="3"/>
  <c r="N23" i="2"/>
  <c r="AV125" i="3"/>
  <c r="O23" i="2"/>
  <c r="BB120" i="3"/>
  <c r="R23" i="2"/>
  <c r="BC72" i="3"/>
  <c r="BJ44" i="3"/>
  <c r="T75" i="3"/>
  <c r="V7" i="2"/>
  <c r="E34" i="14"/>
  <c r="S18" i="2"/>
  <c r="BJ55" i="3"/>
  <c r="BJ56" i="3"/>
  <c r="S19" i="2"/>
  <c r="T8" i="2"/>
  <c r="BR66" i="3"/>
  <c r="H61" i="14"/>
  <c r="BJ57" i="3"/>
  <c r="S20" i="2"/>
  <c r="H60" i="14"/>
  <c r="BJ59" i="3"/>
  <c r="S22" i="2"/>
  <c r="V8" i="2"/>
  <c r="T76" i="3"/>
  <c r="T7" i="2"/>
  <c r="BR65" i="3"/>
  <c r="R15" i="17"/>
  <c r="S33" i="16"/>
  <c r="S38" i="16" s="1"/>
  <c r="E27" i="16" s="1"/>
  <c r="N90" i="3" s="1"/>
  <c r="E8" i="16"/>
  <c r="E7" i="16"/>
  <c r="E11" i="2"/>
  <c r="AA56" i="14"/>
  <c r="AA57" i="14" s="1"/>
  <c r="L29" i="14" s="1"/>
  <c r="BR45" i="3" s="1"/>
  <c r="U15" i="2"/>
  <c r="BR33" i="3"/>
  <c r="L10" i="14"/>
  <c r="L9" i="14"/>
  <c r="H48" i="16"/>
  <c r="E26" i="2" l="1"/>
  <c r="S23" i="2"/>
  <c r="BJ61" i="3"/>
  <c r="E8" i="2"/>
  <c r="N71" i="3"/>
  <c r="E7" i="2"/>
  <c r="N70" i="3"/>
  <c r="U8" i="2"/>
  <c r="BR26" i="3"/>
  <c r="L22" i="14"/>
  <c r="L21" i="14"/>
  <c r="H66" i="14"/>
  <c r="T18" i="2"/>
  <c r="BR76" i="3"/>
  <c r="H54" i="16"/>
  <c r="T86" i="3"/>
  <c r="V18" i="2"/>
  <c r="E18" i="16"/>
  <c r="N81" i="3" s="1"/>
  <c r="BR25" i="3"/>
  <c r="U7" i="2"/>
  <c r="Z12" i="17"/>
  <c r="I15" i="17" s="1"/>
  <c r="AA32" i="17"/>
  <c r="AA37" i="17" s="1"/>
  <c r="R31" i="17" s="1"/>
  <c r="R12" i="17"/>
  <c r="R11" i="17"/>
  <c r="L24" i="14"/>
  <c r="U26" i="2"/>
  <c r="BR77" i="3"/>
  <c r="T19" i="2"/>
  <c r="V23" i="2" l="1"/>
  <c r="T92" i="3"/>
  <c r="T23" i="2"/>
  <c r="BR82" i="3"/>
  <c r="BR40" i="3"/>
  <c r="U22" i="2"/>
  <c r="L26" i="14"/>
  <c r="BR37" i="3"/>
  <c r="U19" i="2"/>
  <c r="E24" i="16"/>
  <c r="E18" i="2"/>
  <c r="U20" i="2"/>
  <c r="BR38" i="3"/>
  <c r="I12" i="17"/>
  <c r="I22" i="17" s="1"/>
  <c r="Y32" i="17"/>
  <c r="Y37" i="17" s="1"/>
  <c r="I11" i="17"/>
  <c r="C11" i="2"/>
  <c r="G74" i="3"/>
  <c r="R22" i="17"/>
  <c r="C26" i="2" l="1"/>
  <c r="I31" i="17"/>
  <c r="G90" i="3" s="1"/>
  <c r="U23" i="2"/>
  <c r="BR42" i="3"/>
  <c r="E23" i="2"/>
  <c r="N87" i="3"/>
  <c r="I28" i="17"/>
  <c r="C18" i="2"/>
  <c r="G81" i="3"/>
  <c r="R28" i="17"/>
  <c r="C7" i="2"/>
  <c r="G70" i="3"/>
  <c r="G71" i="3"/>
  <c r="C8" i="2"/>
  <c r="C23" i="2" l="1"/>
  <c r="G87" i="3"/>
  <c r="T98" i="6"/>
  <c r="N39" i="3"/>
  <c r="D31" i="6" l="1"/>
  <c r="N41" i="3" s="1"/>
  <c r="D26" i="2"/>
  <c r="U63" i="3"/>
  <c r="U135" i="6"/>
  <c r="W89" i="6" s="1"/>
  <c r="V98" i="6" s="1"/>
  <c r="U62" i="3"/>
  <c r="F60" i="6" l="1"/>
  <c r="U64" i="3" s="1"/>
  <c r="F26" i="2"/>
  <c r="U146" i="8"/>
  <c r="U149" i="8" s="1"/>
  <c r="U54" i="8" s="1"/>
  <c r="U104" i="8"/>
  <c r="U107" i="8" s="1"/>
  <c r="U52" i="8" s="1"/>
  <c r="N22" i="7"/>
  <c r="N23" i="7"/>
  <c r="AC40" i="3"/>
  <c r="U83" i="8"/>
  <c r="U86" i="8" s="1"/>
  <c r="U51" i="8" s="1"/>
  <c r="AC39" i="3"/>
  <c r="S96" i="7" l="1"/>
  <c r="U41" i="7" s="1"/>
  <c r="S115" i="7"/>
  <c r="S118" i="7" s="1"/>
  <c r="U46" i="7" s="1"/>
  <c r="U46" i="8"/>
  <c r="S137" i="7"/>
  <c r="S140" i="7" s="1"/>
  <c r="U47" i="7" s="1"/>
  <c r="S181" i="7"/>
  <c r="S184" i="7" s="1"/>
  <c r="U49" i="7" s="1"/>
  <c r="U125" i="8"/>
  <c r="U128" i="8" s="1"/>
  <c r="U53" i="8" s="1"/>
  <c r="S159" i="7"/>
  <c r="S162" i="7" s="1"/>
  <c r="U48" i="7" s="1"/>
  <c r="T51" i="7" l="1"/>
  <c r="N24" i="7" s="1"/>
  <c r="T56" i="8"/>
  <c r="E39" i="8" s="1"/>
  <c r="AC41" i="3" s="1"/>
  <c r="AI26" i="3"/>
  <c r="H26" i="2" l="1"/>
</calcChain>
</file>

<file path=xl/sharedStrings.xml><?xml version="1.0" encoding="utf-8"?>
<sst xmlns="http://schemas.openxmlformats.org/spreadsheetml/2006/main" count="6612" uniqueCount="973">
  <si>
    <t>TOPIC: AMINATION OF 100,000 MTA OF ETHYLENE OXIDE FOR MONOETHANOLAMINE PRODUCTION</t>
  </si>
  <si>
    <t>SECTION 1 - GROUP 2</t>
  </si>
  <si>
    <t>GROUP MEMBERS</t>
  </si>
  <si>
    <t>MATRIC NUMBER</t>
  </si>
  <si>
    <t>A23KT0254</t>
  </si>
  <si>
    <t>Stream No.</t>
  </si>
  <si>
    <t>Components</t>
  </si>
  <si>
    <t>Molecular Weight (kg/kmol)</t>
  </si>
  <si>
    <t>Stream</t>
  </si>
  <si>
    <t>Fresh Feed AM</t>
  </si>
  <si>
    <t>Fresh Feed EO</t>
  </si>
  <si>
    <t>Heater Feed AM</t>
  </si>
  <si>
    <t>Heater Feed EO</t>
  </si>
  <si>
    <t>Mixed Recycle and Fresh Feed EO</t>
  </si>
  <si>
    <t>Reactor Output</t>
  </si>
  <si>
    <t>Cooler 1 Output</t>
  </si>
  <si>
    <t>PS Top</t>
  </si>
  <si>
    <t>PS Bottom</t>
  </si>
  <si>
    <t>Heater 3 Output</t>
  </si>
  <si>
    <t>DC 1 Distillate</t>
  </si>
  <si>
    <t>DC 1 Bottom</t>
  </si>
  <si>
    <t>DC 2 Distillate</t>
  </si>
  <si>
    <t>DC 2 Bottom</t>
  </si>
  <si>
    <t>Cooler 2 Outlet</t>
  </si>
  <si>
    <t>Solvent Feed</t>
  </si>
  <si>
    <t>Extract</t>
  </si>
  <si>
    <t>Raffinate</t>
  </si>
  <si>
    <t>DC 3 Distillate</t>
  </si>
  <si>
    <t>DC 3 Bottom</t>
  </si>
  <si>
    <t>Heated Recycle EO</t>
  </si>
  <si>
    <t>NH₃ (AM)</t>
  </si>
  <si>
    <t xml:space="preserve">From </t>
  </si>
  <si>
    <t>Storage Tank AM</t>
  </si>
  <si>
    <t>Storage Tank EO</t>
  </si>
  <si>
    <t>Heater 1</t>
  </si>
  <si>
    <t>Heater 2</t>
  </si>
  <si>
    <t>Holding Tank</t>
  </si>
  <si>
    <t>Reactor</t>
  </si>
  <si>
    <t>Cooler 1</t>
  </si>
  <si>
    <t>Phase Separator</t>
  </si>
  <si>
    <t>Heater  3</t>
  </si>
  <si>
    <t xml:space="preserve">Distillation Column 1 </t>
  </si>
  <si>
    <t xml:space="preserve">Distillation Column 2 </t>
  </si>
  <si>
    <t>Cooler 2</t>
  </si>
  <si>
    <t>Storage Tank Solvent</t>
  </si>
  <si>
    <t>Liquid-Liquid Extractor</t>
  </si>
  <si>
    <t xml:space="preserve">Distillation Column 3 </t>
  </si>
  <si>
    <t>Heater 4</t>
  </si>
  <si>
    <t>C₂H₄O (EO)</t>
  </si>
  <si>
    <t>To</t>
  </si>
  <si>
    <t>Heater 3</t>
  </si>
  <si>
    <t>Distillation Column 1</t>
  </si>
  <si>
    <t>Ammonia Collection Tank</t>
  </si>
  <si>
    <t>Distillation Column 2</t>
  </si>
  <si>
    <t>By Product 1 Tank</t>
  </si>
  <si>
    <t>By Product 2 Tank</t>
  </si>
  <si>
    <t>Distillation Column 3</t>
  </si>
  <si>
    <t>Main Product Tank</t>
  </si>
  <si>
    <t>Solvent Collection Tank</t>
  </si>
  <si>
    <t>C₂H₇NO (MEA)</t>
  </si>
  <si>
    <t>Vapour 
Fraction</t>
  </si>
  <si>
    <t>C₄H₁₁NO₂ (DEA)</t>
  </si>
  <si>
    <t>Total Mass 
Flowrate (kg/hr)</t>
  </si>
  <si>
    <t>C₆H₁₅NO₃ (TEA)</t>
  </si>
  <si>
    <t>Total Molar 
Flowrate (kmol/hr)</t>
  </si>
  <si>
    <t>C₂H₆O₂ (EG)</t>
  </si>
  <si>
    <t>Components Molar Flowrate (kmol/hr)</t>
  </si>
  <si>
    <t>AM</t>
  </si>
  <si>
    <t>EO</t>
  </si>
  <si>
    <t>MEA</t>
  </si>
  <si>
    <t>DEA</t>
  </si>
  <si>
    <t>TEA</t>
  </si>
  <si>
    <t>EG</t>
  </si>
  <si>
    <t>Molar Compositions</t>
  </si>
  <si>
    <t>Total Mole 
Fraction</t>
  </si>
  <si>
    <t>T (°C)</t>
  </si>
  <si>
    <t>P (atm)</t>
  </si>
  <si>
    <t>S8</t>
  </si>
  <si>
    <t>S10</t>
  </si>
  <si>
    <t>Total Mass Flowrate (kg/hr)</t>
  </si>
  <si>
    <t>Total Molar Flowrate (kmol/hr)</t>
  </si>
  <si>
    <t>S1</t>
  </si>
  <si>
    <t>S3</t>
  </si>
  <si>
    <t>S6</t>
  </si>
  <si>
    <t>S7</t>
  </si>
  <si>
    <t>Molar Composition</t>
  </si>
  <si>
    <t>S16</t>
  </si>
  <si>
    <t>S20</t>
  </si>
  <si>
    <t>ṅ3</t>
  </si>
  <si>
    <t>ṅ6a</t>
  </si>
  <si>
    <t>ṅ6b</t>
  </si>
  <si>
    <t>ṅ6c</t>
  </si>
  <si>
    <t>Total Mole Fraction</t>
  </si>
  <si>
    <t>ṅ6d</t>
  </si>
  <si>
    <t>ṅ6e</t>
  </si>
  <si>
    <t>ṅ16</t>
  </si>
  <si>
    <t>ṅ20a</t>
  </si>
  <si>
    <t>ṅ20b</t>
  </si>
  <si>
    <t>ṅ20c</t>
  </si>
  <si>
    <t>Vapour Fraction</t>
  </si>
  <si>
    <t>S5</t>
  </si>
  <si>
    <t>ṅ5</t>
  </si>
  <si>
    <t>S11</t>
  </si>
  <si>
    <t>S15</t>
  </si>
  <si>
    <t>S18</t>
  </si>
  <si>
    <t>ṅ11a</t>
  </si>
  <si>
    <t>S17</t>
  </si>
  <si>
    <t>ṅ11b</t>
  </si>
  <si>
    <t>ṅ18a</t>
  </si>
  <si>
    <t>ṅ11c</t>
  </si>
  <si>
    <t>ṅ18b</t>
  </si>
  <si>
    <t>ṅ18c</t>
  </si>
  <si>
    <t>ṅ18d</t>
  </si>
  <si>
    <t>ṅ17</t>
  </si>
  <si>
    <t>S19</t>
  </si>
  <si>
    <t>S2</t>
  </si>
  <si>
    <t>S4</t>
  </si>
  <si>
    <t>S9</t>
  </si>
  <si>
    <t>S21</t>
  </si>
  <si>
    <t>ṅ2</t>
  </si>
  <si>
    <t>ṅ4</t>
  </si>
  <si>
    <t>ṅ21</t>
  </si>
  <si>
    <t>S14</t>
  </si>
  <si>
    <t>S12</t>
  </si>
  <si>
    <t>S13</t>
  </si>
  <si>
    <t>ṅ12a</t>
  </si>
  <si>
    <t>ṅ14a</t>
  </si>
  <si>
    <t>ṅ12b</t>
  </si>
  <si>
    <t>ṅ14b</t>
  </si>
  <si>
    <t>ṅ12c</t>
  </si>
  <si>
    <t>ṅ13a</t>
  </si>
  <si>
    <t>ṅ13b</t>
  </si>
  <si>
    <t>ṅ13c</t>
  </si>
  <si>
    <t>Conversion of 100,000 metric tonnes of Ethylene Oxide (EO) per year:</t>
  </si>
  <si>
    <t>metric ton (tonne)</t>
  </si>
  <si>
    <t>=</t>
  </si>
  <si>
    <t>kg</t>
  </si>
  <si>
    <t>kmol C₂H₄O</t>
  </si>
  <si>
    <t>kg C₂H₄O</t>
  </si>
  <si>
    <t>year</t>
  </si>
  <si>
    <t>days</t>
  </si>
  <si>
    <t>day</t>
  </si>
  <si>
    <t>hours</t>
  </si>
  <si>
    <r>
      <rPr>
        <b/>
        <sz val="12"/>
        <color theme="1"/>
        <rFont val="Times New Roman"/>
        <family val="1"/>
      </rPr>
      <t>Basis:</t>
    </r>
    <r>
      <rPr>
        <sz val="12"/>
        <color theme="1"/>
        <rFont val="Times New Roman"/>
        <family val="1"/>
      </rPr>
      <t xml:space="preserve"> 100,000 metric tonnes of EO entering the reactor   </t>
    </r>
  </si>
  <si>
    <t>metric tonnes C₂H₄O</t>
  </si>
  <si>
    <t xml:space="preserve"> kg C₂H₄O</t>
  </si>
  <si>
    <t xml:space="preserve">  kmol C₂H₄O</t>
  </si>
  <si>
    <t xml:space="preserve">            =</t>
  </si>
  <si>
    <t>kmol/hr EO</t>
  </si>
  <si>
    <t xml:space="preserve">                            year</t>
  </si>
  <si>
    <t xml:space="preserve"> metric tonnes C₂H₄O</t>
  </si>
  <si>
    <r>
      <rPr>
        <b/>
        <sz val="12"/>
        <color theme="1"/>
        <rFont val="Times New Roman"/>
        <family val="1"/>
      </rPr>
      <t>Table 1.1</t>
    </r>
    <r>
      <rPr>
        <sz val="12"/>
        <color theme="1"/>
        <rFont val="Times New Roman"/>
        <family val="1"/>
      </rPr>
      <t>: Physical Properties Data</t>
    </r>
  </si>
  <si>
    <t xml:space="preserve">Substance </t>
  </si>
  <si>
    <t>Formula</t>
  </si>
  <si>
    <t>Symbol</t>
  </si>
  <si>
    <t>Mol. Wt. (g/mol)</t>
  </si>
  <si>
    <t xml:space="preserve">Tm (K) </t>
  </si>
  <si>
    <t>∆Ĥm (kJ/mol)</t>
  </si>
  <si>
    <t>Tb (K)</t>
  </si>
  <si>
    <t>∆Ĥv (kJ/mol)</t>
  </si>
  <si>
    <t>Tc (K)</t>
  </si>
  <si>
    <t>Pc (bar)</t>
  </si>
  <si>
    <t>Standard ∆Ĥf,v (kJ/mol)</t>
  </si>
  <si>
    <t>Standard ∆Ĥf (kJ/mol)</t>
  </si>
  <si>
    <t>Ammonia</t>
  </si>
  <si>
    <t>-67.2 (l)</t>
  </si>
  <si>
    <t>Ethylene oxide</t>
  </si>
  <si>
    <t>C₂H₄O</t>
  </si>
  <si>
    <t>Table 1.2</t>
  </si>
  <si>
    <t>-95.7 (l)</t>
  </si>
  <si>
    <t>Monoethanolamine</t>
  </si>
  <si>
    <t xml:space="preserve"> -507.50 (l)</t>
  </si>
  <si>
    <t>Diethanolamine</t>
  </si>
  <si>
    <t>-493.80 (s)</t>
  </si>
  <si>
    <t>Triethanolamine</t>
  </si>
  <si>
    <t>-664.20 (l)</t>
  </si>
  <si>
    <t>Ethylene glycol</t>
  </si>
  <si>
    <r>
      <rPr>
        <b/>
        <sz val="12"/>
        <color theme="1"/>
        <rFont val="Times New Roman"/>
        <family val="1"/>
      </rPr>
      <t xml:space="preserve">Table 1.2: </t>
    </r>
    <r>
      <rPr>
        <sz val="12"/>
        <color theme="1"/>
        <rFont val="Times New Roman"/>
        <family val="1"/>
      </rPr>
      <t>Enthalpy of Vaporization Data</t>
    </r>
  </si>
  <si>
    <t>Substance</t>
  </si>
  <si>
    <t>A</t>
  </si>
  <si>
    <t>n</t>
  </si>
  <si>
    <t>Tmin (K)</t>
  </si>
  <si>
    <t>Tmax (K)</t>
  </si>
  <si>
    <t>Ĥv at Tb (kJ/ mol)</t>
  </si>
  <si>
    <t>B</t>
  </si>
  <si>
    <t>C</t>
  </si>
  <si>
    <t>Tmin</t>
  </si>
  <si>
    <t>Tmax</t>
  </si>
  <si>
    <t xml:space="preserve">D </t>
  </si>
  <si>
    <t>E</t>
  </si>
  <si>
    <t xml:space="preserve">Monoethanolamine </t>
  </si>
  <si>
    <t>D</t>
  </si>
  <si>
    <t>Cp (J/ mol.K ) at 25°C</t>
  </si>
  <si>
    <t>-</t>
  </si>
  <si>
    <t>C₂H₄O (v) + NH₃ (v) → C₂H₇NO  (v) (Main reaction)</t>
  </si>
  <si>
    <t>ζ₁</t>
  </si>
  <si>
    <t>C₂H₇NO  (v) + C₂H₄O (v) → C₄H₁₁NO₂  (v) (Side reaction 1)</t>
  </si>
  <si>
    <t>ζ ₂</t>
  </si>
  <si>
    <t>C₄H₁₁NO₂  (v) + C₂H₄O (v) → C₆H₁₅NO₃ (v) (Side reaction 2)</t>
  </si>
  <si>
    <t>ζ ₃</t>
  </si>
  <si>
    <t>Degree of Freedom Analysis (Extent of Reaction)</t>
  </si>
  <si>
    <t>No. unkown labeled variable =</t>
  </si>
  <si>
    <t>( ṅ3,ṅ5,ṅ6a,ṅ6b,ṅ6c,ṅ6d,ṅ6e)</t>
  </si>
  <si>
    <t>No. independent reactions =</t>
  </si>
  <si>
    <t>( ζ₁ , ζ ₂ , ζ ₃ )</t>
  </si>
  <si>
    <t>No. independent reactive species =</t>
  </si>
  <si>
    <t>(MEA, DEA, TEA, AM, EO)</t>
  </si>
  <si>
    <t>No. independent non-reactive species =</t>
  </si>
  <si>
    <t xml:space="preserve">
</t>
  </si>
  <si>
    <t>No. process specification equation =</t>
  </si>
  <si>
    <t>Ps (① fcon EO main = 60%</t>
  </si>
  <si>
    <t xml:space="preserve">       ② fcon EO side 1 = 10% </t>
  </si>
  <si>
    <t xml:space="preserve">       ③ selectivity of MEA over TEA= 8</t>
  </si>
  <si>
    <t xml:space="preserve">       ④ fexcess AM = 50% )</t>
  </si>
  <si>
    <t>can be solved</t>
  </si>
  <si>
    <t xml:space="preserve">
    </t>
  </si>
  <si>
    <t>Ps ①</t>
  </si>
  <si>
    <t>fcon EO main = 60%</t>
  </si>
  <si>
    <t>kmol/hr</t>
  </si>
  <si>
    <t>Ps ②</t>
  </si>
  <si>
    <t>fcon EO side 1 = 10%</t>
  </si>
  <si>
    <t>Conversion of EO = 60% (Main reaction)</t>
  </si>
  <si>
    <t>Conversion of EO = 10% (Side reaction 1)</t>
  </si>
  <si>
    <t>Selectivity of MEA over TEA = 8 kmol/kmol</t>
  </si>
  <si>
    <t>% excess of AM = 50%</t>
  </si>
  <si>
    <t>Ps ③</t>
  </si>
  <si>
    <t>8ṅ6e</t>
  </si>
  <si>
    <t>8ζ ₃</t>
  </si>
  <si>
    <t>(1)</t>
  </si>
  <si>
    <t>Ps ④</t>
  </si>
  <si>
    <t>fexcess AM = 0.5</t>
  </si>
  <si>
    <t>kmol of EO fed</t>
  </si>
  <si>
    <t>mol of AM reacted</t>
  </si>
  <si>
    <t>hr</t>
  </si>
  <si>
    <t>mol of EO reacted</t>
  </si>
  <si>
    <t>kmol of AM reacted / hr</t>
  </si>
  <si>
    <t>ṅ3 - 286.6348</t>
  </si>
  <si>
    <t>MEA Balance ( in=out )</t>
  </si>
  <si>
    <t>ζ₁ - ζ ₂</t>
  </si>
  <si>
    <t>171.9809-28.6635</t>
  </si>
  <si>
    <t>kmol/hr MEA</t>
  </si>
  <si>
    <t>From (1),</t>
  </si>
  <si>
    <t xml:space="preserve">kmol/hr </t>
  </si>
  <si>
    <t>AM Balance ( in=out )</t>
  </si>
  <si>
    <t>-ζ₁ + ṅ3</t>
  </si>
  <si>
    <t>429.9522-171.9809</t>
  </si>
  <si>
    <t>kmol/hr AM</t>
  </si>
  <si>
    <t>DEA balance ( in=out )</t>
  </si>
  <si>
    <t>ζ ₂ - ζ ₃</t>
  </si>
  <si>
    <t>28.6635-17.9147</t>
  </si>
  <si>
    <t>kmol/hr DEA</t>
  </si>
  <si>
    <t>TEA balance ( in=out )</t>
  </si>
  <si>
    <t>kmol/hr TEA</t>
  </si>
  <si>
    <t>EO balance ( in=out )</t>
  </si>
  <si>
    <t>-ζ₁ - ζ ₂ - ζ ₃ + ṅ5</t>
  </si>
  <si>
    <t>286.6348-171.9809-37.3578-23.3492</t>
  </si>
  <si>
    <t>Energy Balance</t>
  </si>
  <si>
    <t>ΔĖp + ΔĖk + ΔḢ = Q̇ + Ẇs</t>
  </si>
  <si>
    <t>Assumptions:</t>
  </si>
  <si>
    <t>There is no changes in elevation of height in each unit system, ΔĖp = 0</t>
  </si>
  <si>
    <t>There is no changes in velocity in each unit system, ΔĖk = 0</t>
  </si>
  <si>
    <t>There is no moving parts in each unit system, Ẇs = 0</t>
  </si>
  <si>
    <t xml:space="preserve">Reference state: </t>
  </si>
  <si>
    <t>AM, EO, MEA, DEA, TEA (v,</t>
  </si>
  <si>
    <t>Stream 3</t>
  </si>
  <si>
    <t>Stream 5</t>
  </si>
  <si>
    <t>Stream 6</t>
  </si>
  <si>
    <t>ṅ in (kmol/hr)</t>
  </si>
  <si>
    <t xml:space="preserve">Ĥ in (kJ/kmol)        </t>
  </si>
  <si>
    <t xml:space="preserve">ṅ in (kmol/hr)        </t>
  </si>
  <si>
    <t xml:space="preserve">Ĥ out (kJ/kmol)     </t>
  </si>
  <si>
    <t>AM (v)</t>
  </si>
  <si>
    <t>EO (v)</t>
  </si>
  <si>
    <t>MEA (v)</t>
  </si>
  <si>
    <t xml:space="preserve">DEA (v) </t>
  </si>
  <si>
    <t>TEA (v)</t>
  </si>
  <si>
    <t>EG (v)</t>
  </si>
  <si>
    <t xml:space="preserve"> Ĥ1</t>
  </si>
  <si>
    <t>Ĥ1</t>
  </si>
  <si>
    <t>kJ/kmol</t>
  </si>
  <si>
    <t>Ĥ2</t>
  </si>
  <si>
    <t>C₂H₄O(v,298.15K,1atm)</t>
  </si>
  <si>
    <t>C₂H₄O(v,623.15K,1atm)</t>
  </si>
  <si>
    <t>From Database, Table 1.3, at 623.15K,</t>
  </si>
  <si>
    <t>+</t>
  </si>
  <si>
    <t xml:space="preserve"> Ĥ3</t>
  </si>
  <si>
    <t xml:space="preserve"> Ĥ2</t>
  </si>
  <si>
    <t>Ĥ3</t>
  </si>
  <si>
    <t>Ĥ4</t>
  </si>
  <si>
    <t>Ĥ5</t>
  </si>
  <si>
    <t>Ĥ6</t>
  </si>
  <si>
    <t>C₄H₁₁NO₂ (v,623.15K,1atm)</t>
  </si>
  <si>
    <t>Ĥ7</t>
  </si>
  <si>
    <t>C₆H₁₅NO₃(v,623.15K,1atm)</t>
  </si>
  <si>
    <t>For ΔHᵣ°,1,</t>
  </si>
  <si>
    <t xml:space="preserve"> ΔHᵣ°,1</t>
  </si>
  <si>
    <t>∑product νᵢΔĤf°,ᵢ-∑reactants νᵢΔĤf°,ᵢ</t>
  </si>
  <si>
    <t xml:space="preserve"> ΔHf°,C₂H₇NO (v)</t>
  </si>
  <si>
    <t xml:space="preserve"> ΔHf°,C₂H₄O (v)</t>
  </si>
  <si>
    <t>ΔHf°,NH₃ (v)</t>
  </si>
  <si>
    <t>For ΔHᵣ°,2,</t>
  </si>
  <si>
    <t xml:space="preserve"> ΔHᵣ°,2</t>
  </si>
  <si>
    <t xml:space="preserve"> ΔHf°,C₄H₁₁NO₂ (v)</t>
  </si>
  <si>
    <t>For ΔHᵣ°,3,</t>
  </si>
  <si>
    <t xml:space="preserve"> ΔHᵣ°,3</t>
  </si>
  <si>
    <t xml:space="preserve"> ΔHf°,C₆H₁₅NO₃ (v)</t>
  </si>
  <si>
    <t>Q̇</t>
  </si>
  <si>
    <t>Degree of Freedom Analysis</t>
  </si>
  <si>
    <t>(ṅ7a, ṅ7b, ṅ7c, ṅ7d, ṅ7e)</t>
  </si>
  <si>
    <t>No. material balance spesies =</t>
  </si>
  <si>
    <t>(AM, EO, MEA, DEA, TEA)</t>
  </si>
  <si>
    <t>Ps</t>
  </si>
  <si>
    <t>ṅ7a</t>
  </si>
  <si>
    <t>ṅ7b</t>
  </si>
  <si>
    <t>ṅ7c</t>
  </si>
  <si>
    <t>ṅ7d</t>
  </si>
  <si>
    <t>ṅ7e</t>
  </si>
  <si>
    <t>kmol / hr AM</t>
  </si>
  <si>
    <t>EO Balance (in=out )</t>
  </si>
  <si>
    <t>kmol / hr EO</t>
  </si>
  <si>
    <t>kmol / hr MEA</t>
  </si>
  <si>
    <t>DEA Balance ( in=out )</t>
  </si>
  <si>
    <t>kmol / hr DEA</t>
  </si>
  <si>
    <t>TEA Balance ( in=out )</t>
  </si>
  <si>
    <t>kmol / hr TEA</t>
  </si>
  <si>
    <t>AM,EO,MEA,DEA,TEA,(v,</t>
  </si>
  <si>
    <t>°C, 1 atm)</t>
  </si>
  <si>
    <t>Stream 7</t>
  </si>
  <si>
    <t>ṅ out (kmol/hr)</t>
  </si>
  <si>
    <t>Ĥ out (kJ/kmol)</t>
  </si>
  <si>
    <t>AM (v）</t>
  </si>
  <si>
    <t>EO (v）</t>
  </si>
  <si>
    <t>MEA (v）</t>
  </si>
  <si>
    <t>DEA (v)</t>
  </si>
  <si>
    <t>EO (l）</t>
  </si>
  <si>
    <t>MEA (l）</t>
  </si>
  <si>
    <t>DEA (l）</t>
  </si>
  <si>
    <t>TEA (l)</t>
  </si>
  <si>
    <t>C₂H₄O(l,283.15K,1atm)</t>
  </si>
  <si>
    <t>Ĥ7a</t>
  </si>
  <si>
    <t>Ĥ7c</t>
  </si>
  <si>
    <t>C₂H₄O(v,283.85K,1atm)</t>
  </si>
  <si>
    <t>C₂H₄O(l,283.85K,1atm)</t>
  </si>
  <si>
    <t>Ĥ7b</t>
  </si>
  <si>
    <t>From Database, Table 1.1, at 283.85K,</t>
  </si>
  <si>
    <t>Ĥ8</t>
  </si>
  <si>
    <t>C₂H₇NO (v,298.15K,1atm)</t>
  </si>
  <si>
    <t>C₂H₇NO (l,283.15K,1atm)</t>
  </si>
  <si>
    <t>Ĥ8a</t>
  </si>
  <si>
    <t>Ĥ8c</t>
  </si>
  <si>
    <t>C₂H₇NO (v,444.15K,1atm)</t>
  </si>
  <si>
    <t xml:space="preserve"> C₂H₇NO (l,444.15K,1atm)</t>
  </si>
  <si>
    <t>Ĥ8b</t>
  </si>
  <si>
    <t>From Database, Table 1.1, at 444.15K,</t>
  </si>
  <si>
    <t>Ĥ9</t>
  </si>
  <si>
    <t>C₄H₁₁NO₂ (v,298.15K,1atm)</t>
  </si>
  <si>
    <t>C₄H₁₁NO₂ (l,283.15K,1atm)</t>
  </si>
  <si>
    <t>Ĥ9a</t>
  </si>
  <si>
    <t>Ĥ9c</t>
  </si>
  <si>
    <t>C₄H₁₁NO₂ (v,542.04K,1atm)</t>
  </si>
  <si>
    <t xml:space="preserve"> C₄H₁₁NO₂ (l,542.04K,1atm)</t>
  </si>
  <si>
    <t>Ĥ9b</t>
  </si>
  <si>
    <t>From Database, Table 1.1, at 542.04K,</t>
  </si>
  <si>
    <t>Ĥ10</t>
  </si>
  <si>
    <t>C₆H₁₅NO₃ (v,298.15K,1atm)</t>
  </si>
  <si>
    <t>C₆H₁₅NO₃ (l,283.15K,1atm)</t>
  </si>
  <si>
    <t>Ĥ10a</t>
  </si>
  <si>
    <t>Ĥ10c</t>
  </si>
  <si>
    <t>C₆H₁₅NO₃ (v,608.55K,1atm)</t>
  </si>
  <si>
    <t>C₆H₁₅NO₃ (l,608.55K,1atm)</t>
  </si>
  <si>
    <t>Ĥ10b</t>
  </si>
  <si>
    <t>From Database, Table 1.1, at 608.55K,</t>
  </si>
  <si>
    <t>(ṅ8, ṅ9a, ṅ9b, ṅ9c, ṅ9d)</t>
  </si>
  <si>
    <t>ṅ8</t>
  </si>
  <si>
    <t>ṅ9a</t>
  </si>
  <si>
    <t>ṅ9b</t>
  </si>
  <si>
    <t>ṅ9c</t>
  </si>
  <si>
    <t>ṅ9d</t>
  </si>
  <si>
    <t>AM,EO,MEA,DEA,TEA (v</t>
  </si>
  <si>
    <t>Stream 8</t>
  </si>
  <si>
    <t>Stream 9</t>
  </si>
  <si>
    <t>AM (g）</t>
  </si>
  <si>
    <t>TEA (l）</t>
  </si>
  <si>
    <t>Ĥ2a</t>
  </si>
  <si>
    <t>Ĥ2c</t>
  </si>
  <si>
    <t>Ĥ2b</t>
  </si>
  <si>
    <t>Ĥ3a</t>
  </si>
  <si>
    <t>Ĥ3c</t>
  </si>
  <si>
    <t>Ĥ3b</t>
  </si>
  <si>
    <t>Ĥ4a</t>
  </si>
  <si>
    <t>Ĥ4c</t>
  </si>
  <si>
    <t>Ĥ4b</t>
  </si>
  <si>
    <t>Ĥ5a</t>
  </si>
  <si>
    <t>Ĥ5c</t>
  </si>
  <si>
    <t>Ĥ5b</t>
  </si>
  <si>
    <t>ṅ10</t>
  </si>
  <si>
    <t>(ṅ10)</t>
  </si>
  <si>
    <t>(AM)</t>
  </si>
  <si>
    <t>AM(v,</t>
  </si>
  <si>
    <t>Stream 10</t>
  </si>
  <si>
    <t>Ĥ in (kJ/kmol)</t>
  </si>
  <si>
    <t>(ṅ11a, ṅ11b, ṅ11c, ṅ12a, ṅ12b, ṅ12c)</t>
  </si>
  <si>
    <t>(EO, MEA, DEA, TEA)</t>
  </si>
  <si>
    <t>Ps (① ṅ11c is 1% DEA in S9
      ② ṅ12a is 2% MEA in S9)</t>
  </si>
  <si>
    <t xml:space="preserve">Ps ① </t>
  </si>
  <si>
    <t>ṅ11c is 1% DEA in S9</t>
  </si>
  <si>
    <t>0.01(10.7488)</t>
  </si>
  <si>
    <t>ṅ12a is 2% MEA in S9</t>
  </si>
  <si>
    <t>0.02(143.3174)</t>
  </si>
  <si>
    <t>EO Balance ( in=out)</t>
  </si>
  <si>
    <t xml:space="preserve"> </t>
  </si>
  <si>
    <t>143.3174-2.8663</t>
  </si>
  <si>
    <t>10.7488-0.1075</t>
  </si>
  <si>
    <t xml:space="preserve">TEA Balance ( in=out ) </t>
  </si>
  <si>
    <t>Stream 11</t>
  </si>
  <si>
    <t>Stream 12</t>
  </si>
  <si>
    <t>EO (l)</t>
  </si>
  <si>
    <t>MEA (l)</t>
  </si>
  <si>
    <t>DEA (l)</t>
  </si>
  <si>
    <t>Ĥ1a</t>
  </si>
  <si>
    <t>Ĥ1c</t>
  </si>
  <si>
    <t>Ĥ1b</t>
  </si>
  <si>
    <t>Ĥ6a</t>
  </si>
  <si>
    <t>Ĥ6c</t>
  </si>
  <si>
    <t>Ĥ6b</t>
  </si>
  <si>
    <t>C₂H₄O (v,298.15K,1atm)</t>
  </si>
  <si>
    <t>C₂H₄O (v,443.15K,1atm)</t>
  </si>
  <si>
    <t>C₂H₇NO (v,443.15K,1atm)</t>
  </si>
  <si>
    <t>C₄H₁₁NO₂ (v,443.15K,1atm)</t>
  </si>
  <si>
    <t>C₂H₇NO (l,523.15K,1atm)</t>
  </si>
  <si>
    <t>C₆H₁₅NO₃ (l,523.15K,1atm)</t>
  </si>
  <si>
    <t>C₄H₁₁NO₂ (l,523.15K,1atm)</t>
  </si>
  <si>
    <t xml:space="preserve">Degree of Freedom Analysis </t>
  </si>
  <si>
    <t>(ṅ13a, ṅ13b, ṅ13c, ṅ14a, ṅ14b)</t>
  </si>
  <si>
    <t xml:space="preserve">No. of material balance = </t>
  </si>
  <si>
    <t>(MEA, DEA, TEA)</t>
  </si>
  <si>
    <t>Ps (① ṅ13a is 65% DEA in S12</t>
  </si>
  <si>
    <t xml:space="preserve">      ② ṅ13b is 97% DEA in S12)</t>
  </si>
  <si>
    <t xml:space="preserve">can be solved </t>
  </si>
  <si>
    <t xml:space="preserve"> ṅ13a is 65% DEA in S12</t>
  </si>
  <si>
    <t xml:space="preserve">0.65ṅ13 </t>
  </si>
  <si>
    <t xml:space="preserve"> = </t>
  </si>
  <si>
    <t>0.97ṅ12b</t>
  </si>
  <si>
    <t>0.65ṅ13</t>
  </si>
  <si>
    <t>0.97(10.6413)</t>
  </si>
  <si>
    <t>ṅ13</t>
  </si>
  <si>
    <t xml:space="preserve">Ps ② </t>
  </si>
  <si>
    <t>ṅ13b is 97% DEA in S12</t>
  </si>
  <si>
    <t>10.6413-10.3221</t>
  </si>
  <si>
    <t>TEA Balance in S13,</t>
  </si>
  <si>
    <t>15.8801-2.8663-10.3221</t>
  </si>
  <si>
    <t>17.9147-2.6917</t>
  </si>
  <si>
    <t>EO,MEA,DEA,TEA,(v,</t>
  </si>
  <si>
    <t>Stream 13</t>
  </si>
  <si>
    <t>Stream 14</t>
  </si>
  <si>
    <t>EG (l)</t>
  </si>
  <si>
    <t>C₆H₁₅NO₃ (l,542.15K,1atm)</t>
  </si>
  <si>
    <t>C₆H₁₅NO₃ (l,608.15K,1atm)</t>
  </si>
  <si>
    <t>C₂H₇NO (l,542.15K,1atm)</t>
  </si>
  <si>
    <t>C₄H₁₁NO₂ (l,542.15K,1atm)</t>
  </si>
  <si>
    <t>C₄H₁₁NO₂ (l,608.15K,1atm)</t>
  </si>
  <si>
    <t>(ṅ15a, ṅ15b, ṅ15c)</t>
  </si>
  <si>
    <t>(EO, MEA, DEA)</t>
  </si>
  <si>
    <t>ṅ15a</t>
  </si>
  <si>
    <t>ṅ15b</t>
  </si>
  <si>
    <t>ṅ15c</t>
  </si>
  <si>
    <t>EO Balance ( in=out )</t>
  </si>
  <si>
    <t>EO,MEA,DEA,(v,</t>
  </si>
  <si>
    <t>Stream 15</t>
  </si>
  <si>
    <t>Total Enthalpy, H (kJ/hr)</t>
  </si>
  <si>
    <t>C₂H₄O(l,279.15K,1atm)</t>
  </si>
  <si>
    <t>C₂H₇NO (l,279.15K,1atm)</t>
  </si>
  <si>
    <t>C₄H₁₁NO₂ (l,279.15K,1atm)</t>
  </si>
  <si>
    <t>(ṅ16, ṅ17, ṅ18a, ṅ18b, ṅ18c, ṅ18d)</t>
  </si>
  <si>
    <t>Ps (① ṅ16 is 1.5 S15</t>
  </si>
  <si>
    <t xml:space="preserve">      ② ṅ17 is 98% of EO in S15)</t>
  </si>
  <si>
    <t>ṅ16 is 1.5 S15</t>
  </si>
  <si>
    <t>kmol/hr EG</t>
  </si>
  <si>
    <t>ṅ17 is 98% of EO in S15</t>
  </si>
  <si>
    <t>0.98(68.0758)</t>
  </si>
  <si>
    <t>EO Balance ( in=out ）</t>
  </si>
  <si>
    <t>68.0758-66.7142</t>
  </si>
  <si>
    <t>MEA Balance ( in=out ）</t>
  </si>
  <si>
    <t>DEA Balance ( in=out ）</t>
  </si>
  <si>
    <t>EG Balance ( in=out ）</t>
  </si>
  <si>
    <t>Stream 16</t>
  </si>
  <si>
    <t>Stream 17</t>
  </si>
  <si>
    <t>Stream 18</t>
  </si>
  <si>
    <t>ṅ in(kmol/hr)</t>
  </si>
  <si>
    <t>AM (l)</t>
  </si>
  <si>
    <t>C₂H₆O₂ (v,298.15K,1atm)</t>
  </si>
  <si>
    <t>C₂H₆O₂ (l,279.15K,1atm)</t>
  </si>
  <si>
    <t>C₂H₆O₂ (v,470.35K,1atm)</t>
  </si>
  <si>
    <t>C₂H₆O₂ (l,470.35K,1atm)</t>
  </si>
  <si>
    <t>61a</t>
  </si>
  <si>
    <t>(ṅ19a, ṅ19b, ṅ20a, ṅ20b, ṅ20c)</t>
  </si>
  <si>
    <t>Ps (ṅ19b is 99%  ṅ18b)</t>
  </si>
  <si>
    <t>ṅ19b is 99%  ṅ18b</t>
  </si>
  <si>
    <t>ṅ19b</t>
  </si>
  <si>
    <t>0.99(140.4510)</t>
  </si>
  <si>
    <t>ṅ19a</t>
  </si>
  <si>
    <t>140.4510-139.0465</t>
  </si>
  <si>
    <t>EG Balance ( in=out )</t>
  </si>
  <si>
    <t>kmol/hr HX</t>
  </si>
  <si>
    <t>EO,MEA,DEA,EG,(v,</t>
  </si>
  <si>
    <t>Stream 19</t>
  </si>
  <si>
    <t>Stream 20</t>
  </si>
  <si>
    <t xml:space="preserve">- </t>
  </si>
  <si>
    <t>C₂H₄O (l,279.15K,1atm)</t>
  </si>
  <si>
    <t>C₂H₄O (v,283.85K,1atm)</t>
  </si>
  <si>
    <t>C₂H₄O (l,283.85K,1atm)</t>
  </si>
  <si>
    <t>C₂H₄O (l,438.15K,1atm)</t>
  </si>
  <si>
    <t>C₂H₇NO (l,438.15K,1atm)</t>
  </si>
  <si>
    <t>From Database, Table 1.1, at 470.35K,</t>
  </si>
  <si>
    <t>(ṅ21)</t>
  </si>
  <si>
    <t>(EO)</t>
  </si>
  <si>
    <t>EO (v,</t>
  </si>
  <si>
    <t>Stream 21</t>
  </si>
  <si>
    <t>(ṅ4)</t>
  </si>
  <si>
    <t>286.6348-66.7142</t>
  </si>
  <si>
    <t>Stream 4</t>
  </si>
  <si>
    <t>AM (g)</t>
  </si>
  <si>
    <t>(ṅ2)</t>
  </si>
  <si>
    <t>Stream 2</t>
  </si>
  <si>
    <t>Since the properties match the reference state,</t>
  </si>
  <si>
    <t>(ṅ1)</t>
  </si>
  <si>
    <t>ṅ1</t>
  </si>
  <si>
    <t>°C, 1atm)</t>
  </si>
  <si>
    <t>Stream 1</t>
  </si>
  <si>
    <t xml:space="preserve">        Ĥ in (kJ/kmol)        </t>
  </si>
  <si>
    <t xml:space="preserve">       ṅ in (kmol/hr)        </t>
  </si>
  <si>
    <t>Table 1: Summary of Mass Balance and Energy Balance Table (with answers)</t>
  </si>
  <si>
    <t xml:space="preserve">    C₂H₇NO(v,623.15K,1atm)</t>
  </si>
  <si>
    <t xml:space="preserve">                C₄H₁₁NO₂ (v,623.15K,1atm)</t>
  </si>
  <si>
    <t>C₂H₇NO (l,463.15K,1atm)</t>
  </si>
  <si>
    <t>C₂H₆O₂ (l,463.15K,1atm)</t>
  </si>
  <si>
    <t>C₄H₁₁NO₂ (l,463.15K,1atm)</t>
  </si>
  <si>
    <t>EO,MEA,DEA,EG (v,</t>
  </si>
  <si>
    <t xml:space="preserve">   Ĥ4c</t>
  </si>
  <si>
    <t>C₂H₄O (v,623.15K,1atm)</t>
  </si>
  <si>
    <t>C₂H₄O( v,298.15K,1atm)</t>
  </si>
  <si>
    <t>x</t>
  </si>
  <si>
    <t>-451.50 (l)</t>
  </si>
  <si>
    <t xml:space="preserve">NH₃ </t>
  </si>
  <si>
    <t xml:space="preserve">C₂H₇NO </t>
  </si>
  <si>
    <t xml:space="preserve">C₄H₁₁NO₂ </t>
  </si>
  <si>
    <t>C₆H₁₅NO₃</t>
  </si>
  <si>
    <t>C₂H₆O₂</t>
  </si>
  <si>
    <t>H (kJ/hr)</t>
  </si>
  <si>
    <t>Formula：</t>
  </si>
  <si>
    <t xml:space="preserve">Formula: </t>
  </si>
  <si>
    <t>-ΔĤv,C₂H₄O</t>
  </si>
  <si>
    <t>-ΔĤv,C₂H₇NO</t>
  </si>
  <si>
    <t>-ΔĤv,C₄H₁₁NO₂</t>
  </si>
  <si>
    <t>-ΔĤv,C₆H₁₅NO₃</t>
  </si>
  <si>
    <t>C₂H₄O (l,283.15K,1atm)</t>
  </si>
  <si>
    <t>-ΔĤv,NH₃</t>
  </si>
  <si>
    <t>‘+</t>
  </si>
  <si>
    <t>-ΔĤv,C₂H₆O₂</t>
  </si>
  <si>
    <t xml:space="preserve">-ΔĤv,C₂H₄O </t>
  </si>
  <si>
    <t>-ΔĤv, C₂H₇NO</t>
  </si>
  <si>
    <t>NH₃ (v, 298.15K, 1atm)</t>
  </si>
  <si>
    <t xml:space="preserve">NH₃ (v, 623.15, 1atm) </t>
  </si>
  <si>
    <t>NH₃ (v,298.15K,1atm)</t>
  </si>
  <si>
    <t>NH₃ (v,283.15,1atm)</t>
  </si>
  <si>
    <t>NH₃ (v,298.15,1atm)</t>
  </si>
  <si>
    <t>NH₃ (v,239.72,1atm)</t>
  </si>
  <si>
    <t>NH₃ (l,239.72,1atm)</t>
  </si>
  <si>
    <t>NH₃ (l,323.15,1atm)</t>
  </si>
  <si>
    <t>From Database, Table 1.1, at 239.72K,</t>
  </si>
  <si>
    <t xml:space="preserve">NH₃ (v,298.15, 1atm) </t>
  </si>
  <si>
    <r>
      <rPr>
        <b/>
        <sz val="12"/>
        <color theme="1"/>
        <rFont val="Times New Roman"/>
        <family val="1"/>
      </rPr>
      <t>Table 1.3:</t>
    </r>
    <r>
      <rPr>
        <sz val="12"/>
        <color theme="1"/>
        <rFont val="Times New Roman"/>
        <family val="1"/>
      </rPr>
      <t xml:space="preserve"> Heat Capacity of Gas Data</t>
    </r>
  </si>
  <si>
    <r>
      <rPr>
        <b/>
        <sz val="12"/>
        <color theme="1"/>
        <rFont val="Times New Roman"/>
        <family val="1"/>
      </rPr>
      <t xml:space="preserve">Table 1.4: </t>
    </r>
    <r>
      <rPr>
        <sz val="12"/>
        <color theme="1"/>
        <rFont val="Times New Roman"/>
        <family val="1"/>
      </rPr>
      <t>Heat Capacity of Liquid Data</t>
    </r>
  </si>
  <si>
    <t>C₂H₇NO (v,623.15K,1atm)</t>
  </si>
  <si>
    <t>C₆H₁₅NO₃ (v,623.15K,1atm)</t>
  </si>
  <si>
    <t>From Database, Table 1.3, at 283.15K,</t>
  </si>
  <si>
    <t>From Database, Table 1.3, at 283.85K,</t>
  </si>
  <si>
    <t>From Database, Table 1.4, at 283.15K,</t>
  </si>
  <si>
    <t>From Database, Table 1.3, at 444.15K,</t>
  </si>
  <si>
    <t>From Database, Table 1.3, at 542.04K,</t>
  </si>
  <si>
    <t>From Database, Table 1.4, at 283..15K,</t>
  </si>
  <si>
    <t>From Database, Table 1.3, at 608.55K,</t>
  </si>
  <si>
    <t>NH₃ (v,283.15K,1atm)</t>
  </si>
  <si>
    <t>From Database, Table 1.3, at 239.72K,</t>
  </si>
  <si>
    <t>From Database, Table 1.4, at 323.15K,</t>
  </si>
  <si>
    <t>From Database, Table 1.3, at 443.15K,</t>
  </si>
  <si>
    <t>From Database, Table 1.4, at 523.15K,</t>
  </si>
  <si>
    <t>From Database, Table 1.4, at 542.15K,</t>
  </si>
  <si>
    <t>From Database, Table 1.4, at 608.15K,</t>
  </si>
  <si>
    <t>From Database, Table 1.4, at 279.15K,</t>
  </si>
  <si>
    <t>From Database, Table 1.3, at 470.35K,</t>
  </si>
  <si>
    <t>From Database, Table 1.4, at 438.15K,</t>
  </si>
  <si>
    <t>From Database, Table 1.4, at 463.15K,</t>
  </si>
  <si>
    <t>From Database, Table 1.3, at 298.15K,</t>
  </si>
  <si>
    <r>
      <t xml:space="preserve">Source: </t>
    </r>
    <r>
      <rPr>
        <sz val="12"/>
        <color theme="1"/>
        <rFont val="Times New Roman"/>
        <family val="1"/>
      </rPr>
      <t xml:space="preserve"> i. Textbook: Felder's Elementary Principles of Chemical Process Global Edition</t>
    </r>
  </si>
  <si>
    <r>
      <t xml:space="preserve">Source: </t>
    </r>
    <r>
      <rPr>
        <sz val="12"/>
        <color theme="1"/>
        <rFont val="Times New Roman"/>
        <family val="1"/>
      </rPr>
      <t xml:space="preserve"> i. Chemical Properties Handbook: Physical, Thermodynamic, Environmental, Transport, Safety, and Health Related Properties for Organic and Inorganic Chemicals</t>
    </r>
  </si>
  <si>
    <t xml:space="preserve">              ii. Chemical Properties Handbook: Physical, Thermodynamic, Environmental, Transport, Safety, and Health Related Properties for Organic and Inorganic Chemicals</t>
  </si>
  <si>
    <r>
      <t xml:space="preserve">Source:  </t>
    </r>
    <r>
      <rPr>
        <sz val="12"/>
        <color theme="1"/>
        <rFont val="Times New Roman"/>
        <family val="1"/>
      </rPr>
      <t>i. Chemical Properties Handbook: Physical, Thermodynamic, Environmental, Transport, Safety, and Health Related Properties for Organic and Inorganic Chemicals</t>
    </r>
  </si>
  <si>
    <r>
      <t xml:space="preserve">Source: </t>
    </r>
    <r>
      <rPr>
        <sz val="12"/>
        <color theme="1"/>
        <rFont val="Times New Roman"/>
        <family val="1"/>
      </rPr>
      <t xml:space="preserve"> i.  Chemical Properties Handbook: Physical, Thermodynamic, Environmental, Transport, Safety, and Health Related Properties for Organic and Inorganic Chemicals</t>
    </r>
  </si>
  <si>
    <r>
      <rPr>
        <sz val="11"/>
        <rFont val="Arial"/>
        <family val="2"/>
      </rPr>
      <t xml:space="preserve">             </t>
    </r>
    <r>
      <rPr>
        <sz val="12"/>
        <rFont val="Times New Roman"/>
        <family val="1"/>
      </rPr>
      <t xml:space="preserve">iii. Link: </t>
    </r>
    <r>
      <rPr>
        <u/>
        <sz val="12"/>
        <color rgb="FF1155CC"/>
        <rFont val="Times New Roman"/>
        <family val="1"/>
      </rPr>
      <t>https://www.chemeo.com/cid/20-170-0/Monoethanolamine</t>
    </r>
  </si>
  <si>
    <r>
      <rPr>
        <sz val="12"/>
        <rFont val="Times New Roman"/>
        <family val="1"/>
      </rPr>
      <t xml:space="preserve">             iv. Link: </t>
    </r>
    <r>
      <rPr>
        <u/>
        <sz val="12"/>
        <color rgb="FF1155CC"/>
        <rFont val="Times New Roman"/>
        <family val="1"/>
      </rPr>
      <t>https://www.chemeo.com/cid/30-006-1/Diethanolamine</t>
    </r>
  </si>
  <si>
    <r>
      <rPr>
        <sz val="12"/>
        <rFont val="Times New Roman"/>
        <family val="1"/>
      </rPr>
      <t xml:space="preserve">            v. Link: </t>
    </r>
    <r>
      <rPr>
        <u/>
        <sz val="12"/>
        <color rgb="FF1155CC"/>
        <rFont val="Times New Roman"/>
        <family val="1"/>
      </rPr>
      <t>https://www.chemeo.com/cid/64-895-8/Triethanolamine</t>
    </r>
  </si>
  <si>
    <r>
      <rPr>
        <sz val="12"/>
        <rFont val="Times New Roman"/>
        <family val="1"/>
      </rPr>
      <t xml:space="preserve">           vi. Link: </t>
    </r>
    <r>
      <rPr>
        <u/>
        <sz val="12"/>
        <color rgb="FF1155CC"/>
        <rFont val="Times New Roman"/>
        <family val="1"/>
      </rPr>
      <t>https://webbook.nist.gov/cgi/cbook.cgi?ID=C107211&amp;Mask=1EFF</t>
    </r>
  </si>
  <si>
    <t>(EO, MEA, DEA, EG)</t>
  </si>
  <si>
    <t>AM, (v,</t>
  </si>
  <si>
    <t>°C, 1 atm )</t>
  </si>
  <si>
    <t xml:space="preserve">NH₃ (v, 623.15K, 1atm) </t>
  </si>
  <si>
    <t>1.5(208.6201)</t>
  </si>
  <si>
    <t>Assumption:</t>
  </si>
  <si>
    <t>1. 80% of flooding velocity</t>
  </si>
  <si>
    <t>2. Assuming ideal gas behaviour at the distillate</t>
  </si>
  <si>
    <t>K</t>
  </si>
  <si>
    <t>Feed (F)</t>
  </si>
  <si>
    <t>Distillate (D)</t>
  </si>
  <si>
    <t>Bottoms (W)</t>
  </si>
  <si>
    <t>xF</t>
  </si>
  <si>
    <t>(kmol/hr)</t>
  </si>
  <si>
    <t>(kg/hr)</t>
  </si>
  <si>
    <t>xD</t>
  </si>
  <si>
    <t>xW</t>
  </si>
  <si>
    <t>Density (kg/m3)</t>
  </si>
  <si>
    <t>(L)</t>
  </si>
  <si>
    <t>(H)</t>
  </si>
  <si>
    <t>Total</t>
  </si>
  <si>
    <t>For liquid density,</t>
  </si>
  <si>
    <t>ρL</t>
  </si>
  <si>
    <t>kg/m3</t>
  </si>
  <si>
    <t>lbm/ft^3</t>
  </si>
  <si>
    <t>For vapour density,</t>
  </si>
  <si>
    <t>P</t>
  </si>
  <si>
    <t>kPa</t>
  </si>
  <si>
    <t>R</t>
  </si>
  <si>
    <t>m3.kPa/kmol.K</t>
  </si>
  <si>
    <t>TD</t>
  </si>
  <si>
    <t>ρG</t>
  </si>
  <si>
    <t>To find the kinematic viscosity at bottom,</t>
  </si>
  <si>
    <t>Viscosity, μ (cp)</t>
  </si>
  <si>
    <t>μ</t>
  </si>
  <si>
    <t>cs</t>
  </si>
  <si>
    <t>From Table 10.6-1, using CY Wire Mesh structured packing,</t>
  </si>
  <si>
    <t>Fp</t>
  </si>
  <si>
    <t>ft^(-1)</t>
  </si>
  <si>
    <t>Since Fp &gt;60,</t>
  </si>
  <si>
    <t>∆Pflood</t>
  </si>
  <si>
    <t>in.H2O/ft</t>
  </si>
  <si>
    <t>For flow parameter,</t>
  </si>
  <si>
    <t>(GL/GG)(ρG/ρL)^0.5</t>
  </si>
  <si>
    <t>From Figure 10.6-6,</t>
  </si>
  <si>
    <t>vG[ρG/(ρL-ρG)]^0.5Fp^0.5v^0.05</t>
  </si>
  <si>
    <t>vG</t>
  </si>
  <si>
    <t>ft/s</t>
  </si>
  <si>
    <t>At 80% flooding,</t>
  </si>
  <si>
    <t>GG</t>
  </si>
  <si>
    <t>lbm/s.ft^2</t>
  </si>
  <si>
    <t>kg/s.m^2</t>
  </si>
  <si>
    <t>m</t>
  </si>
  <si>
    <t>Formula:</t>
  </si>
  <si>
    <t>Tc</t>
  </si>
  <si>
    <t>Density (g/mL ) at 25°C</t>
  </si>
  <si>
    <t>Viscosity (cp) at 25°C</t>
  </si>
  <si>
    <r>
      <t xml:space="preserve">Table 1.5: </t>
    </r>
    <r>
      <rPr>
        <sz val="12"/>
        <color rgb="FF000000"/>
        <rFont val="Times New Roman"/>
        <family val="1"/>
      </rPr>
      <t>Density of Liquid Data</t>
    </r>
  </si>
  <si>
    <r>
      <t xml:space="preserve">Source: </t>
    </r>
    <r>
      <rPr>
        <sz val="12"/>
        <color rgb="FF000000"/>
        <rFont val="Times New Roman"/>
        <family val="1"/>
      </rPr>
      <t>i. Chemical Properties Handbook: Physical, Thermodynamic, Environmental, Transport, Safety, and Health Related Properties for Organic and Inorganic Chemicals</t>
    </r>
  </si>
  <si>
    <r>
      <t xml:space="preserve">Table 1.6: </t>
    </r>
    <r>
      <rPr>
        <sz val="12"/>
        <color rgb="FF000000"/>
        <rFont val="Times New Roman"/>
        <family val="1"/>
      </rPr>
      <t>Surface tension</t>
    </r>
  </si>
  <si>
    <r>
      <t xml:space="preserve">Table 1.6: </t>
    </r>
    <r>
      <rPr>
        <sz val="12"/>
        <color rgb="FF000000"/>
        <rFont val="Times New Roman"/>
        <family val="1"/>
      </rPr>
      <t>Viscosity of Liquid Data</t>
    </r>
  </si>
  <si>
    <t>Volumetric Flow Rate (m3/hr)</t>
  </si>
  <si>
    <t>T (℃)</t>
  </si>
  <si>
    <t>T (K)</t>
  </si>
  <si>
    <t>Psat,EO (mmHg)</t>
  </si>
  <si>
    <t>Psat,MEA (mmHg)</t>
  </si>
  <si>
    <t>Psat,EG (mmHg)</t>
  </si>
  <si>
    <t>Psat,DEA (mmHg)</t>
  </si>
  <si>
    <t>Ptotal (mmHg)</t>
  </si>
  <si>
    <t>Ptotal (atm)</t>
  </si>
  <si>
    <t>Enthalpy of Vaporization,∆Ĥv (kJ/mol)</t>
  </si>
  <si>
    <t>Enthalpy of Feed, ∆ĤF (kJ/ mol)</t>
  </si>
  <si>
    <t>∆Ĥv,avg =</t>
  </si>
  <si>
    <t>∆ĤF,avg =</t>
  </si>
  <si>
    <t>To find the condition of feed, q,</t>
  </si>
  <si>
    <t>q</t>
  </si>
  <si>
    <t>Tavg (K)</t>
  </si>
  <si>
    <t>(TD+TW)/2</t>
  </si>
  <si>
    <t>TD (K)</t>
  </si>
  <si>
    <t>TW (K)</t>
  </si>
  <si>
    <t>At average outlet temperature,</t>
  </si>
  <si>
    <t>At distillate temperature,</t>
  </si>
  <si>
    <t>At bottom temperature,</t>
  </si>
  <si>
    <t>Tavg = 450.65K</t>
  </si>
  <si>
    <t>TD = 438.15K</t>
  </si>
  <si>
    <t>TW = 463.15K</t>
  </si>
  <si>
    <t>xiF</t>
  </si>
  <si>
    <t>KiF</t>
  </si>
  <si>
    <t>αiF</t>
  </si>
  <si>
    <t>xiD</t>
  </si>
  <si>
    <t>KiD</t>
  </si>
  <si>
    <t>αiD</t>
  </si>
  <si>
    <t>xiW</t>
  </si>
  <si>
    <t>KiW</t>
  </si>
  <si>
    <t>αiW</t>
  </si>
  <si>
    <t>θ (Assume)</t>
  </si>
  <si>
    <t>1st term</t>
  </si>
  <si>
    <t>2nd term</t>
  </si>
  <si>
    <t>3rd term</t>
  </si>
  <si>
    <t>4th term</t>
  </si>
  <si>
    <t>q-1</t>
  </si>
  <si>
    <t>Summation</t>
  </si>
  <si>
    <t>θ</t>
  </si>
  <si>
    <t>For Rmin,</t>
  </si>
  <si>
    <t>Rmin</t>
  </si>
  <si>
    <t>Rmin/Rmin+1</t>
  </si>
  <si>
    <t>Assuming R</t>
  </si>
  <si>
    <t>R/R+1</t>
  </si>
  <si>
    <t>For minimum stages for total reflux, Nm,</t>
  </si>
  <si>
    <t>αL,av</t>
  </si>
  <si>
    <t>Assume xHD = 0.0001</t>
  </si>
  <si>
    <t>Nm</t>
  </si>
  <si>
    <t>From Erbar-Maddox correlation,</t>
  </si>
  <si>
    <t>Nm/N</t>
  </si>
  <si>
    <t>N</t>
  </si>
  <si>
    <t>theoretical stages</t>
  </si>
  <si>
    <t>theoretical trays</t>
  </si>
  <si>
    <t>1 reboiler</t>
  </si>
  <si>
    <t>a</t>
  </si>
  <si>
    <t>HETP</t>
  </si>
  <si>
    <t>100/a+0.1</t>
  </si>
  <si>
    <t>H</t>
  </si>
  <si>
    <t>N*HETP</t>
  </si>
  <si>
    <t>GAS DENSITY</t>
  </si>
  <si>
    <t>Distillate</t>
  </si>
  <si>
    <t>Bottom</t>
  </si>
  <si>
    <t>Component</t>
  </si>
  <si>
    <t>Molar mass(kg/kmol)</t>
  </si>
  <si>
    <t>MEA (LK)</t>
  </si>
  <si>
    <t>DEA (HK)</t>
  </si>
  <si>
    <t>Tavg=</t>
  </si>
  <si>
    <t>atm</t>
  </si>
  <si>
    <t>LIQ</t>
  </si>
  <si>
    <t>W</t>
  </si>
  <si>
    <t>LIQ DENSITY</t>
  </si>
  <si>
    <t>kg/hr</t>
  </si>
  <si>
    <t>Determine vapor density</t>
  </si>
  <si>
    <t>yi =</t>
  </si>
  <si>
    <t>Mole fraction of distillate</t>
  </si>
  <si>
    <t>P =</t>
  </si>
  <si>
    <t>Pressure of distillate</t>
  </si>
  <si>
    <t>MWi =</t>
  </si>
  <si>
    <t>Molecular weight of components</t>
  </si>
  <si>
    <t>R =</t>
  </si>
  <si>
    <t>Gas constant</t>
  </si>
  <si>
    <t>T =</t>
  </si>
  <si>
    <t>Temperature of distillate</t>
  </si>
  <si>
    <t>Total mass flowrate at W</t>
  </si>
  <si>
    <t>Total volumetric flowrate at W</t>
  </si>
  <si>
    <t>Calculate Kv</t>
  </si>
  <si>
    <t>L=</t>
  </si>
  <si>
    <t>V=</t>
  </si>
  <si>
    <t>Find average surface tension, σavg in order to caluclate vMax and vDesign</t>
  </si>
  <si>
    <t>Surface Tension, σ (dyne/cm)</t>
  </si>
  <si>
    <t>Tf (K)</t>
  </si>
  <si>
    <t>σavg=</t>
  </si>
  <si>
    <t>Determine maximum allowable vapor velocity, vmax</t>
  </si>
  <si>
    <t>Vmax=</t>
  </si>
  <si>
    <t>m/s</t>
  </si>
  <si>
    <t>a) Downpour area of 9% of the tray</t>
  </si>
  <si>
    <t>b) 95 % for foaming</t>
  </si>
  <si>
    <t>c) 80 % for flooding</t>
  </si>
  <si>
    <t>Vmax(0.91)(0.95)(0.8)</t>
  </si>
  <si>
    <t>Determine the diameter of the tower, D</t>
  </si>
  <si>
    <t>(K)</t>
  </si>
  <si>
    <t xml:space="preserve">MEA </t>
  </si>
  <si>
    <t xml:space="preserve">DEA </t>
  </si>
  <si>
    <t>Feed</t>
  </si>
  <si>
    <t>xD=yD</t>
  </si>
  <si>
    <t>Tbottom</t>
  </si>
  <si>
    <t>Density (kg/m^3)</t>
  </si>
  <si>
    <t>Volumetric Flow Rate (m^3/hr)</t>
  </si>
  <si>
    <t>ρV</t>
  </si>
  <si>
    <t xml:space="preserve">From the graph, by assuming 24 in. plate spacing, </t>
  </si>
  <si>
    <t>Vdesign</t>
  </si>
  <si>
    <t>m2</t>
  </si>
  <si>
    <t>Therminol VP-1</t>
  </si>
  <si>
    <r>
      <t>73.5% C</t>
    </r>
    <r>
      <rPr>
        <sz val="6"/>
        <color rgb="FF000000"/>
        <rFont val="Times New Roman&quot;"/>
      </rPr>
      <t>12</t>
    </r>
    <r>
      <rPr>
        <sz val="12"/>
        <color rgb="FF000000"/>
        <rFont val="Times New Roman&quot;"/>
      </rPr>
      <t>H</t>
    </r>
    <r>
      <rPr>
        <sz val="6"/>
        <color rgb="FF000000"/>
        <rFont val="Times New Roman&quot;"/>
      </rPr>
      <t>10</t>
    </r>
    <r>
      <rPr>
        <sz val="12"/>
        <color rgb="FF000000"/>
        <rFont val="Times New Roman&quot;"/>
      </rPr>
      <t>O &amp; 26.5% C</t>
    </r>
    <r>
      <rPr>
        <sz val="6"/>
        <color rgb="FF000000"/>
        <rFont val="Times New Roman&quot;"/>
      </rPr>
      <t>12</t>
    </r>
    <r>
      <rPr>
        <sz val="12"/>
        <color rgb="FF000000"/>
        <rFont val="Times New Roman&quot;"/>
      </rPr>
      <t>H</t>
    </r>
    <r>
      <rPr>
        <sz val="6"/>
        <color rgb="FF000000"/>
        <rFont val="Times New Roman&quot;"/>
      </rPr>
      <t>10</t>
    </r>
  </si>
  <si>
    <t>F</t>
  </si>
  <si>
    <t>S22</t>
  </si>
  <si>
    <t>S23</t>
  </si>
  <si>
    <t>Stream 22</t>
  </si>
  <si>
    <t>Stream 23</t>
  </si>
  <si>
    <t>ṅ in (kg/s)</t>
  </si>
  <si>
    <t>ṅ out (kg/s)</t>
  </si>
  <si>
    <t>Ĥ out (kJ/kg)</t>
  </si>
  <si>
    <t>TVP (v)</t>
  </si>
  <si>
    <t>TVP(l)</t>
  </si>
  <si>
    <t>TVP (l,503.15K,1atm)</t>
  </si>
  <si>
    <t>TVP (v,343.15K,1atm)</t>
  </si>
  <si>
    <t>TVP (l,530.15,1atm)</t>
  </si>
  <si>
    <t>TVP (v,530.15,1atm)</t>
  </si>
  <si>
    <t>kJ/kg</t>
  </si>
  <si>
    <t>J/s</t>
  </si>
  <si>
    <t>(heat release)</t>
  </si>
  <si>
    <t>ṁc</t>
  </si>
  <si>
    <t>kg/s</t>
  </si>
  <si>
    <t>Mass flow rate required for TVP</t>
  </si>
  <si>
    <t>ṁc*Ĥ3</t>
  </si>
  <si>
    <t>ṁh</t>
  </si>
  <si>
    <r>
      <rPr>
        <b/>
        <sz val="12"/>
        <color theme="1"/>
        <rFont val="Times New Roman"/>
        <family val="1"/>
      </rPr>
      <t xml:space="preserve">Table 1.4: </t>
    </r>
    <r>
      <rPr>
        <sz val="12"/>
        <color theme="1"/>
        <rFont val="Times New Roman"/>
        <family val="1"/>
      </rPr>
      <t>Vapour Pressure</t>
    </r>
  </si>
  <si>
    <t>Therminol VP-1 (TVP)</t>
  </si>
  <si>
    <t>TVP</t>
  </si>
  <si>
    <t>Therminol VP-1 (kJ/kg.K)</t>
  </si>
  <si>
    <t>(in kJ/kg)</t>
  </si>
  <si>
    <t>ṅ22</t>
  </si>
  <si>
    <t>Tc,i</t>
  </si>
  <si>
    <t>°C</t>
  </si>
  <si>
    <t>Tc,o</t>
  </si>
  <si>
    <t>Th,i</t>
  </si>
  <si>
    <t>Th,o</t>
  </si>
  <si>
    <t>Tb,c</t>
  </si>
  <si>
    <t>Tb,h</t>
  </si>
  <si>
    <t>∆Tlm</t>
  </si>
  <si>
    <t>Z</t>
  </si>
  <si>
    <t>Y</t>
  </si>
  <si>
    <t>From Figure 4.9-4 (b)</t>
  </si>
  <si>
    <t>FT</t>
  </si>
  <si>
    <t>.</t>
  </si>
  <si>
    <t>∆Tm</t>
  </si>
  <si>
    <t>S1 (NH₃,vapour)</t>
  </si>
  <si>
    <t>Temperature, T
(°C)</t>
  </si>
  <si>
    <t>Density, ρ (kg/m³)</t>
  </si>
  <si>
    <t>Cp (J/kg K)</t>
  </si>
  <si>
    <t>Dynamic Viscosity, μ (kg/m·s)</t>
  </si>
  <si>
    <t>Thermal Conductivity, k (W/m·K)</t>
  </si>
  <si>
    <t>Prandtl Number,Npr</t>
  </si>
  <si>
    <t>S2 (Therminol VP-1,liquid)</t>
  </si>
  <si>
    <t>S3 (NH₃,liquid)</t>
  </si>
  <si>
    <t>S4 (Therminol VP-1,vapour)</t>
  </si>
  <si>
    <t>Cold Stream (NH₃,vapour and liquid)</t>
  </si>
  <si>
    <t>Heat of vaporization,
∆Hv (J/kg)</t>
  </si>
  <si>
    <t xml:space="preserve">Hot Stream (Therminol VP-1,vapour and liquid)	</t>
  </si>
  <si>
    <t>From Table A.3-16</t>
  </si>
  <si>
    <t xml:space="preserve">Copper Tube </t>
  </si>
  <si>
    <t>k</t>
  </si>
  <si>
    <t>W/mK</t>
  </si>
  <si>
    <t>Tube</t>
  </si>
  <si>
    <t>Shell</t>
  </si>
  <si>
    <t>OD,t</t>
  </si>
  <si>
    <t>in</t>
  </si>
  <si>
    <t>ID,s</t>
  </si>
  <si>
    <t>ID,t</t>
  </si>
  <si>
    <t>Tube Calculation (TVP)</t>
  </si>
  <si>
    <t>Shell Calculation (NH₃,)</t>
  </si>
  <si>
    <t>Uₒ</t>
  </si>
  <si>
    <t>W/m²K</t>
  </si>
  <si>
    <t>Fauling Factor</t>
  </si>
  <si>
    <t>Bs</t>
  </si>
  <si>
    <t>0.3ID,s</t>
  </si>
  <si>
    <t>Q</t>
  </si>
  <si>
    <t>UAT∆Tm</t>
  </si>
  <si>
    <t>hdi</t>
  </si>
  <si>
    <t>hdo</t>
  </si>
  <si>
    <t>AT</t>
  </si>
  <si>
    <t>Q/U∆Tm</t>
  </si>
  <si>
    <t>m²</t>
  </si>
  <si>
    <t>Ac,s</t>
  </si>
  <si>
    <t>(ID,s*Bs(Sp-OD,t))/Sp</t>
  </si>
  <si>
    <t>ln(r2/r1)/2πkLe</t>
  </si>
  <si>
    <t>K/W</t>
  </si>
  <si>
    <t>Le</t>
  </si>
  <si>
    <t>ft</t>
  </si>
  <si>
    <t>Np</t>
  </si>
  <si>
    <t>Sp</t>
  </si>
  <si>
    <t>De</t>
  </si>
  <si>
    <t>At</t>
  </si>
  <si>
    <t>πOD,tLe</t>
  </si>
  <si>
    <t>vₒ</t>
  </si>
  <si>
    <t>ṁ/ρₒAc,s</t>
  </si>
  <si>
    <t>Nt</t>
  </si>
  <si>
    <t>AT/At</t>
  </si>
  <si>
    <t>NRe</t>
  </si>
  <si>
    <t>ṁDe/μAc,s</t>
  </si>
  <si>
    <t>Ao</t>
  </si>
  <si>
    <t>πOD,tLeNt</t>
  </si>
  <si>
    <t>Ai</t>
  </si>
  <si>
    <t>πID,tLeNt</t>
  </si>
  <si>
    <t>ho</t>
  </si>
  <si>
    <t>U₁</t>
  </si>
  <si>
    <t>Ac,t</t>
  </si>
  <si>
    <t>(πID²/4)(Nt/Np)</t>
  </si>
  <si>
    <t>Percentage error (%)</t>
  </si>
  <si>
    <t>%</t>
  </si>
  <si>
    <t>vᵢ</t>
  </si>
  <si>
    <t>ṁ/ρAc,t</t>
  </si>
  <si>
    <t>NReᵢ</t>
  </si>
  <si>
    <t xml:space="preserve">ID,t*v*ρ/μ </t>
  </si>
  <si>
    <t>By using Dittus-Boelter correlation,</t>
  </si>
  <si>
    <t>hi</t>
  </si>
  <si>
    <t>Calculation</t>
  </si>
  <si>
    <t>1. Identify light key and heavy key</t>
  </si>
  <si>
    <t>yD=xD</t>
  </si>
  <si>
    <t>2. Calculate the boiling point temperature of the feed stream</t>
  </si>
  <si>
    <t>Tfeed =</t>
  </si>
  <si>
    <t>°C =</t>
  </si>
  <si>
    <t>Pfeed =</t>
  </si>
  <si>
    <t>ANTOINE EQUATION</t>
  </si>
  <si>
    <t>Calc Tbp =</t>
  </si>
  <si>
    <t>3. Identify q by comparing Tfeed and the boiling point temperature of the feed stream</t>
  </si>
  <si>
    <t>Since Tbp &gt; Tfeed, feed is cold and q &gt; 1</t>
  </si>
  <si>
    <t>At Tfeed,</t>
  </si>
  <si>
    <t>xi ∆Ĥv (kJ/mol)</t>
  </si>
  <si>
    <t>[(HV - HL) + CpL (Tbp - Tfeed)] / (HV - HL)</t>
  </si>
  <si>
    <t>4. Underwood's shortcut method to calculate Rm</t>
  </si>
  <si>
    <t>Identify Tavg,</t>
  </si>
  <si>
    <t>Tavg =</t>
  </si>
  <si>
    <t>(Ttop + Tbottom) / 2</t>
  </si>
  <si>
    <t>Psat (mmhg)</t>
  </si>
  <si>
    <t>Psat (atm)</t>
  </si>
  <si>
    <t>Ki=Psat/ P</t>
  </si>
  <si>
    <t>αi=Ki/Kref</t>
  </si>
  <si>
    <t>xFi</t>
  </si>
  <si>
    <t>αi xFi</t>
  </si>
  <si>
    <t>xDi</t>
  </si>
  <si>
    <t>αi xDi</t>
  </si>
  <si>
    <t>1 - q =</t>
  </si>
  <si>
    <t>Rm + 1 =</t>
  </si>
  <si>
    <t>Rm =</t>
  </si>
  <si>
    <t>Since Rm value is too small,</t>
  </si>
  <si>
    <t>Rm, assumed =</t>
  </si>
  <si>
    <t>5. Calculate Nmin</t>
  </si>
  <si>
    <t>αLav =</t>
  </si>
  <si>
    <t>Nmin =</t>
  </si>
  <si>
    <t>6. Estimate N value</t>
  </si>
  <si>
    <t>Assume R = 1.5 Rm</t>
  </si>
  <si>
    <t>R/(R+1) =</t>
  </si>
  <si>
    <t>Rm/(Rm+1) =</t>
  </si>
  <si>
    <t>From the Colleration of Erbar &amp; Maddox,</t>
  </si>
  <si>
    <t>Nmin/N=</t>
  </si>
  <si>
    <t>trays +</t>
  </si>
  <si>
    <t>By using Antoine Equation, partial pressure of each component is calculated by assuming a boiling point temperature. The temperature which yields a sum of the partial pressure of each component equals the pressure of the feed stream is the boiling point temperature of the feed stream.</t>
  </si>
  <si>
    <t>Psat, TEA (mmHg)</t>
  </si>
  <si>
    <t>∆ĤF (kJ/ mol)</t>
  </si>
  <si>
    <t>xiF∆ĤF (kJ/mol)</t>
  </si>
  <si>
    <t>At Tavg, P</t>
  </si>
  <si>
    <t>Tbp</t>
  </si>
  <si>
    <t xml:space="preserve">At Ttop </t>
  </si>
  <si>
    <t xml:space="preserve">At Tbottom </t>
  </si>
  <si>
    <t xml:space="preserve">N </t>
  </si>
  <si>
    <t>Viscosity</t>
  </si>
  <si>
    <t>ΣxiFμi</t>
  </si>
  <si>
    <t>cp</t>
  </si>
  <si>
    <t>To find αave by using data in No. of trays</t>
  </si>
  <si>
    <t>ΣxiFαi</t>
  </si>
  <si>
    <t>By referring to Lockett (1986),</t>
  </si>
  <si>
    <t>Eo=</t>
  </si>
  <si>
    <t>T/Eo</t>
  </si>
  <si>
    <t>Height of the column</t>
  </si>
  <si>
    <t>n(HETP)</t>
  </si>
  <si>
    <t xml:space="preserve">μave </t>
  </si>
  <si>
    <t xml:space="preserve">αave </t>
  </si>
  <si>
    <t>Tray spacing</t>
  </si>
  <si>
    <t xml:space="preserve">H </t>
  </si>
  <si>
    <t xml:space="preserve">q </t>
  </si>
  <si>
    <t>Kv</t>
  </si>
  <si>
    <t>To find the boiling point of the feed (Tbp),</t>
  </si>
  <si>
    <t>SEPARATION PROCESSES (SETK 3323)</t>
  </si>
  <si>
    <t>SEMESTER 1 SESSION 2025/2026</t>
  </si>
  <si>
    <t>CORNERSTONE PROJECT</t>
  </si>
  <si>
    <t>LECTURER: DR. SHUHADA ATIKA BINTI IDRUS SAIDI</t>
  </si>
  <si>
    <t>CHANG QING YIU</t>
  </si>
  <si>
    <t>CHEONG WEI XIN</t>
  </si>
  <si>
    <t>E SHAO YUAN</t>
  </si>
  <si>
    <t>YONG ZHENG ZHAO</t>
  </si>
  <si>
    <t>A23KT0049</t>
  </si>
  <si>
    <t>A23KT0051</t>
  </si>
  <si>
    <t>A23KT0064</t>
  </si>
  <si>
    <t xml:space="preserve">	σ (dyne/cm) at 25°C</t>
  </si>
  <si>
    <t>(in kJ/kg.K)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</si>
</sst>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"/>
    <numFmt numFmtId="166" formatCode="0.00000E+00"/>
    <numFmt numFmtId="167" formatCode="0.0000E+00"/>
    <numFmt numFmtId="168" formatCode="#,##0.000"/>
    <numFmt numFmtId="169" formatCode="#,##0.0000"/>
    <numFmt numFmtId="170" formatCode="&quot;$&quot;#,##0.00"/>
    <numFmt numFmtId="171" formatCode="0.00000"/>
  </numFmts>
  <fonts count="31">
    <font>
      <sz val="10"/>
      <color rgb="FF000000"/>
      <name val="Arial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2"/>
      <color rgb="FF1F1F1F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&quot;Times New Roman&quot;"/>
    </font>
    <font>
      <sz val="11"/>
      <color theme="1"/>
      <name val="Times New Roman"/>
      <family val="1"/>
    </font>
    <font>
      <sz val="12"/>
      <color theme="1"/>
      <name val="Arial"/>
      <family val="2"/>
      <scheme val="minor"/>
    </font>
    <font>
      <sz val="13"/>
      <color rgb="FF000000"/>
      <name val="Times New Roman"/>
      <family val="1"/>
    </font>
    <font>
      <u/>
      <sz val="10"/>
      <color rgb="FF0000FF"/>
      <name val="Arial"/>
      <family val="2"/>
    </font>
    <font>
      <u/>
      <sz val="12"/>
      <color rgb="FF0000FF"/>
      <name val="Times New Roman"/>
      <family val="1"/>
    </font>
    <font>
      <b/>
      <sz val="12"/>
      <color rgb="FF000000"/>
      <name val="Times New Roman"/>
      <family val="1"/>
    </font>
    <font>
      <u/>
      <sz val="12"/>
      <color theme="1"/>
      <name val="Times New Roman"/>
      <family val="1"/>
    </font>
    <font>
      <sz val="10"/>
      <color theme="1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u/>
      <sz val="12"/>
      <color rgb="FF1155CC"/>
      <name val="Times New Roman"/>
      <family val="1"/>
    </font>
    <font>
      <sz val="10"/>
      <color rgb="FF000000"/>
      <name val="Arial"/>
      <family val="2"/>
      <scheme val="minor"/>
    </font>
    <font>
      <sz val="12"/>
      <color rgb="FF000000"/>
      <name val="Times New Roman&quot;"/>
    </font>
    <font>
      <sz val="10"/>
      <name val="Times New Roman&quot;"/>
    </font>
    <font>
      <sz val="8"/>
      <name val="Arial"/>
      <family val="2"/>
      <scheme val="minor"/>
    </font>
    <font>
      <sz val="10"/>
      <name val="Times New Roman"/>
      <family val="1"/>
    </font>
    <font>
      <u/>
      <sz val="10"/>
      <color theme="10"/>
      <name val="Arial"/>
      <scheme val="minor"/>
    </font>
    <font>
      <sz val="12"/>
      <color theme="3"/>
      <name val="Times New Roman"/>
      <family val="1"/>
    </font>
    <font>
      <sz val="6"/>
      <color rgb="FF000000"/>
      <name val="Times New Roman&quot;"/>
    </font>
    <font>
      <sz val="12"/>
      <color theme="1"/>
      <name val="Times New Roman&quot;"/>
    </font>
    <font>
      <sz val="10"/>
      <color rgb="FF000000"/>
      <name val="Times New Roman&quot;"/>
    </font>
    <font>
      <sz val="11"/>
      <color rgb="FF000000"/>
      <name val="Times New Roman&quot;"/>
    </font>
  </fonts>
  <fills count="2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6E3B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EA9DB"/>
        <bgColor rgb="FF8EA9DB"/>
      </patternFill>
    </fill>
    <fill>
      <patternFill patternType="solid">
        <fgColor rgb="FFFFD966"/>
        <bgColor rgb="FFFFD966"/>
      </patternFill>
    </fill>
    <fill>
      <patternFill patternType="solid">
        <fgColor theme="6" tint="0.79998168889431442"/>
        <bgColor rgb="FFA9D08E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rgb="FFF6B26B"/>
      </patternFill>
    </fill>
    <fill>
      <patternFill patternType="solid">
        <fgColor theme="5" tint="0.79998168889431442"/>
        <bgColor rgb="FFF4B08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54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2" fillId="0" borderId="0" xfId="0" applyFont="1" applyAlignment="1">
      <alignment horizontal="center"/>
    </xf>
    <xf numFmtId="0" fontId="3" fillId="0" borderId="5" xfId="0" applyFont="1" applyBorder="1"/>
    <xf numFmtId="0" fontId="1" fillId="0" borderId="0" xfId="0" applyFont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2" borderId="12" xfId="0" applyFont="1" applyFill="1" applyBorder="1" applyAlignment="1">
      <alignment horizontal="center" vertical="center"/>
    </xf>
    <xf numFmtId="0" fontId="5" fillId="0" borderId="0" xfId="0" applyFont="1"/>
    <xf numFmtId="0" fontId="2" fillId="2" borderId="12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/>
    </xf>
    <xf numFmtId="0" fontId="1" fillId="5" borderId="12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/>
    </xf>
    <xf numFmtId="164" fontId="1" fillId="3" borderId="17" xfId="0" applyNumberFormat="1" applyFont="1" applyFill="1" applyBorder="1" applyAlignment="1">
      <alignment horizontal="center" vertical="center"/>
    </xf>
    <xf numFmtId="164" fontId="1" fillId="5" borderId="12" xfId="0" applyNumberFormat="1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0" fontId="2" fillId="0" borderId="0" xfId="0" applyFont="1"/>
    <xf numFmtId="164" fontId="1" fillId="0" borderId="12" xfId="0" applyNumberFormat="1" applyFont="1" applyBorder="1" applyAlignment="1">
      <alignment horizontal="center"/>
    </xf>
    <xf numFmtId="0" fontId="7" fillId="6" borderId="17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4" fontId="7" fillId="3" borderId="12" xfId="0" applyNumberFormat="1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164" fontId="7" fillId="3" borderId="11" xfId="0" applyNumberFormat="1" applyFont="1" applyFill="1" applyBorder="1" applyAlignment="1">
      <alignment horizontal="center"/>
    </xf>
    <xf numFmtId="0" fontId="3" fillId="5" borderId="12" xfId="0" applyFont="1" applyFill="1" applyBorder="1"/>
    <xf numFmtId="0" fontId="7" fillId="5" borderId="12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0" fillId="0" borderId="0" xfId="0" applyFont="1"/>
    <xf numFmtId="1" fontId="7" fillId="0" borderId="11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164" fontId="1" fillId="3" borderId="12" xfId="0" applyNumberFormat="1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7" borderId="0" xfId="0" applyFont="1" applyFill="1"/>
    <xf numFmtId="0" fontId="1" fillId="7" borderId="0" xfId="0" applyFont="1" applyFill="1"/>
    <xf numFmtId="0" fontId="1" fillId="0" borderId="2" xfId="0" quotePrefix="1" applyFont="1" applyBorder="1"/>
    <xf numFmtId="0" fontId="7" fillId="3" borderId="0" xfId="0" applyFont="1" applyFill="1" applyAlignment="1">
      <alignment horizontal="left"/>
    </xf>
    <xf numFmtId="0" fontId="1" fillId="0" borderId="0" xfId="0" quotePrefix="1" applyFont="1"/>
    <xf numFmtId="0" fontId="7" fillId="3" borderId="5" xfId="0" applyFont="1" applyFill="1" applyBorder="1" applyAlignment="1">
      <alignment horizontal="left"/>
    </xf>
    <xf numFmtId="0" fontId="1" fillId="0" borderId="10" xfId="0" quotePrefix="1" applyFont="1" applyBorder="1"/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8" borderId="0" xfId="0" applyFont="1" applyFill="1"/>
    <xf numFmtId="0" fontId="1" fillId="8" borderId="0" xfId="0" applyFont="1" applyFill="1"/>
    <xf numFmtId="0" fontId="1" fillId="3" borderId="0" xfId="0" applyFont="1" applyFill="1"/>
    <xf numFmtId="2" fontId="1" fillId="0" borderId="12" xfId="0" applyNumberFormat="1" applyFont="1" applyBorder="1" applyAlignment="1">
      <alignment horizontal="center"/>
    </xf>
    <xf numFmtId="166" fontId="1" fillId="0" borderId="12" xfId="0" applyNumberFormat="1" applyFont="1" applyBorder="1" applyAlignment="1">
      <alignment horizontal="center"/>
    </xf>
    <xf numFmtId="167" fontId="1" fillId="0" borderId="12" xfId="0" applyNumberFormat="1" applyFont="1" applyBorder="1" applyAlignment="1">
      <alignment horizontal="center"/>
    </xf>
    <xf numFmtId="168" fontId="1" fillId="0" borderId="12" xfId="0" applyNumberFormat="1" applyFont="1" applyBorder="1" applyAlignment="1">
      <alignment horizontal="center"/>
    </xf>
    <xf numFmtId="166" fontId="7" fillId="0" borderId="12" xfId="0" applyNumberFormat="1" applyFont="1" applyBorder="1" applyAlignment="1">
      <alignment horizontal="center"/>
    </xf>
    <xf numFmtId="3" fontId="7" fillId="0" borderId="12" xfId="0" applyNumberFormat="1" applyFont="1" applyBorder="1" applyAlignment="1">
      <alignment horizontal="center"/>
    </xf>
    <xf numFmtId="4" fontId="7" fillId="0" borderId="12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" fillId="0" borderId="13" xfId="0" applyFont="1" applyBorder="1"/>
    <xf numFmtId="0" fontId="1" fillId="0" borderId="14" xfId="0" applyFont="1" applyBorder="1"/>
    <xf numFmtId="0" fontId="1" fillId="0" borderId="13" xfId="0" applyFont="1" applyBorder="1"/>
    <xf numFmtId="0" fontId="7" fillId="0" borderId="1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7" fillId="0" borderId="15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10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0" borderId="0" xfId="0" quotePrefix="1" applyFont="1" applyAlignment="1">
      <alignment horizontal="center" vertical="center"/>
    </xf>
    <xf numFmtId="0" fontId="7" fillId="0" borderId="0" xfId="0" quotePrefix="1" applyFont="1" applyAlignment="1">
      <alignment horizontal="center"/>
    </xf>
    <xf numFmtId="0" fontId="1" fillId="0" borderId="0" xfId="0" quotePrefix="1" applyFont="1" applyAlignment="1">
      <alignment horizontal="right"/>
    </xf>
    <xf numFmtId="164" fontId="7" fillId="0" borderId="0" xfId="0" applyNumberFormat="1" applyFont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1" fillId="0" borderId="0" xfId="0" applyFont="1" applyAlignment="1">
      <alignment horizontal="left" readingOrder="1"/>
    </xf>
    <xf numFmtId="0" fontId="15" fillId="0" borderId="0" xfId="0" applyFont="1"/>
    <xf numFmtId="0" fontId="1" fillId="0" borderId="0" xfId="0" applyFont="1" applyAlignment="1">
      <alignment horizontal="right"/>
    </xf>
    <xf numFmtId="169" fontId="1" fillId="0" borderId="12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11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10" xfId="0" quotePrefix="1" applyFont="1" applyBorder="1" applyAlignment="1">
      <alignment horizontal="center"/>
    </xf>
    <xf numFmtId="169" fontId="1" fillId="0" borderId="10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1" fontId="1" fillId="0" borderId="4" xfId="0" applyNumberFormat="1" applyFont="1" applyBorder="1" applyAlignment="1">
      <alignment horizontal="center"/>
    </xf>
    <xf numFmtId="0" fontId="1" fillId="0" borderId="12" xfId="0" applyFont="1" applyBorder="1"/>
    <xf numFmtId="0" fontId="1" fillId="0" borderId="10" xfId="0" applyFont="1" applyBorder="1" applyAlignment="1">
      <alignment horizontal="center"/>
    </xf>
    <xf numFmtId="0" fontId="1" fillId="0" borderId="15" xfId="0" applyFont="1" applyBorder="1"/>
    <xf numFmtId="0" fontId="1" fillId="9" borderId="10" xfId="0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9" fontId="1" fillId="0" borderId="0" xfId="0" applyNumberFormat="1" applyFont="1" applyAlignment="1">
      <alignment horizontal="center"/>
    </xf>
    <xf numFmtId="164" fontId="9" fillId="3" borderId="12" xfId="0" applyNumberFormat="1" applyFont="1" applyFill="1" applyBorder="1" applyAlignment="1">
      <alignment horizontal="center"/>
    </xf>
    <xf numFmtId="164" fontId="9" fillId="5" borderId="12" xfId="0" applyNumberFormat="1" applyFont="1" applyFill="1" applyBorder="1" applyAlignment="1">
      <alignment horizontal="center"/>
    </xf>
    <xf numFmtId="164" fontId="7" fillId="5" borderId="11" xfId="0" applyNumberFormat="1" applyFont="1" applyFill="1" applyBorder="1" applyAlignment="1">
      <alignment horizontal="center"/>
    </xf>
    <xf numFmtId="0" fontId="2" fillId="0" borderId="15" xfId="0" applyFont="1" applyBorder="1"/>
    <xf numFmtId="0" fontId="2" fillId="0" borderId="4" xfId="0" applyFont="1" applyBorder="1"/>
    <xf numFmtId="0" fontId="1" fillId="0" borderId="9" xfId="0" applyFont="1" applyBorder="1" applyAlignment="1">
      <alignment horizontal="center" vertical="center"/>
    </xf>
    <xf numFmtId="0" fontId="1" fillId="9" borderId="15" xfId="0" applyFont="1" applyFill="1" applyBorder="1" applyAlignment="1">
      <alignment horizontal="center"/>
    </xf>
    <xf numFmtId="0" fontId="2" fillId="0" borderId="14" xfId="0" applyFont="1" applyBorder="1"/>
    <xf numFmtId="169" fontId="1" fillId="0" borderId="13" xfId="0" applyNumberFormat="1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0" fontId="16" fillId="0" borderId="0" xfId="0" applyFont="1"/>
    <xf numFmtId="11" fontId="16" fillId="0" borderId="0" xfId="0" applyNumberFormat="1" applyFont="1"/>
    <xf numFmtId="4" fontId="16" fillId="0" borderId="0" xfId="0" applyNumberFormat="1" applyFont="1"/>
    <xf numFmtId="169" fontId="16" fillId="0" borderId="0" xfId="0" applyNumberFormat="1" applyFont="1"/>
    <xf numFmtId="164" fontId="16" fillId="0" borderId="0" xfId="0" applyNumberFormat="1" applyFont="1"/>
    <xf numFmtId="0" fontId="2" fillId="2" borderId="12" xfId="0" applyFont="1" applyFill="1" applyBorder="1" applyAlignment="1">
      <alignment horizontal="center" wrapText="1"/>
    </xf>
    <xf numFmtId="164" fontId="9" fillId="0" borderId="12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7" fillId="0" borderId="0" xfId="0" applyFont="1"/>
    <xf numFmtId="11" fontId="1" fillId="0" borderId="0" xfId="0" applyNumberFormat="1" applyFont="1"/>
    <xf numFmtId="0" fontId="7" fillId="0" borderId="19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2" xfId="0" quotePrefix="1" applyFont="1" applyBorder="1" applyAlignment="1">
      <alignment horizontal="center"/>
    </xf>
    <xf numFmtId="0" fontId="1" fillId="0" borderId="21" xfId="0" applyFont="1" applyBorder="1"/>
    <xf numFmtId="0" fontId="20" fillId="0" borderId="0" xfId="0" applyFont="1"/>
    <xf numFmtId="0" fontId="7" fillId="6" borderId="18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0" borderId="24" xfId="0" applyFont="1" applyBorder="1" applyAlignment="1">
      <alignment horizontal="center"/>
    </xf>
    <xf numFmtId="164" fontId="11" fillId="3" borderId="12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 vertical="center"/>
    </xf>
    <xf numFmtId="2" fontId="7" fillId="0" borderId="24" xfId="0" applyNumberFormat="1" applyFont="1" applyBorder="1" applyAlignment="1">
      <alignment horizontal="center"/>
    </xf>
    <xf numFmtId="0" fontId="20" fillId="10" borderId="0" xfId="0" applyFont="1" applyFill="1" applyAlignment="1">
      <alignment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20" fillId="10" borderId="0" xfId="0" applyFont="1" applyFill="1" applyAlignment="1">
      <alignment horizontal="center" wrapText="1"/>
    </xf>
    <xf numFmtId="0" fontId="20" fillId="0" borderId="0" xfId="0" applyFont="1" applyAlignment="1">
      <alignment wrapText="1"/>
    </xf>
    <xf numFmtId="0" fontId="7" fillId="0" borderId="21" xfId="0" applyFont="1" applyBorder="1"/>
    <xf numFmtId="0" fontId="7" fillId="0" borderId="20" xfId="0" applyFont="1" applyBorder="1"/>
    <xf numFmtId="0" fontId="7" fillId="0" borderId="28" xfId="0" applyFont="1" applyBorder="1"/>
    <xf numFmtId="0" fontId="1" fillId="0" borderId="27" xfId="0" applyFont="1" applyBorder="1"/>
    <xf numFmtId="0" fontId="1" fillId="0" borderId="28" xfId="0" applyFont="1" applyBorder="1"/>
    <xf numFmtId="0" fontId="0" fillId="0" borderId="29" xfId="0" applyBorder="1"/>
    <xf numFmtId="0" fontId="0" fillId="0" borderId="22" xfId="0" applyBorder="1"/>
    <xf numFmtId="0" fontId="1" fillId="0" borderId="29" xfId="0" applyFont="1" applyBorder="1"/>
    <xf numFmtId="0" fontId="1" fillId="0" borderId="22" xfId="0" quotePrefix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10" xfId="0" quotePrefix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/>
    </xf>
    <xf numFmtId="169" fontId="1" fillId="0" borderId="16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169" fontId="1" fillId="0" borderId="17" xfId="0" applyNumberFormat="1" applyFont="1" applyBorder="1" applyAlignment="1">
      <alignment horizontal="center"/>
    </xf>
    <xf numFmtId="0" fontId="1" fillId="0" borderId="22" xfId="0" applyFont="1" applyBorder="1"/>
    <xf numFmtId="0" fontId="1" fillId="0" borderId="30" xfId="0" applyFont="1" applyBorder="1"/>
    <xf numFmtId="164" fontId="1" fillId="0" borderId="22" xfId="0" applyNumberFormat="1" applyFont="1" applyBorder="1" applyAlignment="1">
      <alignment horizontal="center"/>
    </xf>
    <xf numFmtId="0" fontId="1" fillId="0" borderId="31" xfId="0" applyFont="1" applyBorder="1"/>
    <xf numFmtId="0" fontId="7" fillId="0" borderId="2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164" fontId="7" fillId="0" borderId="0" xfId="0" applyNumberFormat="1" applyFont="1"/>
    <xf numFmtId="0" fontId="2" fillId="2" borderId="16" xfId="0" applyFont="1" applyFill="1" applyBorder="1" applyAlignment="1">
      <alignment horizontal="center"/>
    </xf>
    <xf numFmtId="168" fontId="1" fillId="0" borderId="17" xfId="0" applyNumberFormat="1" applyFont="1" applyBorder="1" applyAlignment="1">
      <alignment horizontal="center"/>
    </xf>
    <xf numFmtId="167" fontId="1" fillId="0" borderId="17" xfId="0" applyNumberFormat="1" applyFont="1" applyBorder="1" applyAlignment="1">
      <alignment horizontal="center"/>
    </xf>
    <xf numFmtId="165" fontId="7" fillId="0" borderId="24" xfId="0" applyNumberFormat="1" applyFont="1" applyBorder="1" applyAlignment="1">
      <alignment horizontal="center" vertical="center"/>
    </xf>
    <xf numFmtId="167" fontId="7" fillId="0" borderId="24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7" fillId="0" borderId="22" xfId="0" applyFont="1" applyBorder="1"/>
    <xf numFmtId="0" fontId="1" fillId="0" borderId="22" xfId="0" applyFont="1" applyBorder="1" applyAlignment="1">
      <alignment horizontal="center" vertical="center"/>
    </xf>
    <xf numFmtId="164" fontId="7" fillId="0" borderId="22" xfId="0" applyNumberFormat="1" applyFont="1" applyBorder="1" applyAlignment="1">
      <alignment horizontal="center"/>
    </xf>
    <xf numFmtId="0" fontId="18" fillId="0" borderId="0" xfId="0" applyFont="1"/>
    <xf numFmtId="0" fontId="7" fillId="0" borderId="29" xfId="0" applyFont="1" applyBorder="1"/>
    <xf numFmtId="0" fontId="4" fillId="0" borderId="0" xfId="0" applyFont="1"/>
    <xf numFmtId="0" fontId="7" fillId="0" borderId="16" xfId="0" applyFont="1" applyBorder="1" applyAlignment="1">
      <alignment horizontal="center"/>
    </xf>
    <xf numFmtId="164" fontId="7" fillId="0" borderId="24" xfId="0" applyNumberFormat="1" applyFont="1" applyBorder="1"/>
    <xf numFmtId="0" fontId="7" fillId="0" borderId="1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164" fontId="7" fillId="0" borderId="24" xfId="0" applyNumberFormat="1" applyFont="1" applyBorder="1" applyAlignment="1">
      <alignment horizontal="center"/>
    </xf>
    <xf numFmtId="164" fontId="7" fillId="0" borderId="24" xfId="0" applyNumberFormat="1" applyFont="1" applyBorder="1" applyAlignment="1">
      <alignment horizontal="center" vertical="center"/>
    </xf>
    <xf numFmtId="0" fontId="21" fillId="3" borderId="12" xfId="0" applyFont="1" applyFill="1" applyBorder="1" applyAlignment="1">
      <alignment horizontal="center"/>
    </xf>
    <xf numFmtId="0" fontId="0" fillId="0" borderId="20" xfId="0" applyBorder="1"/>
    <xf numFmtId="0" fontId="1" fillId="12" borderId="13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1" fillId="13" borderId="1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0" xfId="0" applyFont="1" applyBorder="1"/>
    <xf numFmtId="0" fontId="1" fillId="0" borderId="22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36" xfId="0" applyFont="1" applyBorder="1" applyAlignment="1">
      <alignment horizontal="left"/>
    </xf>
    <xf numFmtId="0" fontId="0" fillId="0" borderId="21" xfId="0" applyBorder="1"/>
    <xf numFmtId="0" fontId="0" fillId="0" borderId="24" xfId="0" applyBorder="1"/>
    <xf numFmtId="0" fontId="20" fillId="14" borderId="0" xfId="0" applyFont="1" applyFill="1" applyAlignment="1">
      <alignment wrapText="1"/>
    </xf>
    <xf numFmtId="0" fontId="14" fillId="16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24" xfId="0" applyFont="1" applyBorder="1" applyAlignment="1">
      <alignment horizontal="center" vertical="center" wrapText="1"/>
    </xf>
    <xf numFmtId="11" fontId="7" fillId="0" borderId="24" xfId="0" applyNumberFormat="1" applyFont="1" applyBorder="1" applyAlignment="1">
      <alignment horizontal="center" wrapText="1"/>
    </xf>
    <xf numFmtId="11" fontId="7" fillId="0" borderId="24" xfId="0" applyNumberFormat="1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4" xfId="0" applyFont="1" applyBorder="1"/>
    <xf numFmtId="164" fontId="7" fillId="0" borderId="37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0" fontId="7" fillId="11" borderId="0" xfId="0" applyFont="1" applyFill="1"/>
    <xf numFmtId="164" fontId="7" fillId="11" borderId="0" xfId="0" applyNumberFormat="1" applyFont="1" applyFill="1"/>
    <xf numFmtId="0" fontId="7" fillId="0" borderId="40" xfId="0" applyFont="1" applyBorder="1" applyAlignment="1">
      <alignment horizontal="center" vertical="center"/>
    </xf>
    <xf numFmtId="0" fontId="2" fillId="8" borderId="0" xfId="0" applyFont="1" applyFill="1" applyAlignment="1">
      <alignment horizontal="left"/>
    </xf>
    <xf numFmtId="0" fontId="26" fillId="0" borderId="24" xfId="1" applyFont="1" applyBorder="1" applyAlignment="1">
      <alignment horizontal="center"/>
    </xf>
    <xf numFmtId="0" fontId="7" fillId="0" borderId="0" xfId="0" applyFont="1" applyAlignment="1">
      <alignment horizontal="right"/>
    </xf>
    <xf numFmtId="0" fontId="20" fillId="0" borderId="0" xfId="0" quotePrefix="1" applyFont="1"/>
    <xf numFmtId="2" fontId="7" fillId="0" borderId="24" xfId="0" applyNumberFormat="1" applyFont="1" applyBorder="1" applyAlignment="1">
      <alignment horizontal="center" wrapText="1"/>
    </xf>
    <xf numFmtId="165" fontId="7" fillId="0" borderId="24" xfId="0" applyNumberFormat="1" applyFont="1" applyBorder="1" applyAlignment="1">
      <alignment horizontal="center" wrapText="1"/>
    </xf>
    <xf numFmtId="0" fontId="14" fillId="16" borderId="24" xfId="0" applyFont="1" applyFill="1" applyBorder="1" applyAlignment="1">
      <alignment horizontal="center" vertical="center" wrapText="1"/>
    </xf>
    <xf numFmtId="0" fontId="7" fillId="0" borderId="0" xfId="0" quotePrefix="1" applyFont="1"/>
    <xf numFmtId="0" fontId="7" fillId="0" borderId="24" xfId="0" quotePrefix="1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166" fontId="21" fillId="0" borderId="12" xfId="0" applyNumberFormat="1" applyFont="1" applyBorder="1" applyAlignment="1">
      <alignment horizontal="center"/>
    </xf>
    <xf numFmtId="167" fontId="21" fillId="0" borderId="12" xfId="0" applyNumberFormat="1" applyFont="1" applyBorder="1" applyAlignment="1">
      <alignment horizontal="center"/>
    </xf>
    <xf numFmtId="167" fontId="7" fillId="0" borderId="37" xfId="0" applyNumberFormat="1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/>
    </xf>
    <xf numFmtId="167" fontId="1" fillId="0" borderId="13" xfId="0" applyNumberFormat="1" applyFont="1" applyBorder="1" applyAlignment="1">
      <alignment horizontal="center"/>
    </xf>
    <xf numFmtId="167" fontId="28" fillId="0" borderId="17" xfId="0" applyNumberFormat="1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right"/>
    </xf>
    <xf numFmtId="0" fontId="21" fillId="0" borderId="0" xfId="0" applyFont="1"/>
    <xf numFmtId="0" fontId="21" fillId="17" borderId="11" xfId="0" applyFont="1" applyFill="1" applyBorder="1" applyAlignment="1">
      <alignment horizontal="center"/>
    </xf>
    <xf numFmtId="0" fontId="21" fillId="0" borderId="11" xfId="0" applyFont="1" applyBorder="1" applyAlignment="1">
      <alignment horizontal="center"/>
    </xf>
    <xf numFmtId="164" fontId="21" fillId="0" borderId="11" xfId="0" applyNumberFormat="1" applyFont="1" applyBorder="1" applyAlignment="1">
      <alignment horizontal="center"/>
    </xf>
    <xf numFmtId="169" fontId="21" fillId="0" borderId="11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1" fillId="13" borderId="17" xfId="0" applyFont="1" applyFill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/>
    <xf numFmtId="164" fontId="21" fillId="0" borderId="24" xfId="0" applyNumberFormat="1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164" fontId="21" fillId="0" borderId="12" xfId="0" applyNumberFormat="1" applyFont="1" applyBorder="1" applyAlignment="1">
      <alignment horizontal="center"/>
    </xf>
    <xf numFmtId="0" fontId="21" fillId="0" borderId="13" xfId="0" quotePrefix="1" applyFont="1" applyBorder="1" applyAlignment="1">
      <alignment horizontal="center"/>
    </xf>
    <xf numFmtId="0" fontId="21" fillId="0" borderId="37" xfId="0" applyFont="1" applyBorder="1" applyAlignment="1">
      <alignment horizontal="center"/>
    </xf>
    <xf numFmtId="0" fontId="21" fillId="0" borderId="38" xfId="0" applyFont="1" applyBorder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quotePrefix="1" applyFont="1" applyAlignment="1">
      <alignment horizontal="center"/>
    </xf>
    <xf numFmtId="169" fontId="21" fillId="0" borderId="0" xfId="0" applyNumberFormat="1" applyFont="1" applyAlignment="1">
      <alignment horizontal="center"/>
    </xf>
    <xf numFmtId="0" fontId="21" fillId="0" borderId="0" xfId="0" quotePrefix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34" xfId="0" applyFont="1" applyBorder="1"/>
    <xf numFmtId="0" fontId="21" fillId="0" borderId="29" xfId="0" applyFont="1" applyBorder="1"/>
    <xf numFmtId="0" fontId="21" fillId="0" borderId="29" xfId="0" applyFont="1" applyBorder="1" applyAlignment="1">
      <alignment horizontal="center"/>
    </xf>
    <xf numFmtId="0" fontId="0" fillId="0" borderId="27" xfId="0" applyBorder="1"/>
    <xf numFmtId="0" fontId="21" fillId="0" borderId="21" xfId="0" applyFont="1" applyBorder="1" applyAlignment="1">
      <alignment horizontal="left"/>
    </xf>
    <xf numFmtId="0" fontId="21" fillId="0" borderId="21" xfId="0" applyFont="1" applyBorder="1"/>
    <xf numFmtId="0" fontId="21" fillId="0" borderId="21" xfId="0" applyFont="1" applyBorder="1" applyAlignment="1">
      <alignment horizontal="right"/>
    </xf>
    <xf numFmtId="0" fontId="21" fillId="0" borderId="21" xfId="0" applyFont="1" applyBorder="1" applyAlignment="1">
      <alignment horizontal="center"/>
    </xf>
    <xf numFmtId="0" fontId="21" fillId="0" borderId="35" xfId="0" applyFont="1" applyBorder="1" applyAlignment="1">
      <alignment horizontal="left"/>
    </xf>
    <xf numFmtId="0" fontId="21" fillId="0" borderId="22" xfId="0" quotePrefix="1" applyFont="1" applyBorder="1" applyAlignment="1">
      <alignment horizontal="center" vertical="center"/>
    </xf>
    <xf numFmtId="169" fontId="21" fillId="0" borderId="22" xfId="0" applyNumberFormat="1" applyFont="1" applyBorder="1" applyAlignment="1">
      <alignment horizontal="center"/>
    </xf>
    <xf numFmtId="0" fontId="21" fillId="0" borderId="22" xfId="0" applyFont="1" applyBorder="1"/>
    <xf numFmtId="0" fontId="21" fillId="0" borderId="22" xfId="0" applyFont="1" applyBorder="1" applyAlignment="1">
      <alignment horizontal="left"/>
    </xf>
    <xf numFmtId="0" fontId="0" fillId="0" borderId="28" xfId="0" applyBorder="1"/>
    <xf numFmtId="165" fontId="21" fillId="0" borderId="14" xfId="0" applyNumberFormat="1" applyFont="1" applyBorder="1" applyAlignment="1">
      <alignment horizontal="center"/>
    </xf>
    <xf numFmtId="0" fontId="21" fillId="19" borderId="12" xfId="0" applyFont="1" applyFill="1" applyBorder="1" applyAlignment="1">
      <alignment horizontal="center"/>
    </xf>
    <xf numFmtId="2" fontId="28" fillId="0" borderId="12" xfId="0" applyNumberFormat="1" applyFont="1" applyBorder="1" applyAlignment="1">
      <alignment horizontal="center"/>
    </xf>
    <xf numFmtId="168" fontId="28" fillId="0" borderId="12" xfId="0" applyNumberFormat="1" applyFont="1" applyBorder="1" applyAlignment="1">
      <alignment horizontal="center"/>
    </xf>
    <xf numFmtId="0" fontId="28" fillId="0" borderId="13" xfId="0" quotePrefix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0" fontId="1" fillId="0" borderId="16" xfId="0" quotePrefix="1" applyFont="1" applyBorder="1" applyAlignment="1">
      <alignment horizontal="center"/>
    </xf>
    <xf numFmtId="164" fontId="1" fillId="0" borderId="24" xfId="0" applyNumberFormat="1" applyFont="1" applyBorder="1" applyAlignment="1">
      <alignment horizontal="center" vertical="center"/>
    </xf>
    <xf numFmtId="0" fontId="1" fillId="0" borderId="24" xfId="0" quotePrefix="1" applyFont="1" applyBorder="1" applyAlignment="1">
      <alignment horizontal="center" vertical="center"/>
    </xf>
    <xf numFmtId="0" fontId="3" fillId="20" borderId="12" xfId="0" applyFont="1" applyFill="1" applyBorder="1"/>
    <xf numFmtId="0" fontId="3" fillId="21" borderId="12" xfId="0" applyFont="1" applyFill="1" applyBorder="1"/>
    <xf numFmtId="164" fontId="3" fillId="21" borderId="12" xfId="0" applyNumberFormat="1" applyFont="1" applyFill="1" applyBorder="1"/>
    <xf numFmtId="0" fontId="3" fillId="22" borderId="12" xfId="0" applyFont="1" applyFill="1" applyBorder="1"/>
    <xf numFmtId="0" fontId="1" fillId="23" borderId="24" xfId="0" applyFont="1" applyFill="1" applyBorder="1" applyAlignment="1">
      <alignment horizontal="center" vertical="center"/>
    </xf>
    <xf numFmtId="169" fontId="1" fillId="23" borderId="14" xfId="0" applyNumberFormat="1" applyFont="1" applyFill="1" applyBorder="1" applyAlignment="1">
      <alignment horizontal="center" vertical="center" wrapText="1"/>
    </xf>
    <xf numFmtId="169" fontId="1" fillId="23" borderId="12" xfId="0" applyNumberFormat="1" applyFont="1" applyFill="1" applyBorder="1" applyAlignment="1">
      <alignment horizontal="center" vertical="center" wrapText="1"/>
    </xf>
    <xf numFmtId="0" fontId="3" fillId="22" borderId="17" xfId="0" applyFont="1" applyFill="1" applyBorder="1" applyAlignment="1">
      <alignment horizontal="center" vertical="center"/>
    </xf>
    <xf numFmtId="0" fontId="3" fillId="22" borderId="12" xfId="0" applyFont="1" applyFill="1" applyBorder="1" applyAlignment="1">
      <alignment horizontal="center" vertical="center"/>
    </xf>
    <xf numFmtId="0" fontId="1" fillId="23" borderId="12" xfId="0" applyFont="1" applyFill="1" applyBorder="1" applyAlignment="1">
      <alignment horizontal="center" vertical="center"/>
    </xf>
    <xf numFmtId="0" fontId="3" fillId="22" borderId="12" xfId="0" applyFont="1" applyFill="1" applyBorder="1" applyAlignment="1">
      <alignment horizontal="center"/>
    </xf>
    <xf numFmtId="164" fontId="3" fillId="22" borderId="12" xfId="0" applyNumberFormat="1" applyFont="1" applyFill="1" applyBorder="1" applyAlignment="1">
      <alignment horizontal="center"/>
    </xf>
    <xf numFmtId="0" fontId="1" fillId="23" borderId="12" xfId="0" applyFont="1" applyFill="1" applyBorder="1" applyAlignment="1">
      <alignment horizontal="center" vertical="center" wrapText="1"/>
    </xf>
    <xf numFmtId="164" fontId="3" fillId="22" borderId="12" xfId="0" applyNumberFormat="1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/>
    </xf>
    <xf numFmtId="0" fontId="1" fillId="24" borderId="12" xfId="0" quotePrefix="1" applyFont="1" applyFill="1" applyBorder="1" applyAlignment="1">
      <alignment horizontal="center"/>
    </xf>
    <xf numFmtId="0" fontId="1" fillId="23" borderId="12" xfId="0" applyFont="1" applyFill="1" applyBorder="1" applyAlignment="1">
      <alignment horizontal="center"/>
    </xf>
    <xf numFmtId="0" fontId="1" fillId="23" borderId="12" xfId="0" applyFont="1" applyFill="1" applyBorder="1"/>
    <xf numFmtId="0" fontId="1" fillId="6" borderId="12" xfId="0" applyFont="1" applyFill="1" applyBorder="1" applyAlignment="1">
      <alignment horizontal="center" vertical="center"/>
    </xf>
    <xf numFmtId="164" fontId="1" fillId="23" borderId="12" xfId="0" applyNumberFormat="1" applyFont="1" applyFill="1" applyBorder="1" applyAlignment="1">
      <alignment horizontal="center" vertical="center"/>
    </xf>
    <xf numFmtId="0" fontId="1" fillId="23" borderId="12" xfId="0" applyFont="1" applyFill="1" applyBorder="1" applyAlignment="1">
      <alignment horizontal="left"/>
    </xf>
    <xf numFmtId="164" fontId="1" fillId="23" borderId="12" xfId="0" applyNumberFormat="1" applyFont="1" applyFill="1" applyBorder="1" applyAlignment="1">
      <alignment horizontal="center"/>
    </xf>
    <xf numFmtId="167" fontId="1" fillId="23" borderId="12" xfId="0" applyNumberFormat="1" applyFont="1" applyFill="1" applyBorder="1" applyAlignment="1">
      <alignment horizontal="center"/>
    </xf>
    <xf numFmtId="171" fontId="1" fillId="23" borderId="12" xfId="0" applyNumberFormat="1" applyFont="1" applyFill="1" applyBorder="1" applyAlignment="1">
      <alignment horizontal="center"/>
    </xf>
    <xf numFmtId="1" fontId="1" fillId="23" borderId="12" xfId="0" applyNumberFormat="1" applyFont="1" applyFill="1" applyBorder="1" applyAlignment="1">
      <alignment horizontal="center"/>
    </xf>
    <xf numFmtId="0" fontId="1" fillId="24" borderId="12" xfId="0" quotePrefix="1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24" borderId="24" xfId="0" quotePrefix="1" applyFont="1" applyFill="1" applyBorder="1" applyAlignment="1">
      <alignment horizontal="center" vertical="center"/>
    </xf>
    <xf numFmtId="164" fontId="1" fillId="23" borderId="24" xfId="0" applyNumberFormat="1" applyFont="1" applyFill="1" applyBorder="1" applyAlignment="1">
      <alignment horizontal="center" vertical="center"/>
    </xf>
    <xf numFmtId="0" fontId="1" fillId="23" borderId="24" xfId="0" applyFont="1" applyFill="1" applyBorder="1"/>
    <xf numFmtId="16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right"/>
    </xf>
    <xf numFmtId="164" fontId="7" fillId="11" borderId="0" xfId="0" applyNumberFormat="1" applyFont="1" applyFill="1" applyAlignment="1">
      <alignment horizontal="right"/>
    </xf>
    <xf numFmtId="0" fontId="7" fillId="0" borderId="41" xfId="0" applyFont="1" applyBorder="1" applyAlignment="1">
      <alignment horizontal="center" vertical="center"/>
    </xf>
    <xf numFmtId="167" fontId="7" fillId="0" borderId="40" xfId="0" applyNumberFormat="1" applyFont="1" applyBorder="1" applyAlignment="1">
      <alignment horizontal="center" vertical="center"/>
    </xf>
    <xf numFmtId="167" fontId="7" fillId="0" borderId="41" xfId="0" applyNumberFormat="1" applyFont="1" applyBorder="1" applyAlignment="1">
      <alignment horizontal="center" vertical="center"/>
    </xf>
    <xf numFmtId="167" fontId="7" fillId="0" borderId="24" xfId="0" applyNumberFormat="1" applyFont="1" applyBorder="1" applyAlignment="1">
      <alignment horizontal="center" vertical="center" wrapText="1"/>
    </xf>
    <xf numFmtId="165" fontId="7" fillId="0" borderId="12" xfId="0" applyNumberFormat="1" applyFont="1" applyBorder="1" applyAlignment="1">
      <alignment horizontal="center"/>
    </xf>
    <xf numFmtId="0" fontId="7" fillId="10" borderId="0" xfId="0" applyFont="1" applyFill="1"/>
    <xf numFmtId="164" fontId="7" fillId="10" borderId="0" xfId="0" applyNumberFormat="1" applyFont="1" applyFill="1"/>
    <xf numFmtId="0" fontId="7" fillId="10" borderId="0" xfId="0" quotePrefix="1" applyFont="1" applyFill="1"/>
    <xf numFmtId="0" fontId="7" fillId="25" borderId="0" xfId="0" applyFont="1" applyFill="1"/>
    <xf numFmtId="0" fontId="7" fillId="26" borderId="24" xfId="0" applyFont="1" applyFill="1" applyBorder="1" applyAlignment="1">
      <alignment horizontal="center" vertical="center"/>
    </xf>
    <xf numFmtId="0" fontId="7" fillId="26" borderId="0" xfId="0" applyFont="1" applyFill="1"/>
    <xf numFmtId="165" fontId="7" fillId="26" borderId="0" xfId="0" applyNumberFormat="1" applyFont="1" applyFill="1"/>
    <xf numFmtId="0" fontId="20" fillId="26" borderId="0" xfId="0" quotePrefix="1" applyFont="1" applyFill="1"/>
    <xf numFmtId="164" fontId="7" fillId="26" borderId="0" xfId="0" applyNumberFormat="1" applyFont="1" applyFill="1"/>
    <xf numFmtId="0" fontId="20" fillId="0" borderId="0" xfId="0" quotePrefix="1" applyFont="1" applyAlignment="1">
      <alignment horizontal="center" vertical="center"/>
    </xf>
    <xf numFmtId="0" fontId="7" fillId="10" borderId="0" xfId="0" applyFont="1" applyFill="1" applyAlignment="1">
      <alignment horizontal="center"/>
    </xf>
    <xf numFmtId="0" fontId="20" fillId="10" borderId="0" xfId="0" quotePrefix="1" applyFont="1" applyFill="1" applyAlignment="1">
      <alignment horizontal="center"/>
    </xf>
    <xf numFmtId="0" fontId="7" fillId="25" borderId="24" xfId="0" applyFont="1" applyFill="1" applyBorder="1" applyAlignment="1">
      <alignment horizontal="center" vertical="center"/>
    </xf>
    <xf numFmtId="0" fontId="7" fillId="12" borderId="0" xfId="0" applyFont="1" applyFill="1"/>
    <xf numFmtId="164" fontId="7" fillId="12" borderId="0" xfId="0" applyNumberFormat="1" applyFont="1" applyFill="1"/>
    <xf numFmtId="0" fontId="7" fillId="12" borderId="24" xfId="0" applyFont="1" applyFill="1" applyBorder="1" applyAlignment="1">
      <alignment horizontal="center" vertical="center"/>
    </xf>
    <xf numFmtId="0" fontId="7" fillId="12" borderId="0" xfId="0" applyFont="1" applyFill="1" applyAlignment="1">
      <alignment horizontal="center"/>
    </xf>
    <xf numFmtId="166" fontId="1" fillId="0" borderId="13" xfId="0" applyNumberFormat="1" applyFont="1" applyBorder="1" applyAlignment="1">
      <alignment horizontal="center"/>
    </xf>
    <xf numFmtId="0" fontId="7" fillId="0" borderId="37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4" fillId="0" borderId="5" xfId="0" applyFont="1" applyBorder="1"/>
    <xf numFmtId="0" fontId="2" fillId="0" borderId="7" xfId="0" applyFont="1" applyBorder="1" applyAlignment="1">
      <alignment horizontal="center"/>
    </xf>
    <xf numFmtId="0" fontId="4" fillId="0" borderId="8" xfId="0" applyFont="1" applyBorder="1"/>
    <xf numFmtId="0" fontId="1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7" xfId="0" applyFont="1" applyBorder="1"/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14" xfId="0" applyFont="1" applyBorder="1"/>
    <xf numFmtId="0" fontId="1" fillId="2" borderId="13" xfId="0" applyFont="1" applyFill="1" applyBorder="1" applyAlignment="1">
      <alignment horizontal="center" vertical="center"/>
    </xf>
    <xf numFmtId="0" fontId="4" fillId="0" borderId="15" xfId="0" applyFont="1" applyBorder="1"/>
    <xf numFmtId="0" fontId="1" fillId="5" borderId="16" xfId="0" applyFont="1" applyFill="1" applyBorder="1" applyAlignment="1">
      <alignment horizontal="center" vertical="center"/>
    </xf>
    <xf numFmtId="0" fontId="4" fillId="0" borderId="18" xfId="0" applyFont="1" applyBorder="1"/>
    <xf numFmtId="0" fontId="4" fillId="0" borderId="17" xfId="0" applyFont="1" applyBorder="1"/>
    <xf numFmtId="0" fontId="1" fillId="5" borderId="18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" fillId="0" borderId="11" xfId="0" applyFont="1" applyBorder="1"/>
    <xf numFmtId="0" fontId="7" fillId="0" borderId="14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4" fillId="0" borderId="10" xfId="0" applyFont="1" applyBorder="1"/>
    <xf numFmtId="0" fontId="1" fillId="0" borderId="13" xfId="0" applyFont="1" applyBorder="1" applyAlignment="1">
      <alignment horizontal="center"/>
    </xf>
    <xf numFmtId="0" fontId="1" fillId="2" borderId="13" xfId="0" applyFont="1" applyFill="1" applyBorder="1"/>
    <xf numFmtId="0" fontId="7" fillId="2" borderId="13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7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8" borderId="0" xfId="0" applyFont="1" applyFill="1"/>
    <xf numFmtId="0" fontId="2" fillId="8" borderId="0" xfId="0" applyFont="1" applyFill="1"/>
    <xf numFmtId="0" fontId="1" fillId="8" borderId="0" xfId="0" applyFont="1" applyFill="1"/>
    <xf numFmtId="0" fontId="12" fillId="8" borderId="0" xfId="0" applyFont="1" applyFill="1"/>
    <xf numFmtId="0" fontId="1" fillId="0" borderId="16" xfId="0" applyFont="1" applyBorder="1" applyAlignment="1">
      <alignment horizontal="center" vertical="center"/>
    </xf>
    <xf numFmtId="0" fontId="14" fillId="0" borderId="0" xfId="0" applyFont="1" applyAlignment="1">
      <alignment wrapText="1"/>
    </xf>
    <xf numFmtId="0" fontId="14" fillId="15" borderId="0" xfId="0" applyFont="1" applyFill="1" applyAlignment="1">
      <alignment wrapText="1"/>
    </xf>
    <xf numFmtId="0" fontId="7" fillId="0" borderId="0" xfId="0" applyFont="1" applyAlignment="1">
      <alignment horizontal="left" vertical="center" wrapText="1"/>
    </xf>
    <xf numFmtId="0" fontId="20" fillId="14" borderId="0" xfId="0" applyFont="1" applyFill="1" applyAlignment="1">
      <alignment horizontal="center" wrapText="1"/>
    </xf>
    <xf numFmtId="0" fontId="14" fillId="15" borderId="0" xfId="0" applyFont="1" applyFill="1" applyAlignment="1">
      <alignment horizontal="left" wrapText="1"/>
    </xf>
    <xf numFmtId="0" fontId="14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/>
    </xf>
    <xf numFmtId="0" fontId="2" fillId="8" borderId="0" xfId="0" applyFont="1" applyFill="1" applyAlignment="1">
      <alignment horizontal="left"/>
    </xf>
    <xf numFmtId="0" fontId="20" fillId="10" borderId="0" xfId="0" applyFont="1" applyFill="1" applyAlignment="1">
      <alignment horizontal="center" wrapText="1"/>
    </xf>
    <xf numFmtId="0" fontId="1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4" fillId="0" borderId="3" xfId="0" applyFont="1" applyBorder="1"/>
    <xf numFmtId="0" fontId="0" fillId="0" borderId="0" xfId="0" applyAlignment="1">
      <alignment vertical="center"/>
    </xf>
    <xf numFmtId="164" fontId="1" fillId="13" borderId="13" xfId="0" applyNumberFormat="1" applyFont="1" applyFill="1" applyBorder="1" applyAlignment="1">
      <alignment horizontal="center"/>
    </xf>
    <xf numFmtId="0" fontId="18" fillId="13" borderId="14" xfId="0" applyFont="1" applyFill="1" applyBorder="1"/>
    <xf numFmtId="0" fontId="1" fillId="0" borderId="0" xfId="0" applyFont="1" applyAlignment="1">
      <alignment horizontal="right" vertical="center"/>
    </xf>
    <xf numFmtId="0" fontId="18" fillId="0" borderId="0" xfId="0" applyFont="1"/>
    <xf numFmtId="0" fontId="7" fillId="0" borderId="0" xfId="0" applyFont="1"/>
    <xf numFmtId="0" fontId="1" fillId="0" borderId="20" xfId="0" applyFont="1" applyBorder="1" applyAlignment="1">
      <alignment horizontal="center"/>
    </xf>
    <xf numFmtId="0" fontId="4" fillId="0" borderId="0" xfId="0" applyFont="1"/>
    <xf numFmtId="0" fontId="14" fillId="0" borderId="0" xfId="0" applyFont="1" applyAlignment="1">
      <alignment horizontal="center"/>
    </xf>
    <xf numFmtId="0" fontId="2" fillId="0" borderId="13" xfId="0" applyFont="1" applyBorder="1"/>
    <xf numFmtId="0" fontId="1" fillId="0" borderId="1" xfId="0" applyFont="1" applyBorder="1" applyAlignment="1">
      <alignment vertical="center"/>
    </xf>
    <xf numFmtId="0" fontId="4" fillId="0" borderId="4" xfId="0" applyFont="1" applyBorder="1"/>
    <xf numFmtId="0" fontId="4" fillId="0" borderId="9" xfId="0" applyFont="1" applyBorder="1"/>
    <xf numFmtId="0" fontId="1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8" fillId="12" borderId="14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 vertical="center"/>
    </xf>
    <xf numFmtId="0" fontId="18" fillId="12" borderId="17" xfId="0" applyFont="1" applyFill="1" applyBorder="1"/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18" fillId="12" borderId="14" xfId="0" applyFont="1" applyFill="1" applyBorder="1"/>
    <xf numFmtId="0" fontId="1" fillId="0" borderId="5" xfId="0" applyFont="1" applyBorder="1" applyAlignment="1">
      <alignment horizontal="center"/>
    </xf>
    <xf numFmtId="170" fontId="1" fillId="0" borderId="0" xfId="0" applyNumberFormat="1" applyFont="1" applyAlignment="1">
      <alignment horizontal="center"/>
    </xf>
    <xf numFmtId="170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13" borderId="1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13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21" fillId="3" borderId="10" xfId="0" applyFont="1" applyFill="1" applyBorder="1" applyAlignment="1">
      <alignment horizontal="left"/>
    </xf>
    <xf numFmtId="0" fontId="22" fillId="0" borderId="10" xfId="0" applyFont="1" applyBorder="1"/>
    <xf numFmtId="0" fontId="22" fillId="0" borderId="11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10" xfId="0" applyFont="1" applyBorder="1"/>
    <xf numFmtId="0" fontId="4" fillId="0" borderId="2" xfId="0" applyFont="1" applyBorder="1"/>
    <xf numFmtId="0" fontId="1" fillId="0" borderId="29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2" xfId="0" applyFont="1" applyBorder="1"/>
    <xf numFmtId="0" fontId="18" fillId="13" borderId="15" xfId="0" applyFont="1" applyFill="1" applyBorder="1"/>
    <xf numFmtId="0" fontId="7" fillId="3" borderId="10" xfId="0" applyFont="1" applyFill="1" applyBorder="1" applyAlignment="1">
      <alignment horizontal="left"/>
    </xf>
    <xf numFmtId="0" fontId="24" fillId="0" borderId="10" xfId="0" applyFont="1" applyBorder="1"/>
    <xf numFmtId="0" fontId="24" fillId="0" borderId="11" xfId="0" applyFont="1" applyBorder="1"/>
    <xf numFmtId="0" fontId="18" fillId="12" borderId="15" xfId="0" applyFont="1" applyFill="1" applyBorder="1"/>
    <xf numFmtId="0" fontId="7" fillId="0" borderId="37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1" fillId="0" borderId="13" xfId="0" applyFont="1" applyBorder="1" applyAlignment="1">
      <alignment vertical="center"/>
    </xf>
    <xf numFmtId="164" fontId="18" fillId="13" borderId="14" xfId="0" applyNumberFormat="1" applyFont="1" applyFill="1" applyBorder="1"/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1" fillId="12" borderId="14" xfId="0" applyFont="1" applyFill="1" applyBorder="1" applyAlignment="1">
      <alignment horizontal="center"/>
    </xf>
    <xf numFmtId="0" fontId="1" fillId="12" borderId="17" xfId="0" applyFont="1" applyFill="1" applyBorder="1" applyAlignment="1">
      <alignment horizontal="center" vertical="center"/>
    </xf>
    <xf numFmtId="0" fontId="4" fillId="13" borderId="14" xfId="0" applyFont="1" applyFill="1" applyBorder="1"/>
    <xf numFmtId="0" fontId="4" fillId="12" borderId="17" xfId="0" applyFont="1" applyFill="1" applyBorder="1"/>
    <xf numFmtId="0" fontId="4" fillId="12" borderId="14" xfId="0" applyFont="1" applyFill="1" applyBorder="1"/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21" fillId="17" borderId="15" xfId="0" applyFont="1" applyFill="1" applyBorder="1" applyAlignment="1">
      <alignment horizontal="center"/>
    </xf>
    <xf numFmtId="0" fontId="22" fillId="0" borderId="14" xfId="0" applyFont="1" applyBorder="1"/>
    <xf numFmtId="164" fontId="21" fillId="18" borderId="10" xfId="0" applyNumberFormat="1" applyFont="1" applyFill="1" applyBorder="1" applyAlignment="1">
      <alignment horizontal="center"/>
    </xf>
    <xf numFmtId="0" fontId="1" fillId="13" borderId="9" xfId="0" applyFont="1" applyFill="1" applyBorder="1" applyAlignment="1">
      <alignment horizontal="center"/>
    </xf>
    <xf numFmtId="0" fontId="1" fillId="13" borderId="11" xfId="0" applyFont="1" applyFill="1" applyBorder="1" applyAlignment="1">
      <alignment horizontal="center"/>
    </xf>
    <xf numFmtId="164" fontId="1" fillId="13" borderId="9" xfId="0" applyNumberFormat="1" applyFont="1" applyFill="1" applyBorder="1" applyAlignment="1">
      <alignment horizontal="center"/>
    </xf>
    <xf numFmtId="164" fontId="1" fillId="13" borderId="11" xfId="0" applyNumberFormat="1" applyFont="1" applyFill="1" applyBorder="1" applyAlignment="1">
      <alignment horizontal="center"/>
    </xf>
    <xf numFmtId="0" fontId="21" fillId="0" borderId="21" xfId="0" applyFont="1" applyBorder="1"/>
    <xf numFmtId="0" fontId="29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1" fillId="0" borderId="0" xfId="0" applyFont="1"/>
    <xf numFmtId="0" fontId="3" fillId="0" borderId="0" xfId="0" applyFont="1"/>
    <xf numFmtId="0" fontId="1" fillId="23" borderId="13" xfId="0" applyFont="1" applyFill="1" applyBorder="1" applyAlignment="1">
      <alignment horizontal="center"/>
    </xf>
    <xf numFmtId="0" fontId="18" fillId="0" borderId="14" xfId="0" applyFont="1" applyBorder="1"/>
    <xf numFmtId="0" fontId="7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/>
    </xf>
    <xf numFmtId="164" fontId="7" fillId="0" borderId="24" xfId="0" quotePrefix="1" applyNumberFormat="1" applyFont="1" applyBorder="1" applyAlignment="1">
      <alignment horizontal="center"/>
    </xf>
    <xf numFmtId="164" fontId="7" fillId="0" borderId="24" xfId="0" applyNumberFormat="1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21" fillId="27" borderId="16" xfId="0" applyFont="1" applyFill="1" applyBorder="1" applyAlignment="1">
      <alignment horizontal="center"/>
    </xf>
    <xf numFmtId="0" fontId="21" fillId="27" borderId="1" xfId="0" quotePrefix="1" applyFont="1" applyFill="1" applyBorder="1" applyAlignment="1">
      <alignment horizontal="center"/>
    </xf>
    <xf numFmtId="164" fontId="21" fillId="27" borderId="1" xfId="0" applyNumberFormat="1" applyFont="1" applyFill="1" applyBorder="1" applyAlignment="1">
      <alignment horizontal="center"/>
    </xf>
    <xf numFmtId="0" fontId="21" fillId="27" borderId="2" xfId="0" applyFont="1" applyFill="1" applyBorder="1" applyAlignment="1">
      <alignment horizontal="center"/>
    </xf>
    <xf numFmtId="0" fontId="28" fillId="27" borderId="12" xfId="0" applyFont="1" applyFill="1" applyBorder="1" applyAlignment="1">
      <alignment horizontal="center" vertical="top"/>
    </xf>
    <xf numFmtId="0" fontId="28" fillId="27" borderId="13" xfId="0" quotePrefix="1" applyFont="1" applyFill="1" applyBorder="1" applyAlignment="1">
      <alignment horizontal="center" vertical="top"/>
    </xf>
    <xf numFmtId="164" fontId="21" fillId="27" borderId="37" xfId="0" applyNumberFormat="1" applyFont="1" applyFill="1" applyBorder="1" applyAlignment="1">
      <alignment horizontal="center" vertical="top"/>
    </xf>
    <xf numFmtId="0" fontId="28" fillId="27" borderId="38" xfId="0" applyFont="1" applyFill="1" applyBorder="1"/>
    <xf numFmtId="0" fontId="21" fillId="27" borderId="14" xfId="0" applyFont="1" applyFill="1" applyBorder="1"/>
    <xf numFmtId="0" fontId="21" fillId="28" borderId="12" xfId="0" applyFont="1" applyFill="1" applyBorder="1" applyAlignment="1">
      <alignment horizontal="center"/>
    </xf>
    <xf numFmtId="0" fontId="21" fillId="28" borderId="13" xfId="0" quotePrefix="1" applyFont="1" applyFill="1" applyBorder="1" applyAlignment="1">
      <alignment horizontal="center"/>
    </xf>
    <xf numFmtId="164" fontId="21" fillId="28" borderId="35" xfId="0" applyNumberFormat="1" applyFont="1" applyFill="1" applyBorder="1" applyAlignment="1">
      <alignment horizontal="center"/>
    </xf>
    <xf numFmtId="0" fontId="21" fillId="28" borderId="28" xfId="0" applyFont="1" applyFill="1" applyBorder="1"/>
    <xf numFmtId="0" fontId="1" fillId="0" borderId="14" xfId="0" quotePrefix="1" applyFont="1" applyBorder="1" applyAlignment="1">
      <alignment horizontal="center"/>
    </xf>
    <xf numFmtId="0" fontId="1" fillId="0" borderId="12" xfId="0" quotePrefix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800100</xdr:colOff>
      <xdr:row>3</xdr:row>
      <xdr:rowOff>38100</xdr:rowOff>
    </xdr:from>
    <xdr:ext cx="5133975" cy="12477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0</xdr:colOff>
      <xdr:row>6</xdr:row>
      <xdr:rowOff>0</xdr:rowOff>
    </xdr:from>
    <xdr:ext cx="19050" cy="438150"/>
    <xdr:pic>
      <xdr:nvPicPr>
        <xdr:cNvPr id="100" name="image13.png" title="Image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14</xdr:row>
      <xdr:rowOff>146628</xdr:rowOff>
    </xdr:from>
    <xdr:ext cx="3219450" cy="1390650"/>
    <xdr:grpSp>
      <xdr:nvGrpSpPr>
        <xdr:cNvPr id="105" name="Shape 2" title="Drawing">
          <a:extLst>
            <a:ext uri="{FF2B5EF4-FFF2-40B4-BE49-F238E27FC236}">
              <a16:creationId xmlns:a16="http://schemas.microsoft.com/office/drawing/2014/main" id="{1EC95F8B-40E2-4725-B8D5-01B5270BDDA0}"/>
            </a:ext>
          </a:extLst>
        </xdr:cNvPr>
        <xdr:cNvGrpSpPr/>
      </xdr:nvGrpSpPr>
      <xdr:grpSpPr>
        <a:xfrm>
          <a:off x="114300" y="2813628"/>
          <a:ext cx="3219450" cy="1390650"/>
          <a:chOff x="2561150" y="1008725"/>
          <a:chExt cx="3202200" cy="1371000"/>
        </a:xfrm>
      </xdr:grpSpPr>
      <xdr:sp macro="" textlink="">
        <xdr:nvSpPr>
          <xdr:cNvPr id="106" name="Shape 3">
            <a:extLst>
              <a:ext uri="{FF2B5EF4-FFF2-40B4-BE49-F238E27FC236}">
                <a16:creationId xmlns:a16="http://schemas.microsoft.com/office/drawing/2014/main" id="{F30C9660-18BA-8B35-0AEF-AFB6CDA34736}"/>
              </a:ext>
            </a:extLst>
          </xdr:cNvPr>
          <xdr:cNvSpPr/>
        </xdr:nvSpPr>
        <xdr:spPr>
          <a:xfrm>
            <a:off x="2561150" y="1008725"/>
            <a:ext cx="3202200" cy="13710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07" name="Shape 4">
            <a:extLst>
              <a:ext uri="{FF2B5EF4-FFF2-40B4-BE49-F238E27FC236}">
                <a16:creationId xmlns:a16="http://schemas.microsoft.com/office/drawing/2014/main" id="{8F3C5F3B-00AE-D29D-F7B2-7AE72D607705}"/>
              </a:ext>
            </a:extLst>
          </xdr:cNvPr>
          <xdr:cNvSpPr txBox="1"/>
        </xdr:nvSpPr>
        <xdr:spPr>
          <a:xfrm>
            <a:off x="2876300" y="1357925"/>
            <a:ext cx="2571900" cy="6726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300" b="1">
                <a:latin typeface="Times New Roman"/>
                <a:ea typeface="Times New Roman"/>
                <a:cs typeface="Times New Roman"/>
                <a:sym typeface="Times New Roman"/>
              </a:rPr>
              <a:t>Storage Tank AM</a:t>
            </a:r>
            <a:endParaRPr sz="2300" b="1">
              <a:latin typeface="Times New Roman"/>
              <a:ea typeface="Times New Roman"/>
              <a:cs typeface="Times New Roman"/>
              <a:sym typeface="Times New Roman"/>
            </a:endParaRPr>
          </a:p>
        </xdr:txBody>
      </xdr:sp>
    </xdr:grpSp>
    <xdr:clientData fLocksWithSheet="0"/>
  </xdr:oneCellAnchor>
  <xdr:oneCellAnchor>
    <xdr:from>
      <xdr:col>7</xdr:col>
      <xdr:colOff>698500</xdr:colOff>
      <xdr:row>14</xdr:row>
      <xdr:rowOff>146628</xdr:rowOff>
    </xdr:from>
    <xdr:ext cx="2624570" cy="1369868"/>
    <xdr:sp macro="" textlink="">
      <xdr:nvSpPr>
        <xdr:cNvPr id="108" name="Shape 5">
          <a:extLst>
            <a:ext uri="{FF2B5EF4-FFF2-40B4-BE49-F238E27FC236}">
              <a16:creationId xmlns:a16="http://schemas.microsoft.com/office/drawing/2014/main" id="{1F9B5876-1A27-4CBD-9594-192ACC9BFEC1}"/>
            </a:ext>
          </a:extLst>
        </xdr:cNvPr>
        <xdr:cNvSpPr/>
      </xdr:nvSpPr>
      <xdr:spPr>
        <a:xfrm>
          <a:off x="7099300" y="2991428"/>
          <a:ext cx="2624570" cy="1369868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Times New Roman" panose="02020603050405020304" pitchFamily="18" charset="0"/>
              <a:cs typeface="Times New Roman" panose="02020603050405020304" pitchFamily="18" charset="0"/>
            </a:rPr>
            <a:t>Heater</a:t>
          </a:r>
          <a:r>
            <a: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1</a:t>
          </a:r>
          <a:endParaRPr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/>
  </xdr:oneCellAnchor>
  <xdr:oneCellAnchor>
    <xdr:from>
      <xdr:col>15</xdr:col>
      <xdr:colOff>178858</xdr:colOff>
      <xdr:row>14</xdr:row>
      <xdr:rowOff>139700</xdr:rowOff>
    </xdr:from>
    <xdr:ext cx="2362200" cy="1400175"/>
    <xdr:grpSp>
      <xdr:nvGrpSpPr>
        <xdr:cNvPr id="109" name="Shape 2" title="Drawing">
          <a:extLst>
            <a:ext uri="{FF2B5EF4-FFF2-40B4-BE49-F238E27FC236}">
              <a16:creationId xmlns:a16="http://schemas.microsoft.com/office/drawing/2014/main" id="{2133804E-4A70-4CBF-BF23-ECBBDD4F41F1}"/>
            </a:ext>
          </a:extLst>
        </xdr:cNvPr>
        <xdr:cNvGrpSpPr/>
      </xdr:nvGrpSpPr>
      <xdr:grpSpPr>
        <a:xfrm>
          <a:off x="13971058" y="2806700"/>
          <a:ext cx="2362200" cy="1400175"/>
          <a:chOff x="2751300" y="70474"/>
          <a:chExt cx="2531700" cy="1531200"/>
        </a:xfrm>
      </xdr:grpSpPr>
      <xdr:sp macro="" textlink="">
        <xdr:nvSpPr>
          <xdr:cNvPr id="110" name="Shape 7">
            <a:extLst>
              <a:ext uri="{FF2B5EF4-FFF2-40B4-BE49-F238E27FC236}">
                <a16:creationId xmlns:a16="http://schemas.microsoft.com/office/drawing/2014/main" id="{F51D7B8C-2258-58DE-D7F0-97A8B9C14E85}"/>
              </a:ext>
            </a:extLst>
          </xdr:cNvPr>
          <xdr:cNvSpPr/>
        </xdr:nvSpPr>
        <xdr:spPr>
          <a:xfrm>
            <a:off x="2751300" y="70474"/>
            <a:ext cx="2531700" cy="15312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11" name="Shape 8">
            <a:extLst>
              <a:ext uri="{FF2B5EF4-FFF2-40B4-BE49-F238E27FC236}">
                <a16:creationId xmlns:a16="http://schemas.microsoft.com/office/drawing/2014/main" id="{E73DB171-A517-E490-ACEF-7390232DE5F9}"/>
              </a:ext>
            </a:extLst>
          </xdr:cNvPr>
          <xdr:cNvSpPr txBox="1"/>
        </xdr:nvSpPr>
        <xdr:spPr>
          <a:xfrm>
            <a:off x="3401750" y="538375"/>
            <a:ext cx="1300800" cy="6726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300" b="1">
                <a:latin typeface="Times New Roman"/>
                <a:ea typeface="Times New Roman"/>
                <a:cs typeface="Times New Roman"/>
                <a:sym typeface="Times New Roman"/>
              </a:rPr>
              <a:t>Reactor</a:t>
            </a:r>
            <a:endParaRPr sz="2300" b="1">
              <a:latin typeface="Times New Roman"/>
              <a:ea typeface="Times New Roman"/>
              <a:cs typeface="Times New Roman"/>
              <a:sym typeface="Times New Roman"/>
            </a:endParaRPr>
          </a:p>
        </xdr:txBody>
      </xdr:sp>
    </xdr:grpSp>
    <xdr:clientData fLocksWithSheet="0"/>
  </xdr:oneCellAnchor>
  <xdr:twoCellAnchor>
    <xdr:from>
      <xdr:col>3</xdr:col>
      <xdr:colOff>761423</xdr:colOff>
      <xdr:row>17</xdr:row>
      <xdr:rowOff>197331</xdr:rowOff>
    </xdr:from>
    <xdr:to>
      <xdr:col>7</xdr:col>
      <xdr:colOff>698500</xdr:colOff>
      <xdr:row>18</xdr:row>
      <xdr:rowOff>4522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7D65525F-0990-4A17-8E77-D47F7E01E48F}"/>
            </a:ext>
          </a:extLst>
        </xdr:cNvPr>
        <xdr:cNvCxnSpPr>
          <a:stCxn id="106" idx="3"/>
          <a:endCxn id="108" idx="1"/>
        </xdr:cNvCxnSpPr>
      </xdr:nvCxnSpPr>
      <xdr:spPr>
        <a:xfrm flipV="1">
          <a:off x="3352223" y="3651731"/>
          <a:ext cx="3747077" cy="1039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750743</xdr:colOff>
      <xdr:row>17</xdr:row>
      <xdr:rowOff>197331</xdr:rowOff>
    </xdr:from>
    <xdr:to>
      <xdr:col>15</xdr:col>
      <xdr:colOff>178858</xdr:colOff>
      <xdr:row>18</xdr:row>
      <xdr:rowOff>2357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6ED64234-0407-4582-B1A5-76AF5CB42015}"/>
            </a:ext>
          </a:extLst>
        </xdr:cNvPr>
        <xdr:cNvCxnSpPr>
          <a:stCxn id="108" idx="3"/>
          <a:endCxn id="110" idx="1"/>
        </xdr:cNvCxnSpPr>
      </xdr:nvCxnSpPr>
      <xdr:spPr>
        <a:xfrm>
          <a:off x="9742343" y="3651731"/>
          <a:ext cx="3860415" cy="8226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161444</xdr:colOff>
      <xdr:row>15</xdr:row>
      <xdr:rowOff>66483</xdr:rowOff>
    </xdr:from>
    <xdr:ext cx="2362200" cy="1266825"/>
    <xdr:sp macro="" textlink="">
      <xdr:nvSpPr>
        <xdr:cNvPr id="124" name="Shape 9">
          <a:extLst>
            <a:ext uri="{FF2B5EF4-FFF2-40B4-BE49-F238E27FC236}">
              <a16:creationId xmlns:a16="http://schemas.microsoft.com/office/drawing/2014/main" id="{0D947451-68A9-0B79-C207-E520E527B654}"/>
            </a:ext>
          </a:extLst>
        </xdr:cNvPr>
        <xdr:cNvSpPr/>
      </xdr:nvSpPr>
      <xdr:spPr>
        <a:xfrm>
          <a:off x="19757544" y="3114483"/>
          <a:ext cx="2362200" cy="126682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GB" sz="2300" b="1">
              <a:latin typeface="Times New Roman" panose="02020603050405020304" pitchFamily="18" charset="0"/>
              <a:cs typeface="Times New Roman" panose="02020603050405020304" pitchFamily="18" charset="0"/>
            </a:rPr>
            <a:t>Cooler 1</a:t>
          </a:r>
          <a:endParaRPr sz="23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29</xdr:col>
      <xdr:colOff>248227</xdr:colOff>
      <xdr:row>12</xdr:row>
      <xdr:rowOff>190500</xdr:rowOff>
    </xdr:from>
    <xdr:ext cx="1288472" cy="2257426"/>
    <xdr:sp macro="" textlink="">
      <xdr:nvSpPr>
        <xdr:cNvPr id="126" name="Shape 11">
          <a:extLst>
            <a:ext uri="{FF2B5EF4-FFF2-40B4-BE49-F238E27FC236}">
              <a16:creationId xmlns:a16="http://schemas.microsoft.com/office/drawing/2014/main" id="{1A5116EE-F99E-44DF-9980-BE5C67D133E1}"/>
            </a:ext>
          </a:extLst>
        </xdr:cNvPr>
        <xdr:cNvSpPr/>
      </xdr:nvSpPr>
      <xdr:spPr>
        <a:xfrm>
          <a:off x="26041927" y="2628900"/>
          <a:ext cx="1288472" cy="2257426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MY" sz="2000" b="1">
              <a:latin typeface="Times New Roman" panose="02020603050405020304" pitchFamily="18" charset="0"/>
              <a:cs typeface="Times New Roman" panose="02020603050405020304" pitchFamily="18" charset="0"/>
            </a:rPr>
            <a:t>Phase Separator</a:t>
          </a:r>
          <a:endParaRPr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/>
  </xdr:oneCellAnchor>
  <xdr:twoCellAnchor>
    <xdr:from>
      <xdr:col>17</xdr:col>
      <xdr:colOff>812800</xdr:colOff>
      <xdr:row>18</xdr:row>
      <xdr:rowOff>58737</xdr:rowOff>
    </xdr:from>
    <xdr:to>
      <xdr:col>22</xdr:col>
      <xdr:colOff>161444</xdr:colOff>
      <xdr:row>18</xdr:row>
      <xdr:rowOff>65665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5FA3AC66-E9CD-4E4D-8B3B-4D4D1F628BDA}"/>
            </a:ext>
          </a:extLst>
        </xdr:cNvPr>
        <xdr:cNvCxnSpPr>
          <a:endCxn id="124" idx="1"/>
        </xdr:cNvCxnSpPr>
      </xdr:nvCxnSpPr>
      <xdr:spPr>
        <a:xfrm>
          <a:off x="15963900" y="3716337"/>
          <a:ext cx="3793644" cy="692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814917</xdr:colOff>
      <xdr:row>18</xdr:row>
      <xdr:rowOff>63067</xdr:rowOff>
    </xdr:from>
    <xdr:to>
      <xdr:col>29</xdr:col>
      <xdr:colOff>248227</xdr:colOff>
      <xdr:row>18</xdr:row>
      <xdr:rowOff>65665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5A2689A5-F29E-4626-BA53-791F7E0E287C}"/>
            </a:ext>
          </a:extLst>
        </xdr:cNvPr>
        <xdr:cNvCxnSpPr>
          <a:stCxn id="124" idx="3"/>
          <a:endCxn id="126" idx="1"/>
        </xdr:cNvCxnSpPr>
      </xdr:nvCxnSpPr>
      <xdr:spPr>
        <a:xfrm flipV="1">
          <a:off x="22138217" y="3720667"/>
          <a:ext cx="3903710" cy="259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823769</xdr:colOff>
      <xdr:row>5</xdr:row>
      <xdr:rowOff>34925</xdr:rowOff>
    </xdr:from>
    <xdr:ext cx="2505075" cy="1162050"/>
    <xdr:grpSp>
      <xdr:nvGrpSpPr>
        <xdr:cNvPr id="130" name="Shape 2" title="Drawing">
          <a:extLst>
            <a:ext uri="{FF2B5EF4-FFF2-40B4-BE49-F238E27FC236}">
              <a16:creationId xmlns:a16="http://schemas.microsoft.com/office/drawing/2014/main" id="{1517D2FB-B816-498F-A606-69C008491241}"/>
            </a:ext>
          </a:extLst>
        </xdr:cNvPr>
        <xdr:cNvGrpSpPr/>
      </xdr:nvGrpSpPr>
      <xdr:grpSpPr>
        <a:xfrm>
          <a:off x="35418569" y="987425"/>
          <a:ext cx="2505075" cy="1162050"/>
          <a:chOff x="2731275" y="1088775"/>
          <a:chExt cx="2371800" cy="1060800"/>
        </a:xfrm>
      </xdr:grpSpPr>
      <xdr:sp macro="" textlink="">
        <xdr:nvSpPr>
          <xdr:cNvPr id="131" name="Shape 13">
            <a:extLst>
              <a:ext uri="{FF2B5EF4-FFF2-40B4-BE49-F238E27FC236}">
                <a16:creationId xmlns:a16="http://schemas.microsoft.com/office/drawing/2014/main" id="{75AB598A-499C-AD58-74FC-0BB8444079C0}"/>
              </a:ext>
            </a:extLst>
          </xdr:cNvPr>
          <xdr:cNvSpPr/>
        </xdr:nvSpPr>
        <xdr:spPr>
          <a:xfrm>
            <a:off x="2731275" y="1088775"/>
            <a:ext cx="2371800" cy="10608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32" name="Shape 14">
            <a:extLst>
              <a:ext uri="{FF2B5EF4-FFF2-40B4-BE49-F238E27FC236}">
                <a16:creationId xmlns:a16="http://schemas.microsoft.com/office/drawing/2014/main" id="{9060F6CA-FE2B-7C22-6461-C08CBB2DF9F9}"/>
              </a:ext>
            </a:extLst>
          </xdr:cNvPr>
          <xdr:cNvSpPr txBox="1"/>
        </xdr:nvSpPr>
        <xdr:spPr>
          <a:xfrm>
            <a:off x="3257775" y="1362900"/>
            <a:ext cx="1471200" cy="6726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300" b="1">
                <a:latin typeface="Times New Roman"/>
                <a:ea typeface="Times New Roman"/>
                <a:cs typeface="Times New Roman"/>
                <a:sym typeface="Times New Roman"/>
              </a:rPr>
              <a:t>Heater 3</a:t>
            </a:r>
            <a:endParaRPr sz="2300" b="1">
              <a:latin typeface="Times New Roman"/>
              <a:ea typeface="Times New Roman"/>
              <a:cs typeface="Times New Roman"/>
              <a:sym typeface="Times New Roman"/>
            </a:endParaRPr>
          </a:p>
        </xdr:txBody>
      </xdr:sp>
    </xdr:grpSp>
    <xdr:clientData fLocksWithSheet="0"/>
  </xdr:oneCellAnchor>
  <xdr:oneCellAnchor>
    <xdr:from>
      <xdr:col>45</xdr:col>
      <xdr:colOff>861869</xdr:colOff>
      <xdr:row>4</xdr:row>
      <xdr:rowOff>190500</xdr:rowOff>
    </xdr:from>
    <xdr:ext cx="2419350" cy="1266825"/>
    <xdr:sp macro="" textlink="">
      <xdr:nvSpPr>
        <xdr:cNvPr id="134" name="Shape 15">
          <a:extLst>
            <a:ext uri="{FF2B5EF4-FFF2-40B4-BE49-F238E27FC236}">
              <a16:creationId xmlns:a16="http://schemas.microsoft.com/office/drawing/2014/main" id="{9FC5E4DE-2CF2-AD33-825A-0BD3438624A6}"/>
            </a:ext>
          </a:extLst>
        </xdr:cNvPr>
        <xdr:cNvSpPr/>
      </xdr:nvSpPr>
      <xdr:spPr>
        <a:xfrm>
          <a:off x="41247869" y="1003300"/>
          <a:ext cx="2419350" cy="126682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3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Ammonia Holding Tank</a:t>
          </a:r>
          <a:endParaRPr lang="en-MY" sz="23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twoCellAnchor>
    <xdr:from>
      <xdr:col>29</xdr:col>
      <xdr:colOff>852055</xdr:colOff>
      <xdr:row>7</xdr:row>
      <xdr:rowOff>173759</xdr:rowOff>
    </xdr:from>
    <xdr:to>
      <xdr:col>29</xdr:col>
      <xdr:colOff>858982</xdr:colOff>
      <xdr:row>13</xdr:row>
      <xdr:rowOff>4426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6B3B3474-1522-40D9-A870-24EE28E535F0}"/>
            </a:ext>
          </a:extLst>
        </xdr:cNvPr>
        <xdr:cNvCxnSpPr/>
      </xdr:nvCxnSpPr>
      <xdr:spPr>
        <a:xfrm flipV="1">
          <a:off x="27141055" y="1596159"/>
          <a:ext cx="6927" cy="1049867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838200</xdr:colOff>
      <xdr:row>7</xdr:row>
      <xdr:rowOff>191077</xdr:rowOff>
    </xdr:from>
    <xdr:to>
      <xdr:col>37</xdr:col>
      <xdr:colOff>823769</xdr:colOff>
      <xdr:row>7</xdr:row>
      <xdr:rowOff>194541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CD4C46E8-5E2D-4373-9ECE-513C56442712}"/>
            </a:ext>
          </a:extLst>
        </xdr:cNvPr>
        <xdr:cNvCxnSpPr>
          <a:endCxn id="131" idx="1"/>
        </xdr:cNvCxnSpPr>
      </xdr:nvCxnSpPr>
      <xdr:spPr>
        <a:xfrm flipV="1">
          <a:off x="27127200" y="1613477"/>
          <a:ext cx="6957869" cy="3464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433244</xdr:colOff>
      <xdr:row>8</xdr:row>
      <xdr:rowOff>15875</xdr:rowOff>
    </xdr:from>
    <xdr:to>
      <xdr:col>45</xdr:col>
      <xdr:colOff>861869</xdr:colOff>
      <xdr:row>8</xdr:row>
      <xdr:rowOff>23813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EABB693F-C297-42F4-9696-0B47034B07DD}"/>
            </a:ext>
          </a:extLst>
        </xdr:cNvPr>
        <xdr:cNvCxnSpPr>
          <a:stCxn id="131" idx="3"/>
          <a:endCxn id="134" idx="1"/>
        </xdr:cNvCxnSpPr>
      </xdr:nvCxnSpPr>
      <xdr:spPr>
        <a:xfrm>
          <a:off x="37304519" y="1616075"/>
          <a:ext cx="5124450" cy="7938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34</xdr:col>
      <xdr:colOff>368300</xdr:colOff>
      <xdr:row>64</xdr:row>
      <xdr:rowOff>21186</xdr:rowOff>
    </xdr:from>
    <xdr:ext cx="1436915" cy="2699657"/>
    <xdr:sp macro="" textlink="">
      <xdr:nvSpPr>
        <xdr:cNvPr id="139" name="Shape 17">
          <a:extLst>
            <a:ext uri="{FF2B5EF4-FFF2-40B4-BE49-F238E27FC236}">
              <a16:creationId xmlns:a16="http://schemas.microsoft.com/office/drawing/2014/main" id="{54D62679-A80E-4A50-A675-F2E94C0FAF79}"/>
            </a:ext>
          </a:extLst>
        </xdr:cNvPr>
        <xdr:cNvSpPr/>
      </xdr:nvSpPr>
      <xdr:spPr>
        <a:xfrm>
          <a:off x="30975300" y="13025986"/>
          <a:ext cx="1436915" cy="2699657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MY" sz="2000" b="1" i="0">
              <a:latin typeface="Times New Roman" panose="02020603050405020304" pitchFamily="18" charset="0"/>
              <a:cs typeface="Times New Roman" panose="02020603050405020304" pitchFamily="18" charset="0"/>
            </a:rPr>
            <a:t>Distillation Column 1</a:t>
          </a:r>
          <a:endParaRPr sz="2000" b="1" i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/>
  </xdr:oneCellAnchor>
  <xdr:twoCellAnchor>
    <xdr:from>
      <xdr:col>30</xdr:col>
      <xdr:colOff>14679</xdr:colOff>
      <xdr:row>24</xdr:row>
      <xdr:rowOff>25400</xdr:rowOff>
    </xdr:from>
    <xdr:to>
      <xdr:col>30</xdr:col>
      <xdr:colOff>26936</xdr:colOff>
      <xdr:row>70</xdr:row>
      <xdr:rowOff>137439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36776B0D-244B-4209-86E1-9A16E5BA7C09}"/>
            </a:ext>
          </a:extLst>
        </xdr:cNvPr>
        <xdr:cNvCxnSpPr/>
      </xdr:nvCxnSpPr>
      <xdr:spPr>
        <a:xfrm flipH="1" flipV="1">
          <a:off x="27167279" y="4902200"/>
          <a:ext cx="12257" cy="9471939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12700</xdr:colOff>
      <xdr:row>70</xdr:row>
      <xdr:rowOff>139114</xdr:rowOff>
    </xdr:from>
    <xdr:to>
      <xdr:col>34</xdr:col>
      <xdr:colOff>368300</xdr:colOff>
      <xdr:row>70</xdr:row>
      <xdr:rowOff>139115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A84FF1B8-400A-4117-8742-2D090D8332A4}"/>
            </a:ext>
          </a:extLst>
        </xdr:cNvPr>
        <xdr:cNvCxnSpPr>
          <a:endCxn id="139" idx="1"/>
        </xdr:cNvCxnSpPr>
      </xdr:nvCxnSpPr>
      <xdr:spPr>
        <a:xfrm>
          <a:off x="27165300" y="14375814"/>
          <a:ext cx="3810000" cy="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222320</xdr:colOff>
      <xdr:row>42</xdr:row>
      <xdr:rowOff>8345</xdr:rowOff>
    </xdr:from>
    <xdr:to>
      <xdr:col>35</xdr:col>
      <xdr:colOff>226508</xdr:colOff>
      <xdr:row>64</xdr:row>
      <xdr:rowOff>21186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3443ED70-A331-401C-9EEB-ABCA9FCE06A6}"/>
            </a:ext>
          </a:extLst>
        </xdr:cNvPr>
        <xdr:cNvCxnSpPr>
          <a:stCxn id="139" idx="0"/>
        </xdr:cNvCxnSpPr>
      </xdr:nvCxnSpPr>
      <xdr:spPr>
        <a:xfrm flipH="1" flipV="1">
          <a:off x="31692920" y="8542745"/>
          <a:ext cx="4188" cy="4483241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141514</xdr:colOff>
      <xdr:row>77</xdr:row>
      <xdr:rowOff>173586</xdr:rowOff>
    </xdr:from>
    <xdr:to>
      <xdr:col>35</xdr:col>
      <xdr:colOff>161472</xdr:colOff>
      <xdr:row>100</xdr:row>
      <xdr:rowOff>119743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29F981B1-3CE0-4F96-966B-A88FA6A21367}"/>
            </a:ext>
          </a:extLst>
        </xdr:cNvPr>
        <xdr:cNvCxnSpPr>
          <a:stCxn id="139" idx="2"/>
        </xdr:cNvCxnSpPr>
      </xdr:nvCxnSpPr>
      <xdr:spPr>
        <a:xfrm flipH="1">
          <a:off x="32766000" y="15326500"/>
          <a:ext cx="19958" cy="4322214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305079</xdr:colOff>
      <xdr:row>39</xdr:row>
      <xdr:rowOff>6199</xdr:rowOff>
    </xdr:from>
    <xdr:ext cx="2581275" cy="1285875"/>
    <xdr:sp macro="" textlink="">
      <xdr:nvSpPr>
        <xdr:cNvPr id="144" name="Shape 19">
          <a:extLst>
            <a:ext uri="{FF2B5EF4-FFF2-40B4-BE49-F238E27FC236}">
              <a16:creationId xmlns:a16="http://schemas.microsoft.com/office/drawing/2014/main" id="{858BEA2A-BD15-4842-A83D-F3E1145EA753}"/>
            </a:ext>
          </a:extLst>
        </xdr:cNvPr>
        <xdr:cNvSpPr/>
      </xdr:nvSpPr>
      <xdr:spPr>
        <a:xfrm>
          <a:off x="37198579" y="7930999"/>
          <a:ext cx="2581275" cy="1285875"/>
        </a:xfrm>
        <a:prstGeom prst="rect">
          <a:avLst/>
        </a:prstGeom>
        <a:solidFill>
          <a:srgbClr val="CFE2F3"/>
        </a:solidFill>
        <a:ln w="9525" cap="flat" cmpd="sng">
          <a:solidFill>
            <a:sysClr val="windowText" lastClr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MY" sz="2000" b="1">
              <a:latin typeface="Times New Roman" panose="02020603050405020304" pitchFamily="18" charset="0"/>
              <a:cs typeface="Times New Roman" panose="02020603050405020304" pitchFamily="18" charset="0"/>
            </a:rPr>
            <a:t>Cooler</a:t>
          </a:r>
          <a:r>
            <a:rPr lang="en-MY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2</a:t>
          </a:r>
          <a:endParaRPr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/>
  </xdr:oneCellAnchor>
  <xdr:oneCellAnchor>
    <xdr:from>
      <xdr:col>49</xdr:col>
      <xdr:colOff>457329</xdr:colOff>
      <xdr:row>38</xdr:row>
      <xdr:rowOff>133047</xdr:rowOff>
    </xdr:from>
    <xdr:ext cx="2577042" cy="1447799"/>
    <xdr:sp macro="" textlink="">
      <xdr:nvSpPr>
        <xdr:cNvPr id="145" name="Shape 21">
          <a:extLst>
            <a:ext uri="{FF2B5EF4-FFF2-40B4-BE49-F238E27FC236}">
              <a16:creationId xmlns:a16="http://schemas.microsoft.com/office/drawing/2014/main" id="{15F54B55-F7D9-45F1-B177-FB3AC838422D}"/>
            </a:ext>
          </a:extLst>
        </xdr:cNvPr>
        <xdr:cNvSpPr/>
      </xdr:nvSpPr>
      <xdr:spPr>
        <a:xfrm>
          <a:off x="44297729" y="7854647"/>
          <a:ext cx="2577042" cy="1447799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MY" sz="2000" b="1">
              <a:latin typeface="Times New Roman" panose="02020603050405020304" pitchFamily="18" charset="0"/>
              <a:cs typeface="Times New Roman" panose="02020603050405020304" pitchFamily="18" charset="0"/>
            </a:rPr>
            <a:t>Liquid-Liquid Extractor</a:t>
          </a:r>
          <a:endParaRPr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/>
  </xdr:oneCellAnchor>
  <xdr:twoCellAnchor>
    <xdr:from>
      <xdr:col>35</xdr:col>
      <xdr:colOff>241300</xdr:colOff>
      <xdr:row>42</xdr:row>
      <xdr:rowOff>23260</xdr:rowOff>
    </xdr:from>
    <xdr:to>
      <xdr:col>41</xdr:col>
      <xdr:colOff>305079</xdr:colOff>
      <xdr:row>42</xdr:row>
      <xdr:rowOff>29489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438C3CF4-8C4A-4319-820A-86117B0B7102}"/>
            </a:ext>
          </a:extLst>
        </xdr:cNvPr>
        <xdr:cNvCxnSpPr>
          <a:endCxn id="144" idx="1"/>
        </xdr:cNvCxnSpPr>
      </xdr:nvCxnSpPr>
      <xdr:spPr>
        <a:xfrm>
          <a:off x="31711900" y="8557660"/>
          <a:ext cx="5486679" cy="6229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937811</xdr:colOff>
      <xdr:row>42</xdr:row>
      <xdr:rowOff>61308</xdr:rowOff>
    </xdr:from>
    <xdr:to>
      <xdr:col>49</xdr:col>
      <xdr:colOff>457329</xdr:colOff>
      <xdr:row>42</xdr:row>
      <xdr:rowOff>73176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51B5A448-619B-4E1D-8362-037F23A755B4}"/>
            </a:ext>
          </a:extLst>
        </xdr:cNvPr>
        <xdr:cNvCxnSpPr>
          <a:stCxn id="144" idx="3"/>
          <a:endCxn id="145" idx="1"/>
        </xdr:cNvCxnSpPr>
      </xdr:nvCxnSpPr>
      <xdr:spPr>
        <a:xfrm>
          <a:off x="41225840" y="8290908"/>
          <a:ext cx="5310718" cy="1186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812400</xdr:colOff>
      <xdr:row>15</xdr:row>
      <xdr:rowOff>31750</xdr:rowOff>
    </xdr:from>
    <xdr:to>
      <xdr:col>50</xdr:col>
      <xdr:colOff>820594</xdr:colOff>
      <xdr:row>38</xdr:row>
      <xdr:rowOff>133047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BA9301CF-EBD7-4FAD-B2EE-5B45D44A6271}"/>
            </a:ext>
          </a:extLst>
        </xdr:cNvPr>
        <xdr:cNvCxnSpPr>
          <a:stCxn id="151" idx="2"/>
          <a:endCxn id="145" idx="0"/>
        </xdr:cNvCxnSpPr>
      </xdr:nvCxnSpPr>
      <xdr:spPr>
        <a:xfrm flipH="1">
          <a:off x="46151400" y="3032125"/>
          <a:ext cx="8194" cy="470187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789213</xdr:colOff>
      <xdr:row>45</xdr:row>
      <xdr:rowOff>180671</xdr:rowOff>
    </xdr:from>
    <xdr:to>
      <xdr:col>50</xdr:col>
      <xdr:colOff>812400</xdr:colOff>
      <xdr:row>76</xdr:row>
      <xdr:rowOff>127000</xdr:rowOff>
    </xdr:to>
    <xdr:cxnSp macro="">
      <xdr:nvCxnSpPr>
        <xdr:cNvPr id="149" name="Straight Arrow Connector 148">
          <a:extLst>
            <a:ext uri="{FF2B5EF4-FFF2-40B4-BE49-F238E27FC236}">
              <a16:creationId xmlns:a16="http://schemas.microsoft.com/office/drawing/2014/main" id="{98DD40DF-2E91-4FC3-8038-817E00FBF983}"/>
            </a:ext>
          </a:extLst>
        </xdr:cNvPr>
        <xdr:cNvCxnSpPr>
          <a:stCxn id="145" idx="2"/>
          <a:endCxn id="167" idx="0"/>
        </xdr:cNvCxnSpPr>
      </xdr:nvCxnSpPr>
      <xdr:spPr>
        <a:xfrm flipH="1">
          <a:off x="46128213" y="9181796"/>
          <a:ext cx="23187" cy="6156629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49</xdr:col>
      <xdr:colOff>544369</xdr:colOff>
      <xdr:row>8</xdr:row>
      <xdr:rowOff>165100</xdr:rowOff>
    </xdr:from>
    <xdr:ext cx="2419350" cy="1266825"/>
    <xdr:sp macro="" textlink="">
      <xdr:nvSpPr>
        <xdr:cNvPr id="151" name="Shape 15">
          <a:extLst>
            <a:ext uri="{FF2B5EF4-FFF2-40B4-BE49-F238E27FC236}">
              <a16:creationId xmlns:a16="http://schemas.microsoft.com/office/drawing/2014/main" id="{28E211BF-1E95-B0A0-D1B0-9A302E7C6EBA}"/>
            </a:ext>
          </a:extLst>
        </xdr:cNvPr>
        <xdr:cNvSpPr/>
      </xdr:nvSpPr>
      <xdr:spPr>
        <a:xfrm>
          <a:off x="44949919" y="1765300"/>
          <a:ext cx="2419350" cy="126682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23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</a:t>
          </a:r>
          <a:r>
            <a:rPr lang="en-US" altLang="zh-CN" sz="23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torage Tank Solvent</a:t>
          </a:r>
          <a:endParaRPr lang="en-MY" sz="23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twoCellAnchor>
    <xdr:from>
      <xdr:col>52</xdr:col>
      <xdr:colOff>355600</xdr:colOff>
      <xdr:row>42</xdr:row>
      <xdr:rowOff>3023</xdr:rowOff>
    </xdr:from>
    <xdr:to>
      <xdr:col>64</xdr:col>
      <xdr:colOff>81036</xdr:colOff>
      <xdr:row>42</xdr:row>
      <xdr:rowOff>19955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608378FB-CE4B-4039-BA33-ECCDA9008B2F}"/>
            </a:ext>
          </a:extLst>
        </xdr:cNvPr>
        <xdr:cNvCxnSpPr>
          <a:cxnSpLocks/>
        </xdr:cNvCxnSpPr>
      </xdr:nvCxnSpPr>
      <xdr:spPr>
        <a:xfrm flipV="1">
          <a:off x="46863000" y="8537423"/>
          <a:ext cx="10952236" cy="1693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799493</xdr:colOff>
      <xdr:row>22</xdr:row>
      <xdr:rowOff>101600</xdr:rowOff>
    </xdr:from>
    <xdr:to>
      <xdr:col>64</xdr:col>
      <xdr:colOff>803727</xdr:colOff>
      <xdr:row>35</xdr:row>
      <xdr:rowOff>160866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A81B6704-11FF-4B6D-A84C-CCD04B4F8E72}"/>
            </a:ext>
          </a:extLst>
        </xdr:cNvPr>
        <xdr:cNvCxnSpPr>
          <a:cxnSpLocks/>
        </xdr:cNvCxnSpPr>
      </xdr:nvCxnSpPr>
      <xdr:spPr>
        <a:xfrm flipH="1" flipV="1">
          <a:off x="58533693" y="4572000"/>
          <a:ext cx="4234" cy="2700866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803726</xdr:colOff>
      <xdr:row>48</xdr:row>
      <xdr:rowOff>49590</xdr:rowOff>
    </xdr:from>
    <xdr:to>
      <xdr:col>64</xdr:col>
      <xdr:colOff>807960</xdr:colOff>
      <xdr:row>63</xdr:row>
      <xdr:rowOff>29632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2DC1CC11-1BF4-41F1-8777-39EDC62192BF}"/>
            </a:ext>
          </a:extLst>
        </xdr:cNvPr>
        <xdr:cNvCxnSpPr>
          <a:cxnSpLocks/>
        </xdr:cNvCxnSpPr>
      </xdr:nvCxnSpPr>
      <xdr:spPr>
        <a:xfrm>
          <a:off x="58537926" y="9803190"/>
          <a:ext cx="4234" cy="3040742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70</xdr:col>
      <xdr:colOff>342748</xdr:colOff>
      <xdr:row>18</xdr:row>
      <xdr:rowOff>190500</xdr:rowOff>
    </xdr:from>
    <xdr:ext cx="3619500" cy="1400175"/>
    <xdr:grpSp>
      <xdr:nvGrpSpPr>
        <xdr:cNvPr id="158" name="Shape 2" title="Drawing">
          <a:extLst>
            <a:ext uri="{FF2B5EF4-FFF2-40B4-BE49-F238E27FC236}">
              <a16:creationId xmlns:a16="http://schemas.microsoft.com/office/drawing/2014/main" id="{4CB7F8CE-A4BF-4C22-819D-5E2AB4A810C9}"/>
            </a:ext>
          </a:extLst>
        </xdr:cNvPr>
        <xdr:cNvGrpSpPr/>
      </xdr:nvGrpSpPr>
      <xdr:grpSpPr>
        <a:xfrm>
          <a:off x="67208248" y="3619500"/>
          <a:ext cx="3619500" cy="1400175"/>
          <a:chOff x="2876375" y="687800"/>
          <a:chExt cx="4025400" cy="1560300"/>
        </a:xfrm>
      </xdr:grpSpPr>
      <xdr:sp macro="" textlink="">
        <xdr:nvSpPr>
          <xdr:cNvPr id="159" name="Shape 36">
            <a:extLst>
              <a:ext uri="{FF2B5EF4-FFF2-40B4-BE49-F238E27FC236}">
                <a16:creationId xmlns:a16="http://schemas.microsoft.com/office/drawing/2014/main" id="{1438954A-E2D9-3090-AC3B-09A709570503}"/>
              </a:ext>
            </a:extLst>
          </xdr:cNvPr>
          <xdr:cNvSpPr/>
        </xdr:nvSpPr>
        <xdr:spPr>
          <a:xfrm>
            <a:off x="2876375" y="687800"/>
            <a:ext cx="4025400" cy="15603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60" name="Shape 37">
            <a:extLst>
              <a:ext uri="{FF2B5EF4-FFF2-40B4-BE49-F238E27FC236}">
                <a16:creationId xmlns:a16="http://schemas.microsoft.com/office/drawing/2014/main" id="{08373537-F93D-4642-4A59-6471E16F6629}"/>
              </a:ext>
            </a:extLst>
          </xdr:cNvPr>
          <xdr:cNvSpPr txBox="1"/>
        </xdr:nvSpPr>
        <xdr:spPr>
          <a:xfrm>
            <a:off x="3313775" y="1134050"/>
            <a:ext cx="3588000" cy="6678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300" b="1">
                <a:latin typeface="Times New Roman"/>
                <a:ea typeface="Times New Roman"/>
                <a:cs typeface="Times New Roman"/>
                <a:sym typeface="Times New Roman"/>
              </a:rPr>
              <a:t>Solvent Collection Tank </a:t>
            </a:r>
            <a:endParaRPr sz="2300" b="1">
              <a:latin typeface="Times New Roman"/>
              <a:ea typeface="Times New Roman"/>
              <a:cs typeface="Times New Roman"/>
              <a:sym typeface="Times New Roman"/>
            </a:endParaRPr>
          </a:p>
        </xdr:txBody>
      </xdr:sp>
    </xdr:grpSp>
    <xdr:clientData fLocksWithSheet="0"/>
  </xdr:oneCellAnchor>
  <xdr:twoCellAnchor>
    <xdr:from>
      <xdr:col>64</xdr:col>
      <xdr:colOff>774700</xdr:colOff>
      <xdr:row>22</xdr:row>
      <xdr:rowOff>82627</xdr:rowOff>
    </xdr:from>
    <xdr:to>
      <xdr:col>70</xdr:col>
      <xdr:colOff>342748</xdr:colOff>
      <xdr:row>22</xdr:row>
      <xdr:rowOff>86331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738AAA85-9C74-4283-9879-2923F2CACECF}"/>
            </a:ext>
          </a:extLst>
        </xdr:cNvPr>
        <xdr:cNvCxnSpPr>
          <a:endCxn id="159" idx="1"/>
        </xdr:cNvCxnSpPr>
      </xdr:nvCxnSpPr>
      <xdr:spPr>
        <a:xfrm flipV="1">
          <a:off x="58508900" y="4553027"/>
          <a:ext cx="4851248" cy="370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64</xdr:col>
      <xdr:colOff>88900</xdr:colOff>
      <xdr:row>35</xdr:row>
      <xdr:rowOff>177800</xdr:rowOff>
    </xdr:from>
    <xdr:ext cx="1447800" cy="2514600"/>
    <xdr:sp macro="" textlink="">
      <xdr:nvSpPr>
        <xdr:cNvPr id="162" name="Shape 31">
          <a:extLst>
            <a:ext uri="{FF2B5EF4-FFF2-40B4-BE49-F238E27FC236}">
              <a16:creationId xmlns:a16="http://schemas.microsoft.com/office/drawing/2014/main" id="{2E36DCCC-24B9-4291-9AF9-D16523020B1E}"/>
            </a:ext>
          </a:extLst>
        </xdr:cNvPr>
        <xdr:cNvSpPr/>
      </xdr:nvSpPr>
      <xdr:spPr>
        <a:xfrm>
          <a:off x="57823100" y="7289800"/>
          <a:ext cx="1447800" cy="25146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MY" sz="2000" b="1">
              <a:latin typeface="Times New Roman" panose="02020603050405020304" pitchFamily="18" charset="0"/>
              <a:cs typeface="Times New Roman" panose="02020603050405020304" pitchFamily="18" charset="0"/>
            </a:rPr>
            <a:t>Distillation Column 3</a:t>
          </a:r>
          <a:endParaRPr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/>
  </xdr:oneCellAnchor>
  <xdr:oneCellAnchor>
    <xdr:from>
      <xdr:col>70</xdr:col>
      <xdr:colOff>354391</xdr:colOff>
      <xdr:row>59</xdr:row>
      <xdr:rowOff>152400</xdr:rowOff>
    </xdr:from>
    <xdr:ext cx="2933700" cy="2595033"/>
    <xdr:grpSp>
      <xdr:nvGrpSpPr>
        <xdr:cNvPr id="163" name="Shape 2" title="Drawing">
          <a:extLst>
            <a:ext uri="{FF2B5EF4-FFF2-40B4-BE49-F238E27FC236}">
              <a16:creationId xmlns:a16="http://schemas.microsoft.com/office/drawing/2014/main" id="{204DD493-5B9E-4FA1-A34D-CAF78116F1CA}"/>
            </a:ext>
          </a:extLst>
        </xdr:cNvPr>
        <xdr:cNvGrpSpPr/>
      </xdr:nvGrpSpPr>
      <xdr:grpSpPr>
        <a:xfrm>
          <a:off x="67219891" y="11506200"/>
          <a:ext cx="2933700" cy="2595033"/>
          <a:chOff x="1864802" y="-1924237"/>
          <a:chExt cx="3528300" cy="3158812"/>
        </a:xfrm>
      </xdr:grpSpPr>
      <xdr:sp macro="" textlink="">
        <xdr:nvSpPr>
          <xdr:cNvPr id="164" name="Shape 33">
            <a:extLst>
              <a:ext uri="{FF2B5EF4-FFF2-40B4-BE49-F238E27FC236}">
                <a16:creationId xmlns:a16="http://schemas.microsoft.com/office/drawing/2014/main" id="{ED2FDDC0-6348-0186-E2C7-A1B4AA3C1344}"/>
              </a:ext>
            </a:extLst>
          </xdr:cNvPr>
          <xdr:cNvSpPr/>
        </xdr:nvSpPr>
        <xdr:spPr>
          <a:xfrm>
            <a:off x="1864802" y="-1924237"/>
            <a:ext cx="3528300" cy="16599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MY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Main Product Tank</a:t>
            </a:r>
            <a:endParaRPr sz="20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5" name="Shape 34">
            <a:extLst>
              <a:ext uri="{FF2B5EF4-FFF2-40B4-BE49-F238E27FC236}">
                <a16:creationId xmlns:a16="http://schemas.microsoft.com/office/drawing/2014/main" id="{51E2E81C-2863-8478-76F9-B75689C792D4}"/>
              </a:ext>
            </a:extLst>
          </xdr:cNvPr>
          <xdr:cNvSpPr txBox="1"/>
        </xdr:nvSpPr>
        <xdr:spPr>
          <a:xfrm>
            <a:off x="4009450" y="1194675"/>
            <a:ext cx="19800" cy="399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twoCellAnchor>
    <xdr:from>
      <xdr:col>64</xdr:col>
      <xdr:colOff>812800</xdr:colOff>
      <xdr:row>63</xdr:row>
      <xdr:rowOff>8117</xdr:rowOff>
    </xdr:from>
    <xdr:to>
      <xdr:col>70</xdr:col>
      <xdr:colOff>354391</xdr:colOff>
      <xdr:row>63</xdr:row>
      <xdr:rowOff>16328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D67FAACF-CBB8-4C28-A00D-5870A96DEE8C}"/>
            </a:ext>
          </a:extLst>
        </xdr:cNvPr>
        <xdr:cNvCxnSpPr>
          <a:endCxn id="164" idx="1"/>
        </xdr:cNvCxnSpPr>
      </xdr:nvCxnSpPr>
      <xdr:spPr>
        <a:xfrm flipV="1">
          <a:off x="58547000" y="12822417"/>
          <a:ext cx="4824791" cy="821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49</xdr:col>
      <xdr:colOff>512988</xdr:colOff>
      <xdr:row>76</xdr:row>
      <xdr:rowOff>127000</xdr:rowOff>
    </xdr:from>
    <xdr:ext cx="2419350" cy="1247775"/>
    <xdr:sp macro="" textlink="">
      <xdr:nvSpPr>
        <xdr:cNvPr id="167" name="Shape 23">
          <a:extLst>
            <a:ext uri="{FF2B5EF4-FFF2-40B4-BE49-F238E27FC236}">
              <a16:creationId xmlns:a16="http://schemas.microsoft.com/office/drawing/2014/main" id="{D3B75833-5FA8-4F50-8F9E-D1862745C504}"/>
            </a:ext>
          </a:extLst>
        </xdr:cNvPr>
        <xdr:cNvSpPr/>
      </xdr:nvSpPr>
      <xdr:spPr>
        <a:xfrm>
          <a:off x="44918538" y="15338425"/>
          <a:ext cx="2419350" cy="124777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MY" sz="2000" b="1">
              <a:latin typeface="Times New Roman" panose="02020603050405020304" pitchFamily="18" charset="0"/>
              <a:cs typeface="Times New Roman" panose="02020603050405020304" pitchFamily="18" charset="0"/>
            </a:rPr>
            <a:t>Heater</a:t>
          </a:r>
          <a:r>
            <a:rPr lang="en-MY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4</a:t>
          </a:r>
          <a:endParaRPr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/>
  </xdr:oneCellAnchor>
  <xdr:twoCellAnchor>
    <xdr:from>
      <xdr:col>52</xdr:col>
      <xdr:colOff>254453</xdr:colOff>
      <xdr:row>79</xdr:row>
      <xdr:rowOff>163059</xdr:rowOff>
    </xdr:from>
    <xdr:to>
      <xdr:col>62</xdr:col>
      <xdr:colOff>141514</xdr:colOff>
      <xdr:row>79</xdr:row>
      <xdr:rowOff>185057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id="{D20AEB26-B05D-4016-92E2-AE8F38E045E0}"/>
            </a:ext>
          </a:extLst>
        </xdr:cNvPr>
        <xdr:cNvCxnSpPr>
          <a:stCxn id="167" idx="3"/>
        </xdr:cNvCxnSpPr>
      </xdr:nvCxnSpPr>
      <xdr:spPr>
        <a:xfrm>
          <a:off x="49011567" y="15707859"/>
          <a:ext cx="10086976" cy="21998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95250</xdr:colOff>
      <xdr:row>79</xdr:row>
      <xdr:rowOff>162379</xdr:rowOff>
    </xdr:from>
    <xdr:to>
      <xdr:col>62</xdr:col>
      <xdr:colOff>134257</xdr:colOff>
      <xdr:row>157</xdr:row>
      <xdr:rowOff>38100</xdr:rowOff>
    </xdr:to>
    <xdr:cxnSp macro="">
      <xdr:nvCxnSpPr>
        <xdr:cNvPr id="169" name="Straight Connector 168">
          <a:extLst>
            <a:ext uri="{FF2B5EF4-FFF2-40B4-BE49-F238E27FC236}">
              <a16:creationId xmlns:a16="http://schemas.microsoft.com/office/drawing/2014/main" id="{98B1CB1C-74B0-4F11-AA17-BAC73B8673F0}"/>
            </a:ext>
          </a:extLst>
        </xdr:cNvPr>
        <xdr:cNvCxnSpPr>
          <a:cxnSpLocks/>
        </xdr:cNvCxnSpPr>
      </xdr:nvCxnSpPr>
      <xdr:spPr>
        <a:xfrm flipH="1">
          <a:off x="56940450" y="15230929"/>
          <a:ext cx="39007" cy="14582321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431800</xdr:colOff>
      <xdr:row>156</xdr:row>
      <xdr:rowOff>143632</xdr:rowOff>
    </xdr:from>
    <xdr:to>
      <xdr:col>62</xdr:col>
      <xdr:colOff>114300</xdr:colOff>
      <xdr:row>157</xdr:row>
      <xdr:rowOff>19050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09111101-C685-46CD-8F62-A7C7EADBE6CF}"/>
            </a:ext>
          </a:extLst>
        </xdr:cNvPr>
        <xdr:cNvCxnSpPr/>
      </xdr:nvCxnSpPr>
      <xdr:spPr>
        <a:xfrm flipH="1" flipV="1">
          <a:off x="14890750" y="29728282"/>
          <a:ext cx="42068750" cy="65918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46</xdr:col>
      <xdr:colOff>851655</xdr:colOff>
      <xdr:row>97</xdr:row>
      <xdr:rowOff>38100</xdr:rowOff>
    </xdr:from>
    <xdr:ext cx="2571750" cy="1343025"/>
    <xdr:grpSp>
      <xdr:nvGrpSpPr>
        <xdr:cNvPr id="173" name="Shape 2" title="Drawing">
          <a:extLst>
            <a:ext uri="{FF2B5EF4-FFF2-40B4-BE49-F238E27FC236}">
              <a16:creationId xmlns:a16="http://schemas.microsoft.com/office/drawing/2014/main" id="{4B7FC765-1382-4C01-A6D4-0FD90FF21A3D}"/>
            </a:ext>
          </a:extLst>
        </xdr:cNvPr>
        <xdr:cNvGrpSpPr/>
      </xdr:nvGrpSpPr>
      <xdr:grpSpPr>
        <a:xfrm>
          <a:off x="44057055" y="18554700"/>
          <a:ext cx="2571750" cy="1343025"/>
          <a:chOff x="2461075" y="908650"/>
          <a:chExt cx="2551800" cy="1320900"/>
        </a:xfrm>
      </xdr:grpSpPr>
      <xdr:sp macro="" textlink="">
        <xdr:nvSpPr>
          <xdr:cNvPr id="174" name="Shape 25">
            <a:extLst>
              <a:ext uri="{FF2B5EF4-FFF2-40B4-BE49-F238E27FC236}">
                <a16:creationId xmlns:a16="http://schemas.microsoft.com/office/drawing/2014/main" id="{DDA8C325-0B53-E754-AA2B-6ED242F6C7B8}"/>
              </a:ext>
            </a:extLst>
          </xdr:cNvPr>
          <xdr:cNvSpPr/>
        </xdr:nvSpPr>
        <xdr:spPr>
          <a:xfrm>
            <a:off x="2461075" y="908650"/>
            <a:ext cx="2551800" cy="13209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75" name="Shape 26">
            <a:extLst>
              <a:ext uri="{FF2B5EF4-FFF2-40B4-BE49-F238E27FC236}">
                <a16:creationId xmlns:a16="http://schemas.microsoft.com/office/drawing/2014/main" id="{8B1E32F6-9B12-7765-20DD-0F7E6AD3E7C5}"/>
              </a:ext>
            </a:extLst>
          </xdr:cNvPr>
          <xdr:cNvSpPr txBox="1"/>
        </xdr:nvSpPr>
        <xdr:spPr>
          <a:xfrm>
            <a:off x="2957875" y="1150750"/>
            <a:ext cx="2015400" cy="836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300" b="1">
                <a:latin typeface="Times New Roman"/>
                <a:ea typeface="Times New Roman"/>
                <a:cs typeface="Times New Roman"/>
                <a:sym typeface="Times New Roman"/>
              </a:rPr>
              <a:t>Distillation Column 2</a:t>
            </a:r>
            <a:endParaRPr sz="2300" b="1">
              <a:latin typeface="Times New Roman"/>
              <a:ea typeface="Times New Roman"/>
              <a:cs typeface="Times New Roman"/>
              <a:sym typeface="Times New Roman"/>
            </a:endParaRPr>
          </a:p>
        </xdr:txBody>
      </xdr:sp>
    </xdr:grpSp>
    <xdr:clientData fLocksWithSheet="0"/>
  </xdr:oneCellAnchor>
  <xdr:twoCellAnchor>
    <xdr:from>
      <xdr:col>35</xdr:col>
      <xdr:colOff>139700</xdr:colOff>
      <xdr:row>100</xdr:row>
      <xdr:rowOff>107950</xdr:rowOff>
    </xdr:from>
    <xdr:to>
      <xdr:col>46</xdr:col>
      <xdr:colOff>851655</xdr:colOff>
      <xdr:row>100</xdr:row>
      <xdr:rowOff>134484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5D7C7ECC-4056-4ECE-BA4F-53F490ECDB54}"/>
            </a:ext>
          </a:extLst>
        </xdr:cNvPr>
        <xdr:cNvCxnSpPr/>
      </xdr:nvCxnSpPr>
      <xdr:spPr>
        <a:xfrm>
          <a:off x="32740600" y="19723100"/>
          <a:ext cx="11151355" cy="2653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642105</xdr:colOff>
      <xdr:row>100</xdr:row>
      <xdr:rowOff>166688</xdr:rowOff>
    </xdr:from>
    <xdr:to>
      <xdr:col>55</xdr:col>
      <xdr:colOff>8524</xdr:colOff>
      <xdr:row>101</xdr:row>
      <xdr:rowOff>22310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289D6628-CC20-4714-A43F-3993D6AEDBAE}"/>
            </a:ext>
          </a:extLst>
        </xdr:cNvPr>
        <xdr:cNvCxnSpPr>
          <a:stCxn id="174" idx="3"/>
          <a:endCxn id="179" idx="1"/>
        </xdr:cNvCxnSpPr>
      </xdr:nvCxnSpPr>
      <xdr:spPr>
        <a:xfrm>
          <a:off x="45447705" y="20035838"/>
          <a:ext cx="5252869" cy="2707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8524</xdr:colOff>
      <xdr:row>97</xdr:row>
      <xdr:rowOff>65172</xdr:rowOff>
    </xdr:from>
    <xdr:ext cx="2733675" cy="1343025"/>
    <xdr:sp macro="" textlink="">
      <xdr:nvSpPr>
        <xdr:cNvPr id="179" name="Shape 29">
          <a:extLst>
            <a:ext uri="{FF2B5EF4-FFF2-40B4-BE49-F238E27FC236}">
              <a16:creationId xmlns:a16="http://schemas.microsoft.com/office/drawing/2014/main" id="{F795464C-2718-4A0E-AD6B-810489F79D0E}"/>
            </a:ext>
          </a:extLst>
        </xdr:cNvPr>
        <xdr:cNvSpPr/>
      </xdr:nvSpPr>
      <xdr:spPr>
        <a:xfrm>
          <a:off x="50700574" y="19391397"/>
          <a:ext cx="2733675" cy="134302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MY" sz="2000" b="1">
              <a:latin typeface="Times New Roman" panose="02020603050405020304" pitchFamily="18" charset="0"/>
              <a:cs typeface="Times New Roman" panose="02020603050405020304" pitchFamily="18" charset="0"/>
            </a:rPr>
            <a:t>By Product</a:t>
          </a:r>
          <a:r>
            <a:rPr lang="en-MY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2 Tank</a:t>
          </a:r>
          <a:endParaRPr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/>
  </xdr:oneCellAnchor>
  <xdr:oneCellAnchor>
    <xdr:from>
      <xdr:col>46</xdr:col>
      <xdr:colOff>828676</xdr:colOff>
      <xdr:row>129</xdr:row>
      <xdr:rowOff>155483</xdr:rowOff>
    </xdr:from>
    <xdr:ext cx="2638425" cy="1257300"/>
    <xdr:sp macro="" textlink="">
      <xdr:nvSpPr>
        <xdr:cNvPr id="183" name="Shape 27">
          <a:extLst>
            <a:ext uri="{FF2B5EF4-FFF2-40B4-BE49-F238E27FC236}">
              <a16:creationId xmlns:a16="http://schemas.microsoft.com/office/drawing/2014/main" id="{23133E49-E0AE-49CD-A62F-4FD43A4FC42D}"/>
            </a:ext>
          </a:extLst>
        </xdr:cNvPr>
        <xdr:cNvSpPr/>
      </xdr:nvSpPr>
      <xdr:spPr>
        <a:xfrm>
          <a:off x="42852976" y="25711058"/>
          <a:ext cx="2638425" cy="12573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MY" sz="2000" b="1">
              <a:latin typeface="Times New Roman" panose="02020603050405020304" pitchFamily="18" charset="0"/>
              <a:cs typeface="Times New Roman" panose="02020603050405020304" pitchFamily="18" charset="0"/>
            </a:rPr>
            <a:t>By Product 1 Tank</a:t>
          </a:r>
          <a:endParaRPr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/>
  </xdr:oneCellAnchor>
  <xdr:twoCellAnchor>
    <xdr:from>
      <xdr:col>48</xdr:col>
      <xdr:colOff>223005</xdr:colOff>
      <xdr:row>104</xdr:row>
      <xdr:rowOff>95250</xdr:rowOff>
    </xdr:from>
    <xdr:to>
      <xdr:col>48</xdr:col>
      <xdr:colOff>233364</xdr:colOff>
      <xdr:row>129</xdr:row>
      <xdr:rowOff>155483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9ABA3560-47D3-4B60-9C29-7B76ABAE27B8}"/>
            </a:ext>
          </a:extLst>
        </xdr:cNvPr>
        <xdr:cNvCxnSpPr>
          <a:stCxn id="174" idx="2"/>
          <a:endCxn id="183" idx="0"/>
        </xdr:cNvCxnSpPr>
      </xdr:nvCxnSpPr>
      <xdr:spPr>
        <a:xfrm>
          <a:off x="44161830" y="20707350"/>
          <a:ext cx="10359" cy="500370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190500</xdr:colOff>
      <xdr:row>63</xdr:row>
      <xdr:rowOff>180011</xdr:rowOff>
    </xdr:from>
    <xdr:ext cx="2600325" cy="1381125"/>
    <xdr:sp macro="" textlink="">
      <xdr:nvSpPr>
        <xdr:cNvPr id="186" name="Shape 38">
          <a:extLst>
            <a:ext uri="{FF2B5EF4-FFF2-40B4-BE49-F238E27FC236}">
              <a16:creationId xmlns:a16="http://schemas.microsoft.com/office/drawing/2014/main" id="{3DAB5605-6E83-4B19-826C-8A920C3864BE}"/>
            </a:ext>
          </a:extLst>
        </xdr:cNvPr>
        <xdr:cNvSpPr/>
      </xdr:nvSpPr>
      <xdr:spPr>
        <a:xfrm>
          <a:off x="190500" y="12200561"/>
          <a:ext cx="2600325" cy="138112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MY" sz="2000" b="1">
              <a:latin typeface="Times New Roman" panose="02020603050405020304" pitchFamily="18" charset="0"/>
              <a:cs typeface="Times New Roman" panose="02020603050405020304" pitchFamily="18" charset="0"/>
            </a:rPr>
            <a:t>Storage Tank EO</a:t>
          </a:r>
          <a:endParaRPr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/>
  </xdr:oneCellAnchor>
  <xdr:oneCellAnchor>
    <xdr:from>
      <xdr:col>7</xdr:col>
      <xdr:colOff>115933</xdr:colOff>
      <xdr:row>63</xdr:row>
      <xdr:rowOff>180011</xdr:rowOff>
    </xdr:from>
    <xdr:ext cx="2447925" cy="1362075"/>
    <xdr:grpSp>
      <xdr:nvGrpSpPr>
        <xdr:cNvPr id="187" name="Shape 2" title="Drawing">
          <a:extLst>
            <a:ext uri="{FF2B5EF4-FFF2-40B4-BE49-F238E27FC236}">
              <a16:creationId xmlns:a16="http://schemas.microsoft.com/office/drawing/2014/main" id="{4477F629-279F-4121-BB82-ABABA214DD52}"/>
            </a:ext>
          </a:extLst>
        </xdr:cNvPr>
        <xdr:cNvGrpSpPr/>
      </xdr:nvGrpSpPr>
      <xdr:grpSpPr>
        <a:xfrm>
          <a:off x="6592933" y="12295811"/>
          <a:ext cx="2447925" cy="1362075"/>
          <a:chOff x="2771300" y="1318950"/>
          <a:chExt cx="2431800" cy="1341000"/>
        </a:xfrm>
      </xdr:grpSpPr>
      <xdr:sp macro="" textlink="">
        <xdr:nvSpPr>
          <xdr:cNvPr id="188" name="Shape 40">
            <a:extLst>
              <a:ext uri="{FF2B5EF4-FFF2-40B4-BE49-F238E27FC236}">
                <a16:creationId xmlns:a16="http://schemas.microsoft.com/office/drawing/2014/main" id="{F9BA469E-9456-09EF-F3E6-9C2A26689667}"/>
              </a:ext>
            </a:extLst>
          </xdr:cNvPr>
          <xdr:cNvSpPr/>
        </xdr:nvSpPr>
        <xdr:spPr>
          <a:xfrm>
            <a:off x="2771300" y="1318950"/>
            <a:ext cx="2431800" cy="13410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89" name="Shape 41">
            <a:extLst>
              <a:ext uri="{FF2B5EF4-FFF2-40B4-BE49-F238E27FC236}">
                <a16:creationId xmlns:a16="http://schemas.microsoft.com/office/drawing/2014/main" id="{95F9B7CA-D84B-36D3-CCB1-05E6A8019D2A}"/>
              </a:ext>
            </a:extLst>
          </xdr:cNvPr>
          <xdr:cNvSpPr txBox="1"/>
        </xdr:nvSpPr>
        <xdr:spPr>
          <a:xfrm>
            <a:off x="3231625" y="1699225"/>
            <a:ext cx="1601100" cy="6726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300" b="1">
                <a:latin typeface="Times New Roman"/>
                <a:ea typeface="Times New Roman"/>
                <a:cs typeface="Times New Roman"/>
                <a:sym typeface="Times New Roman"/>
              </a:rPr>
              <a:t>Heater 2</a:t>
            </a:r>
            <a:endParaRPr sz="2300" b="1">
              <a:latin typeface="Times New Roman"/>
              <a:ea typeface="Times New Roman"/>
              <a:cs typeface="Times New Roman"/>
              <a:sym typeface="Times New Roman"/>
            </a:endParaRPr>
          </a:p>
        </xdr:txBody>
      </xdr:sp>
    </xdr:grpSp>
    <xdr:clientData fLocksWithSheet="0"/>
  </xdr:oneCellAnchor>
  <xdr:oneCellAnchor>
    <xdr:from>
      <xdr:col>14</xdr:col>
      <xdr:colOff>717369</xdr:colOff>
      <xdr:row>64</xdr:row>
      <xdr:rowOff>84761</xdr:rowOff>
    </xdr:from>
    <xdr:ext cx="3019425" cy="1209675"/>
    <xdr:sp macro="" textlink="">
      <xdr:nvSpPr>
        <xdr:cNvPr id="190" name="Shape 42">
          <a:extLst>
            <a:ext uri="{FF2B5EF4-FFF2-40B4-BE49-F238E27FC236}">
              <a16:creationId xmlns:a16="http://schemas.microsoft.com/office/drawing/2014/main" id="{8F9923B7-7021-4526-A400-F08FFBAB0983}"/>
            </a:ext>
          </a:extLst>
        </xdr:cNvPr>
        <xdr:cNvSpPr/>
      </xdr:nvSpPr>
      <xdr:spPr>
        <a:xfrm>
          <a:off x="13423719" y="12295811"/>
          <a:ext cx="3019425" cy="1209675"/>
        </a:xfrm>
        <a:prstGeom prst="rect">
          <a:avLst/>
        </a:prstGeom>
        <a:solidFill>
          <a:srgbClr val="CFE2F3"/>
        </a:solidFill>
        <a:ln w="9525" cap="flat" cmpd="sng">
          <a:solidFill>
            <a:sysClr val="windowText" lastClr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MY" sz="2000" b="1">
              <a:latin typeface="Times New Roman" panose="02020603050405020304" pitchFamily="18" charset="0"/>
              <a:cs typeface="Times New Roman" panose="02020603050405020304" pitchFamily="18" charset="0"/>
            </a:rPr>
            <a:t>Holding Tank</a:t>
          </a:r>
          <a:endParaRPr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/>
  </xdr:oneCellAnchor>
  <xdr:twoCellAnchor>
    <xdr:from>
      <xdr:col>3</xdr:col>
      <xdr:colOff>161925</xdr:colOff>
      <xdr:row>67</xdr:row>
      <xdr:rowOff>99049</xdr:rowOff>
    </xdr:from>
    <xdr:to>
      <xdr:col>7</xdr:col>
      <xdr:colOff>115933</xdr:colOff>
      <xdr:row>67</xdr:row>
      <xdr:rowOff>108574</xdr:rowOff>
    </xdr:to>
    <xdr:cxnSp macro="">
      <xdr:nvCxnSpPr>
        <xdr:cNvPr id="191" name="Straight Arrow Connector 190">
          <a:extLst>
            <a:ext uri="{FF2B5EF4-FFF2-40B4-BE49-F238E27FC236}">
              <a16:creationId xmlns:a16="http://schemas.microsoft.com/office/drawing/2014/main" id="{93521972-EDB0-4C4F-9B95-FEADB3B9D4C7}"/>
            </a:ext>
          </a:extLst>
        </xdr:cNvPr>
        <xdr:cNvCxnSpPr>
          <a:stCxn id="186" idx="3"/>
          <a:endCxn id="188" idx="1"/>
        </xdr:cNvCxnSpPr>
      </xdr:nvCxnSpPr>
      <xdr:spPr>
        <a:xfrm flipV="1">
          <a:off x="2790825" y="12881599"/>
          <a:ext cx="3802108" cy="952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811258</xdr:colOff>
      <xdr:row>67</xdr:row>
      <xdr:rowOff>99049</xdr:rowOff>
    </xdr:from>
    <xdr:to>
      <xdr:col>14</xdr:col>
      <xdr:colOff>717369</xdr:colOff>
      <xdr:row>67</xdr:row>
      <xdr:rowOff>118099</xdr:rowOff>
    </xdr:to>
    <xdr:cxnSp macro="">
      <xdr:nvCxnSpPr>
        <xdr:cNvPr id="192" name="Straight Arrow Connector 191">
          <a:extLst>
            <a:ext uri="{FF2B5EF4-FFF2-40B4-BE49-F238E27FC236}">
              <a16:creationId xmlns:a16="http://schemas.microsoft.com/office/drawing/2014/main" id="{41022B72-90B7-4857-AA8B-6B469773DCE8}"/>
            </a:ext>
          </a:extLst>
        </xdr:cNvPr>
        <xdr:cNvCxnSpPr>
          <a:stCxn id="188" idx="3"/>
          <a:endCxn id="190" idx="1"/>
        </xdr:cNvCxnSpPr>
      </xdr:nvCxnSpPr>
      <xdr:spPr>
        <a:xfrm>
          <a:off x="9040858" y="12881599"/>
          <a:ext cx="4382861" cy="1905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493183</xdr:colOff>
      <xdr:row>21</xdr:row>
      <xdr:rowOff>139700</xdr:rowOff>
    </xdr:from>
    <xdr:to>
      <xdr:col>16</xdr:col>
      <xdr:colOff>493532</xdr:colOff>
      <xdr:row>64</xdr:row>
      <xdr:rowOff>84761</xdr:rowOff>
    </xdr:to>
    <xdr:cxnSp macro="">
      <xdr:nvCxnSpPr>
        <xdr:cNvPr id="193" name="Straight Arrow Connector 192">
          <a:extLst>
            <a:ext uri="{FF2B5EF4-FFF2-40B4-BE49-F238E27FC236}">
              <a16:creationId xmlns:a16="http://schemas.microsoft.com/office/drawing/2014/main" id="{4CA1E1CE-8352-441F-93FA-2F5481A47213}"/>
            </a:ext>
          </a:extLst>
        </xdr:cNvPr>
        <xdr:cNvCxnSpPr>
          <a:stCxn id="190" idx="0"/>
          <a:endCxn id="110" idx="2"/>
        </xdr:cNvCxnSpPr>
      </xdr:nvCxnSpPr>
      <xdr:spPr>
        <a:xfrm flipH="1" flipV="1">
          <a:off x="14818783" y="4340225"/>
          <a:ext cx="349" cy="855566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435549</xdr:colOff>
      <xdr:row>70</xdr:row>
      <xdr:rowOff>75236</xdr:rowOff>
    </xdr:from>
    <xdr:to>
      <xdr:col>16</xdr:col>
      <xdr:colOff>499882</xdr:colOff>
      <xdr:row>156</xdr:row>
      <xdr:rowOff>155367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4DBA8B67-89DB-46F8-997D-7D6D933F6B84}"/>
            </a:ext>
          </a:extLst>
        </xdr:cNvPr>
        <xdr:cNvCxnSpPr>
          <a:endCxn id="190" idx="2"/>
        </xdr:cNvCxnSpPr>
      </xdr:nvCxnSpPr>
      <xdr:spPr>
        <a:xfrm flipV="1">
          <a:off x="14837349" y="14337336"/>
          <a:ext cx="64333" cy="1706003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17</xdr:row>
      <xdr:rowOff>19050</xdr:rowOff>
    </xdr:from>
    <xdr:ext cx="1234440" cy="3768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6F3B0EB-9D48-47E8-A1AD-FCB365CB2667}"/>
                </a:ext>
              </a:extLst>
            </xdr:cNvPr>
            <xdr:cNvSpPr txBox="1"/>
          </xdr:nvSpPr>
          <xdr:spPr>
            <a:xfrm>
              <a:off x="6393180" y="3806190"/>
              <a:ext cx="1234440" cy="3768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Ĥ</m:t>
                        </m:r>
                      </m:e>
                      <m:sub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  <m:r>
                          <a:rPr lang="en-MY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(1−</m:t>
                        </m:r>
                        <m:f>
                          <m:fPr>
                            <m:ctrlPr>
                              <a:rPr lang="en-MY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MY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MY" sz="12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MY" sz="12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n-MY" sz="12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</m:t>
                                </m:r>
                              </m:sub>
                            </m:sSub>
                          </m:den>
                        </m:f>
                        <m:r>
                          <a:rPr lang="en-MY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</m:sSup>
                  </m:oMath>
                </m:oMathPara>
              </a14:m>
              <a:endParaRPr lang="en-MY" sz="1100" b="0" i="1" kern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6F3B0EB-9D48-47E8-A1AD-FCB365CB2667}"/>
                </a:ext>
              </a:extLst>
            </xdr:cNvPr>
            <xdr:cNvSpPr txBox="1"/>
          </xdr:nvSpPr>
          <xdr:spPr>
            <a:xfrm>
              <a:off x="6393180" y="3806190"/>
              <a:ext cx="1234440" cy="3768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b="0" i="0" kern="1200">
                  <a:latin typeface="Cambria Math" panose="02040503050406030204" pitchFamily="18" charset="0"/>
                </a:rPr>
                <a:t>Ĥ_𝑣=〖</a:t>
              </a:r>
              <a:r>
                <a:rPr lang="en-MY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𝐴(1−𝑇/𝑇_𝑐 )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MY" sz="1200" b="0" i="0" kern="1200">
                  <a:latin typeface="Cambria Math" panose="02040503050406030204" pitchFamily="18" charset="0"/>
                </a:rPr>
                <a:t>𝑛</a:t>
              </a:r>
              <a:endParaRPr lang="en-MY" sz="1100" b="0" i="1" kern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121920</xdr:colOff>
      <xdr:row>27</xdr:row>
      <xdr:rowOff>3810</xdr:rowOff>
    </xdr:from>
    <xdr:ext cx="3303533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DF1EF47-78C8-4EC9-96A7-304315C3CF75}"/>
                </a:ext>
              </a:extLst>
            </xdr:cNvPr>
            <xdr:cNvSpPr txBox="1"/>
          </xdr:nvSpPr>
          <xdr:spPr>
            <a:xfrm>
              <a:off x="6651057" y="5610526"/>
              <a:ext cx="3303533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MY" sz="1200" b="0" i="0" kern="1200">
                        <a:latin typeface="Cambria Math" panose="02040503050406030204" pitchFamily="18" charset="0"/>
                      </a:rPr>
                      <m:t>A</m:t>
                    </m:r>
                    <m:r>
                      <a:rPr lang="en-MY" sz="1200" b="0" i="0" kern="1200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MY" sz="1200" b="0" i="0" kern="1200">
                        <a:latin typeface="Cambria Math" panose="02040503050406030204" pitchFamily="18" charset="0"/>
                      </a:rPr>
                      <m:t>BT</m:t>
                    </m:r>
                    <m:r>
                      <a:rPr lang="en-MY" sz="1200" b="0" i="0" kern="1200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MY" sz="1200" b="0" i="0" kern="1200">
                        <a:latin typeface="Cambria Math" panose="02040503050406030204" pitchFamily="18" charset="0"/>
                      </a:rPr>
                      <m:t>C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𝐷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𝐸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𝐹</m:t>
                    </m:r>
                    <m:sSup>
                      <m:sSupPr>
                        <m:ctrlPr>
                          <a:rPr lang="en-MY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MY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p>
                        <m:r>
                          <a:rPr lang="en-MY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DF1EF47-78C8-4EC9-96A7-304315C3CF75}"/>
                </a:ext>
              </a:extLst>
            </xdr:cNvPr>
            <xdr:cNvSpPr txBox="1"/>
          </xdr:nvSpPr>
          <xdr:spPr>
            <a:xfrm>
              <a:off x="6651057" y="5610526"/>
              <a:ext cx="3303533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200" b="0" i="0" kern="1200">
                  <a:latin typeface="Cambria Math" panose="02040503050406030204" pitchFamily="18" charset="0"/>
                </a:rPr>
                <a:t>𝐶_𝑝=A+BT+C𝑇^2+𝐷𝑇^3+𝐸𝑇^4+𝐹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MY" sz="1200" b="0" i="0" kern="1200">
                  <a:latin typeface="Cambria Math" panose="02040503050406030204" pitchFamily="18" charset="0"/>
                </a:rPr>
                <a:t>(𝐽/𝑚𝑜𝑙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5</xdr:col>
      <xdr:colOff>396240</xdr:colOff>
      <xdr:row>38</xdr:row>
      <xdr:rowOff>179070</xdr:rowOff>
    </xdr:from>
    <xdr:ext cx="2392065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EAAD08B-7AFB-43F6-8406-EDCD6C49EF6A}"/>
                </a:ext>
              </a:extLst>
            </xdr:cNvPr>
            <xdr:cNvSpPr txBox="1"/>
          </xdr:nvSpPr>
          <xdr:spPr>
            <a:xfrm>
              <a:off x="6926580" y="11548110"/>
              <a:ext cx="2392065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MY" sz="1200" b="0" i="0" kern="1200">
                        <a:latin typeface="Cambria Math" panose="02040503050406030204" pitchFamily="18" charset="0"/>
                      </a:rPr>
                      <m:t>A</m:t>
                    </m:r>
                    <m:r>
                      <a:rPr lang="en-MY" sz="1200" b="0" i="0" kern="1200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MY" sz="1200" b="0" i="0" kern="1200">
                        <a:latin typeface="Cambria Math" panose="02040503050406030204" pitchFamily="18" charset="0"/>
                      </a:rPr>
                      <m:t>BT</m:t>
                    </m:r>
                    <m:r>
                      <a:rPr lang="en-MY" sz="1200" b="0" i="0" kern="1200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MY" sz="1200" b="0" i="0" kern="1200">
                        <a:latin typeface="Cambria Math" panose="02040503050406030204" pitchFamily="18" charset="0"/>
                      </a:rPr>
                      <m:t>C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𝐷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EAAD08B-7AFB-43F6-8406-EDCD6C49EF6A}"/>
                </a:ext>
              </a:extLst>
            </xdr:cNvPr>
            <xdr:cNvSpPr txBox="1"/>
          </xdr:nvSpPr>
          <xdr:spPr>
            <a:xfrm>
              <a:off x="6926580" y="11548110"/>
              <a:ext cx="2392065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200" b="0" i="0" kern="1200">
                  <a:latin typeface="Cambria Math" panose="02040503050406030204" pitchFamily="18" charset="0"/>
                </a:rPr>
                <a:t>𝐶_𝑝=A+BT+C𝑇^2+𝐷𝑇^3 (𝐽/𝑚𝑜𝑙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4</xdr:col>
      <xdr:colOff>1211180</xdr:colOff>
      <xdr:row>81</xdr:row>
      <xdr:rowOff>4010</xdr:rowOff>
    </xdr:from>
    <xdr:ext cx="4018548" cy="4852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5745B4-469D-302C-066A-CB2407C4AD66}"/>
                </a:ext>
              </a:extLst>
            </xdr:cNvPr>
            <xdr:cNvSpPr txBox="1"/>
          </xdr:nvSpPr>
          <xdr:spPr>
            <a:xfrm>
              <a:off x="6858001" y="17096873"/>
              <a:ext cx="4018548" cy="4852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MY" sz="1200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Times New Roman" panose="02020603050405020304" pitchFamily="18" charset="0"/>
                      </a:rPr>
                      <m:t>𝜎</m:t>
                    </m:r>
                    <m:r>
                      <a:rPr lang="en-MY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Times New Roman" panose="02020603050405020304" pitchFamily="18" charset="0"/>
                      </a:rPr>
                      <m:t>=</m:t>
                    </m:r>
                    <m:r>
                      <a:rPr lang="en-MY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Times New Roman" panose="02020603050405020304" pitchFamily="18" charset="0"/>
                      </a:rPr>
                      <m:t>𝐴</m:t>
                    </m:r>
                    <m:sSup>
                      <m:sSupPr>
                        <m:ctrlPr>
                          <a:rPr lang="en-MY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MY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dPr>
                          <m:e>
                            <m:r>
                              <a:rPr lang="en-MY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1−</m:t>
                            </m:r>
                            <m:f>
                              <m:fPr>
                                <m:ctrlPr>
                                  <a:rPr lang="en-MY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MY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𝑇</m:t>
                                </m:r>
                              </m:num>
                              <m:den>
                                <m:r>
                                  <a:rPr lang="en-MY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𝑇𝑐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MY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Times New Roman" panose="02020603050405020304" pitchFamily="18" charset="0"/>
                          </a:rPr>
                          <m:t>𝑛</m:t>
                        </m:r>
                        <m:r>
                          <a:rPr lang="en-MY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Times New Roman" panose="02020603050405020304" pitchFamily="18" charset="0"/>
                          </a:rPr>
                          <m:t> </m:t>
                        </m:r>
                      </m:sup>
                    </m:sSup>
                    <m:r>
                      <a:rPr lang="en-MY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Times New Roman" panose="02020603050405020304" pitchFamily="18" charset="0"/>
                      </a:rPr>
                      <m:t>(</m:t>
                    </m:r>
                    <m:f>
                      <m:fPr>
                        <m:ctrlPr>
                          <a:rPr lang="en-MY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en-MY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Times New Roman" panose="02020603050405020304" pitchFamily="18" charset="0"/>
                          </a:rPr>
                          <m:t>𝑑𝑦𝑛𝑒𝑠</m:t>
                        </m:r>
                      </m:num>
                      <m:den>
                        <m:r>
                          <a:rPr lang="en-MY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Times New Roman" panose="02020603050405020304" pitchFamily="18" charset="0"/>
                          </a:rPr>
                          <m:t>𝑐𝑚</m:t>
                        </m:r>
                      </m:den>
                    </m:f>
                    <m:r>
                      <a:rPr lang="en-MY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Times New Roman" panose="02020603050405020304" pitchFamily="18" charset="0"/>
                      </a:rPr>
                      <m:t>)</m:t>
                    </m:r>
                  </m:oMath>
                </m:oMathPara>
              </a14:m>
              <a:endParaRPr lang="en-MY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5745B4-469D-302C-066A-CB2407C4AD66}"/>
                </a:ext>
              </a:extLst>
            </xdr:cNvPr>
            <xdr:cNvSpPr txBox="1"/>
          </xdr:nvSpPr>
          <xdr:spPr>
            <a:xfrm>
              <a:off x="6858001" y="17096873"/>
              <a:ext cx="4018548" cy="4852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MY" sz="1200" i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𝜎</a:t>
              </a:r>
              <a:r>
                <a:rPr lang="en-MY" sz="1200" b="0" i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=𝐴(1−𝑇/𝑇𝑐)^(𝑛 ) (𝑑𝑦𝑛𝑒𝑠/𝑐𝑚)</a:t>
              </a:r>
              <a:endParaRPr lang="en-MY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1295798</xdr:colOff>
      <xdr:row>71</xdr:row>
      <xdr:rowOff>110087</xdr:rowOff>
    </xdr:from>
    <xdr:ext cx="3717359" cy="2026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12C693E-B1B2-4F93-9546-7E6DB33C329C}"/>
                </a:ext>
              </a:extLst>
            </xdr:cNvPr>
            <xdr:cNvSpPr txBox="1"/>
          </xdr:nvSpPr>
          <xdr:spPr>
            <a:xfrm>
              <a:off x="6942619" y="15005182"/>
              <a:ext cx="3717359" cy="2026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𝑙𝑜𝑔</m:t>
                        </m:r>
                      </m:e>
                      <m:sub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sub>
                    </m:sSub>
                    <m:sSub>
                      <m:sSub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𝑙𝑖𝑞</m:t>
                        </m:r>
                      </m:sub>
                    </m:sSub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MY" sz="1200" b="0" i="0" kern="1200">
                        <a:latin typeface="Cambria Math" panose="02040503050406030204" pitchFamily="18" charset="0"/>
                      </a:rPr>
                      <m:t>A</m:t>
                    </m:r>
                    <m:r>
                      <a:rPr lang="en-MY" sz="1200" b="0" i="0" kern="1200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MY" sz="1200" b="0" i="0" kern="1200">
                        <a:latin typeface="Cambria Math" panose="02040503050406030204" pitchFamily="18" charset="0"/>
                      </a:rPr>
                      <m:t>B</m:t>
                    </m:r>
                    <m:r>
                      <a:rPr lang="en-MY" sz="1200" b="0" i="0" kern="1200">
                        <a:latin typeface="Cambria Math" panose="02040503050406030204" pitchFamily="18" charset="0"/>
                      </a:rPr>
                      <m:t>/</m:t>
                    </m:r>
                    <m:r>
                      <m:rPr>
                        <m:sty m:val="p"/>
                      </m:rPr>
                      <a:rPr lang="en-MY" sz="1200" b="0" i="0" kern="1200">
                        <a:latin typeface="Cambria Math" panose="02040503050406030204" pitchFamily="18" charset="0"/>
                      </a:rPr>
                      <m:t>T</m:t>
                    </m:r>
                    <m:r>
                      <a:rPr lang="en-MY" sz="1200" b="0" i="0" kern="1200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MY" sz="1200" b="0" i="0" kern="1200">
                        <a:latin typeface="Cambria Math" panose="02040503050406030204" pitchFamily="18" charset="0"/>
                      </a:rPr>
                      <m:t>C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𝐷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(</m:t>
                    </m:r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𝑐𝑒𝑛𝑡𝑖𝑝𝑜𝑖𝑠𝑒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12C693E-B1B2-4F93-9546-7E6DB33C329C}"/>
                </a:ext>
              </a:extLst>
            </xdr:cNvPr>
            <xdr:cNvSpPr txBox="1"/>
          </xdr:nvSpPr>
          <xdr:spPr>
            <a:xfrm>
              <a:off x="6942619" y="15005182"/>
              <a:ext cx="3717359" cy="2026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〖</a:t>
              </a:r>
              <a:r>
                <a:rPr lang="en-MY" sz="1200" b="0" i="0" kern="1200">
                  <a:latin typeface="Cambria Math" panose="02040503050406030204" pitchFamily="18" charset="0"/>
                </a:rPr>
                <a:t>𝑙𝑜𝑔〗_10 𝑛_𝑙𝑖𝑞=A+B/T+C𝑇^2+𝐷𝑇^2 (𝑐𝑒𝑛𝑡𝑖𝑝𝑜𝑖𝑠𝑒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5</xdr:col>
      <xdr:colOff>75398</xdr:colOff>
      <xdr:row>50</xdr:row>
      <xdr:rowOff>82819</xdr:rowOff>
    </xdr:from>
    <xdr:ext cx="3376630" cy="1841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2E798EE-3D12-7785-B2C4-263A3AE3BCAC}"/>
                </a:ext>
              </a:extLst>
            </xdr:cNvPr>
            <xdr:cNvSpPr txBox="1"/>
          </xdr:nvSpPr>
          <xdr:spPr>
            <a:xfrm>
              <a:off x="7222156" y="10670608"/>
              <a:ext cx="3376630" cy="1841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𝑙𝑜𝑔</m:t>
                        </m:r>
                      </m:e>
                      <m:sub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sub>
                    </m:sSub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MY" sz="1200" b="0" i="0" kern="1200">
                        <a:latin typeface="Cambria Math" panose="02040503050406030204" pitchFamily="18" charset="0"/>
                      </a:rPr>
                      <m:t>A</m:t>
                    </m:r>
                    <m:r>
                      <a:rPr lang="en-MY" sz="1200" b="0" i="0" kern="1200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MY" sz="1200" b="0" i="0" kern="1200">
                        <a:latin typeface="Cambria Math" panose="02040503050406030204" pitchFamily="18" charset="0"/>
                      </a:rPr>
                      <m:t>BT</m:t>
                    </m:r>
                    <m:r>
                      <a:rPr lang="en-MY" sz="1200" b="0" i="0" kern="1200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MY" sz="1200" b="0" i="0" kern="1200">
                        <a:latin typeface="Cambria Math" panose="02040503050406030204" pitchFamily="18" charset="0"/>
                      </a:rPr>
                      <m:t>C</m:t>
                    </m:r>
                    <m:sSub>
                      <m:sSub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𝑙𝑜𝑔</m:t>
                        </m:r>
                      </m:e>
                      <m:sub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10</m:t>
                        </m:r>
                      </m:sub>
                    </m:sSub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𝐷𝑇</m:t>
                    </m:r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𝐸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(</m:t>
                    </m:r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𝑚𝑚𝐻𝑔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2E798EE-3D12-7785-B2C4-263A3AE3BCAC}"/>
                </a:ext>
              </a:extLst>
            </xdr:cNvPr>
            <xdr:cNvSpPr txBox="1"/>
          </xdr:nvSpPr>
          <xdr:spPr>
            <a:xfrm>
              <a:off x="7222156" y="10670608"/>
              <a:ext cx="3376630" cy="1841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〖</a:t>
              </a:r>
              <a:r>
                <a:rPr lang="en-MY" sz="1200" b="0" i="0" kern="1200">
                  <a:latin typeface="Cambria Math" panose="02040503050406030204" pitchFamily="18" charset="0"/>
                </a:rPr>
                <a:t>𝑙𝑜𝑔〗_10 𝑃=A+BT+C〖𝑙𝑜𝑔〗_10 𝑇+𝐷𝑇+𝐸𝑇^3 (𝑚𝑚𝐻𝑔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5</xdr:col>
      <xdr:colOff>829378</xdr:colOff>
      <xdr:row>61</xdr:row>
      <xdr:rowOff>10630</xdr:rowOff>
    </xdr:from>
    <xdr:ext cx="1617044" cy="3577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67C3E4A-E964-477B-812D-D3FF1FC4B214}"/>
                </a:ext>
              </a:extLst>
            </xdr:cNvPr>
            <xdr:cNvSpPr txBox="1"/>
          </xdr:nvSpPr>
          <xdr:spPr>
            <a:xfrm>
              <a:off x="7976136" y="12740041"/>
              <a:ext cx="1617044" cy="357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MY" sz="12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𝐴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p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−(1−</m:t>
                            </m:r>
                            <m:f>
                              <m:fPr>
                                <m:ctrlPr>
                                  <a:rPr lang="en-MY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MY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MY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MY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MY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𝑐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MY" sz="1200" b="0" i="0" kern="1200">
                            <a:latin typeface="Cambria Math" panose="02040503050406030204" pitchFamily="18" charset="0"/>
                          </a:rPr>
                          <m:t>g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MY" sz="1200" b="0" i="0" kern="1200">
                            <a:latin typeface="Cambria Math" panose="02040503050406030204" pitchFamily="18" charset="0"/>
                          </a:rPr>
                          <m:t>mL</m:t>
                        </m:r>
                      </m:den>
                    </m:f>
                    <m:r>
                      <a:rPr lang="en-MY" sz="1200" b="0" i="0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67C3E4A-E964-477B-812D-D3FF1FC4B214}"/>
                </a:ext>
              </a:extLst>
            </xdr:cNvPr>
            <xdr:cNvSpPr txBox="1"/>
          </xdr:nvSpPr>
          <xdr:spPr>
            <a:xfrm>
              <a:off x="7976136" y="12740041"/>
              <a:ext cx="1617044" cy="357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MY" sz="1200" b="0" i="0" kern="1200">
                  <a:latin typeface="Cambria Math" panose="02040503050406030204" pitchFamily="18" charset="0"/>
                </a:rPr>
                <a:t>=𝐴𝐵^(〖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−(1−𝑇/𝑇_𝑐 )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MY" sz="1200" b="0" i="0" kern="1200">
                  <a:latin typeface="Cambria Math" panose="02040503050406030204" pitchFamily="18" charset="0"/>
                </a:rPr>
                <a:t>𝑛 )  (g/mL)</a:t>
              </a:r>
              <a:endParaRPr lang="en-MY" sz="1200" kern="12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187922</xdr:colOff>
      <xdr:row>29</xdr:row>
      <xdr:rowOff>83820</xdr:rowOff>
    </xdr:from>
    <xdr:ext cx="3554730" cy="1466850"/>
    <xdr:sp macro="" textlink="">
      <xdr:nvSpPr>
        <xdr:cNvPr id="12" name="Shape 56">
          <a:extLst>
            <a:ext uri="{FF2B5EF4-FFF2-40B4-BE49-F238E27FC236}">
              <a16:creationId xmlns:a16="http://schemas.microsoft.com/office/drawing/2014/main" id="{A648148C-58CF-41D1-A5E3-661EFF59E9BB}"/>
            </a:ext>
          </a:extLst>
        </xdr:cNvPr>
        <xdr:cNvSpPr/>
      </xdr:nvSpPr>
      <xdr:spPr>
        <a:xfrm>
          <a:off x="4759922" y="5875020"/>
          <a:ext cx="3554730" cy="146685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Times New Roman"/>
              <a:ea typeface="Times New Roman"/>
              <a:cs typeface="Times New Roman"/>
              <a:sym typeface="Times New Roman"/>
            </a:rPr>
            <a:t>Reactor</a:t>
          </a:r>
          <a:endParaRPr sz="20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twoCellAnchor>
    <xdr:from>
      <xdr:col>9</xdr:col>
      <xdr:colOff>16472</xdr:colOff>
      <xdr:row>33</xdr:row>
      <xdr:rowOff>15240</xdr:rowOff>
    </xdr:from>
    <xdr:to>
      <xdr:col>14</xdr:col>
      <xdr:colOff>22860</xdr:colOff>
      <xdr:row>33</xdr:row>
      <xdr:rowOff>24765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E0098AC-FF03-462E-BE80-38D96393FC08}"/>
            </a:ext>
          </a:extLst>
        </xdr:cNvPr>
        <xdr:cNvCxnSpPr>
          <a:stCxn id="12" idx="3"/>
        </xdr:cNvCxnSpPr>
      </xdr:nvCxnSpPr>
      <xdr:spPr>
        <a:xfrm flipV="1">
          <a:off x="8314652" y="6598920"/>
          <a:ext cx="4616488" cy="952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861060</xdr:colOff>
      <xdr:row>33</xdr:row>
      <xdr:rowOff>22860</xdr:rowOff>
    </xdr:from>
    <xdr:to>
      <xdr:col>5</xdr:col>
      <xdr:colOff>187922</xdr:colOff>
      <xdr:row>33</xdr:row>
      <xdr:rowOff>24765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D3DE673-11DF-41DF-BA2A-CA9951F6284C}"/>
            </a:ext>
          </a:extLst>
        </xdr:cNvPr>
        <xdr:cNvCxnSpPr>
          <a:endCxn id="12" idx="1"/>
        </xdr:cNvCxnSpPr>
      </xdr:nvCxnSpPr>
      <xdr:spPr>
        <a:xfrm>
          <a:off x="861060" y="6606540"/>
          <a:ext cx="3898862" cy="190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845147</xdr:colOff>
      <xdr:row>36</xdr:row>
      <xdr:rowOff>163830</xdr:rowOff>
    </xdr:from>
    <xdr:to>
      <xdr:col>6</xdr:col>
      <xdr:colOff>845820</xdr:colOff>
      <xdr:row>61</xdr:row>
      <xdr:rowOff>45720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29F46FD-0415-43C1-91E9-127E795F089B}"/>
            </a:ext>
          </a:extLst>
        </xdr:cNvPr>
        <xdr:cNvCxnSpPr>
          <a:endCxn id="12" idx="2"/>
        </xdr:cNvCxnSpPr>
      </xdr:nvCxnSpPr>
      <xdr:spPr>
        <a:xfrm flipH="1" flipV="1">
          <a:off x="6537287" y="7341870"/>
          <a:ext cx="673" cy="483489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1827</xdr:colOff>
      <xdr:row>32</xdr:row>
      <xdr:rowOff>114685</xdr:rowOff>
    </xdr:from>
    <xdr:ext cx="962025" cy="19050"/>
    <xdr:pic>
      <xdr:nvPicPr>
        <xdr:cNvPr id="16" name="image15.png" title="Image">
          <a:extLst>
            <a:ext uri="{FF2B5EF4-FFF2-40B4-BE49-F238E27FC236}">
              <a16:creationId xmlns:a16="http://schemas.microsoft.com/office/drawing/2014/main" id="{4232450F-2BD7-4CF7-A45B-0468C48637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04827" y="6500245"/>
          <a:ext cx="962025" cy="19050"/>
        </a:xfrm>
        <a:prstGeom prst="rect">
          <a:avLst/>
        </a:prstGeom>
        <a:noFill/>
      </xdr:spPr>
    </xdr:pic>
    <xdr:clientData fLocksWithSheet="0"/>
  </xdr:oneCellAnchor>
  <xdr:twoCellAnchor>
    <xdr:from>
      <xdr:col>18</xdr:col>
      <xdr:colOff>2103120</xdr:colOff>
      <xdr:row>122</xdr:row>
      <xdr:rowOff>111162</xdr:rowOff>
    </xdr:from>
    <xdr:to>
      <xdr:col>20</xdr:col>
      <xdr:colOff>426719</xdr:colOff>
      <xdr:row>122</xdr:row>
      <xdr:rowOff>156881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6DFE9173-4DBA-A053-9590-8B5571D48EBA}"/>
            </a:ext>
          </a:extLst>
        </xdr:cNvPr>
        <xdr:cNvGrpSpPr/>
      </xdr:nvGrpSpPr>
      <xdr:grpSpPr>
        <a:xfrm flipV="1">
          <a:off x="20597949" y="24059733"/>
          <a:ext cx="2677884" cy="45719"/>
          <a:chOff x="19791381" y="19457893"/>
          <a:chExt cx="2970025" cy="71719"/>
        </a:xfrm>
      </xdr:grpSpPr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5A64C4AE-4266-4CF4-268B-89D9AC93D2DD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362DCAC4-EF8E-F90A-A58C-613F31104971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BFB09376-F998-0D09-4F3F-595A884160ED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18</xdr:col>
      <xdr:colOff>2081605</xdr:colOff>
      <xdr:row>130</xdr:row>
      <xdr:rowOff>71717</xdr:rowOff>
    </xdr:from>
    <xdr:to>
      <xdr:col>20</xdr:col>
      <xdr:colOff>365760</xdr:colOff>
      <xdr:row>130</xdr:row>
      <xdr:rowOff>117436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99F25435-536D-47D9-8756-47D3F8819F38}"/>
            </a:ext>
          </a:extLst>
        </xdr:cNvPr>
        <xdr:cNvGrpSpPr/>
      </xdr:nvGrpSpPr>
      <xdr:grpSpPr>
        <a:xfrm>
          <a:off x="20576434" y="26055917"/>
          <a:ext cx="2638440" cy="45719"/>
          <a:chOff x="19791381" y="19457893"/>
          <a:chExt cx="2970025" cy="71719"/>
        </a:xfrm>
      </xdr:grpSpPr>
      <xdr:cxnSp macro="">
        <xdr:nvCxnSpPr>
          <xdr:cNvPr id="27" name="Straight Arrow Connector 26">
            <a:extLst>
              <a:ext uri="{FF2B5EF4-FFF2-40B4-BE49-F238E27FC236}">
                <a16:creationId xmlns:a16="http://schemas.microsoft.com/office/drawing/2014/main" id="{1291FA68-34F3-8DAD-0739-34E467CBCEA8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144CFAF3-B9E7-7725-BC4E-49059AD6CF1A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D1655872-9611-3C05-1877-1BF6022A02F7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18</xdr:col>
      <xdr:colOff>2182906</xdr:colOff>
      <xdr:row>138</xdr:row>
      <xdr:rowOff>68581</xdr:rowOff>
    </xdr:from>
    <xdr:to>
      <xdr:col>20</xdr:col>
      <xdr:colOff>365760</xdr:colOff>
      <xdr:row>138</xdr:row>
      <xdr:rowOff>114301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808C31FA-A7ED-388A-32A6-DA3139D39D21}"/>
            </a:ext>
          </a:extLst>
        </xdr:cNvPr>
        <xdr:cNvGrpSpPr/>
      </xdr:nvGrpSpPr>
      <xdr:grpSpPr>
        <a:xfrm flipV="1">
          <a:off x="20677735" y="28110181"/>
          <a:ext cx="2537139" cy="45720"/>
          <a:chOff x="19791381" y="19457893"/>
          <a:chExt cx="2970025" cy="71719"/>
        </a:xfrm>
      </xdr:grpSpPr>
      <xdr:cxnSp macro="">
        <xdr:nvCxnSpPr>
          <xdr:cNvPr id="31" name="Straight Arrow Connector 30">
            <a:extLst>
              <a:ext uri="{FF2B5EF4-FFF2-40B4-BE49-F238E27FC236}">
                <a16:creationId xmlns:a16="http://schemas.microsoft.com/office/drawing/2014/main" id="{81F79A51-484C-0223-06C1-FBD02626A483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A6DAFFD3-8ACF-2163-AE75-0D63BD48DED1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33" name="Oval 32">
            <a:extLst>
              <a:ext uri="{FF2B5EF4-FFF2-40B4-BE49-F238E27FC236}">
                <a16:creationId xmlns:a16="http://schemas.microsoft.com/office/drawing/2014/main" id="{F4D3F858-06CF-1996-9D28-69995D5F9B37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18</xdr:col>
      <xdr:colOff>2063673</xdr:colOff>
      <xdr:row>146</xdr:row>
      <xdr:rowOff>80683</xdr:rowOff>
    </xdr:from>
    <xdr:to>
      <xdr:col>20</xdr:col>
      <xdr:colOff>292100</xdr:colOff>
      <xdr:row>146</xdr:row>
      <xdr:rowOff>127000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518F3FD1-7B48-B39D-3701-CFD2073CB44B}"/>
            </a:ext>
          </a:extLst>
        </xdr:cNvPr>
        <xdr:cNvGrpSpPr/>
      </xdr:nvGrpSpPr>
      <xdr:grpSpPr>
        <a:xfrm>
          <a:off x="20558502" y="30125254"/>
          <a:ext cx="2582712" cy="46317"/>
          <a:chOff x="19791381" y="19457893"/>
          <a:chExt cx="2970025" cy="71719"/>
        </a:xfrm>
      </xdr:grpSpPr>
      <xdr:cxnSp macro="">
        <xdr:nvCxnSpPr>
          <xdr:cNvPr id="35" name="Straight Arrow Connector 34">
            <a:extLst>
              <a:ext uri="{FF2B5EF4-FFF2-40B4-BE49-F238E27FC236}">
                <a16:creationId xmlns:a16="http://schemas.microsoft.com/office/drawing/2014/main" id="{6E712640-BA74-CC48-519B-8E2838BD46C6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C293E5E2-8EA6-6B0F-1FE8-E51A877B3C79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BF88A71F-9ACF-C7B1-82BD-FE1BE642EDD9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18</xdr:col>
      <xdr:colOff>2179766</xdr:colOff>
      <xdr:row>153</xdr:row>
      <xdr:rowOff>86957</xdr:rowOff>
    </xdr:from>
    <xdr:to>
      <xdr:col>20</xdr:col>
      <xdr:colOff>403860</xdr:colOff>
      <xdr:row>153</xdr:row>
      <xdr:rowOff>132676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944EAA86-CED6-CC96-F9CF-E07D28527F41}"/>
            </a:ext>
          </a:extLst>
        </xdr:cNvPr>
        <xdr:cNvGrpSpPr/>
      </xdr:nvGrpSpPr>
      <xdr:grpSpPr>
        <a:xfrm>
          <a:off x="20674595" y="31927671"/>
          <a:ext cx="2578379" cy="45719"/>
          <a:chOff x="19791381" y="19457893"/>
          <a:chExt cx="2970025" cy="71719"/>
        </a:xfrm>
      </xdr:grpSpPr>
      <xdr:cxnSp macro="">
        <xdr:nvCxnSpPr>
          <xdr:cNvPr id="39" name="Straight Arrow Connector 38">
            <a:extLst>
              <a:ext uri="{FF2B5EF4-FFF2-40B4-BE49-F238E27FC236}">
                <a16:creationId xmlns:a16="http://schemas.microsoft.com/office/drawing/2014/main" id="{AAA17C1D-95E7-A1A7-90EE-3B9C9A72118B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E70A95B9-30CD-2EA8-5404-69033ED53286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42B4683F-C233-CE40-C4DC-999C6B602A44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18</xdr:col>
      <xdr:colOff>2146596</xdr:colOff>
      <xdr:row>160</xdr:row>
      <xdr:rowOff>79337</xdr:rowOff>
    </xdr:from>
    <xdr:to>
      <xdr:col>20</xdr:col>
      <xdr:colOff>525780</xdr:colOff>
      <xdr:row>160</xdr:row>
      <xdr:rowOff>125056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B3D16075-22EB-3B17-396E-EA292565C339}"/>
            </a:ext>
          </a:extLst>
        </xdr:cNvPr>
        <xdr:cNvGrpSpPr/>
      </xdr:nvGrpSpPr>
      <xdr:grpSpPr>
        <a:xfrm>
          <a:off x="20641425" y="33770623"/>
          <a:ext cx="2733469" cy="45719"/>
          <a:chOff x="19791381" y="19457893"/>
          <a:chExt cx="2970025" cy="71719"/>
        </a:xfrm>
      </xdr:grpSpPr>
      <xdr:cxnSp macro="">
        <xdr:nvCxnSpPr>
          <xdr:cNvPr id="43" name="Straight Arrow Connector 42">
            <a:extLst>
              <a:ext uri="{FF2B5EF4-FFF2-40B4-BE49-F238E27FC236}">
                <a16:creationId xmlns:a16="http://schemas.microsoft.com/office/drawing/2014/main" id="{01746A09-F712-A9FF-39BA-5B581DB1AF91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Oval 43">
            <a:extLst>
              <a:ext uri="{FF2B5EF4-FFF2-40B4-BE49-F238E27FC236}">
                <a16:creationId xmlns:a16="http://schemas.microsoft.com/office/drawing/2014/main" id="{2EC05056-7B57-E58C-351E-A33AC1468402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5" name="Oval 44">
            <a:extLst>
              <a:ext uri="{FF2B5EF4-FFF2-40B4-BE49-F238E27FC236}">
                <a16:creationId xmlns:a16="http://schemas.microsoft.com/office/drawing/2014/main" id="{B7693C66-5B9D-FF5B-3365-27686F547C60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18</xdr:col>
      <xdr:colOff>2295411</xdr:colOff>
      <xdr:row>167</xdr:row>
      <xdr:rowOff>86957</xdr:rowOff>
    </xdr:from>
    <xdr:to>
      <xdr:col>20</xdr:col>
      <xdr:colOff>518160</xdr:colOff>
      <xdr:row>167</xdr:row>
      <xdr:rowOff>137161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C78E5323-39C1-E36F-079A-85D33F7C2C97}"/>
            </a:ext>
          </a:extLst>
        </xdr:cNvPr>
        <xdr:cNvGrpSpPr/>
      </xdr:nvGrpSpPr>
      <xdr:grpSpPr>
        <a:xfrm>
          <a:off x="20790240" y="35563500"/>
          <a:ext cx="2577034" cy="50204"/>
          <a:chOff x="19791381" y="19457893"/>
          <a:chExt cx="2970025" cy="71719"/>
        </a:xfrm>
      </xdr:grpSpPr>
      <xdr:cxnSp macro="">
        <xdr:nvCxnSpPr>
          <xdr:cNvPr id="47" name="Straight Arrow Connector 46">
            <a:extLst>
              <a:ext uri="{FF2B5EF4-FFF2-40B4-BE49-F238E27FC236}">
                <a16:creationId xmlns:a16="http://schemas.microsoft.com/office/drawing/2014/main" id="{DD819D4E-064B-9979-4DD1-E8DC01D1DA6E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Oval 47">
            <a:extLst>
              <a:ext uri="{FF2B5EF4-FFF2-40B4-BE49-F238E27FC236}">
                <a16:creationId xmlns:a16="http://schemas.microsoft.com/office/drawing/2014/main" id="{AB28428B-068D-3957-0EA8-0AE5ABA9FF0C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9" name="Oval 48">
            <a:extLst>
              <a:ext uri="{FF2B5EF4-FFF2-40B4-BE49-F238E27FC236}">
                <a16:creationId xmlns:a16="http://schemas.microsoft.com/office/drawing/2014/main" id="{32D9F3D4-3F17-E907-CDA8-68B1EA2C023D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oneCellAnchor>
    <xdr:from>
      <xdr:col>19</xdr:col>
      <xdr:colOff>1386840</xdr:colOff>
      <xdr:row>121</xdr:row>
      <xdr:rowOff>80010</xdr:rowOff>
    </xdr:from>
    <xdr:ext cx="65" cy="162224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553D4D3-006D-94E3-2CDD-7705EE033A64}"/>
            </a:ext>
          </a:extLst>
        </xdr:cNvPr>
        <xdr:cNvSpPr txBox="1"/>
      </xdr:nvSpPr>
      <xdr:spPr>
        <a:xfrm>
          <a:off x="22059900" y="19343370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MY" sz="1100" kern="1200"/>
        </a:p>
      </xdr:txBody>
    </xdr:sp>
    <xdr:clientData/>
  </xdr:oneCellAnchor>
  <xdr:oneCellAnchor>
    <xdr:from>
      <xdr:col>20</xdr:col>
      <xdr:colOff>0</xdr:colOff>
      <xdr:row>149</xdr:row>
      <xdr:rowOff>11430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32435D22-6CD6-C257-C640-4EA55DA57D68}"/>
                </a:ext>
              </a:extLst>
            </xdr:cNvPr>
            <xdr:cNvSpPr txBox="1"/>
          </xdr:nvSpPr>
          <xdr:spPr>
            <a:xfrm>
              <a:off x="22684740" y="2621661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32435D22-6CD6-C257-C640-4EA55DA57D68}"/>
                </a:ext>
              </a:extLst>
            </xdr:cNvPr>
            <xdr:cNvSpPr txBox="1"/>
          </xdr:nvSpPr>
          <xdr:spPr>
            <a:xfrm>
              <a:off x="22684740" y="2621661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_298.15𝐾^623.15𝐾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MY" sz="1200" b="0" i="0" kern="1200">
                  <a:latin typeface="Cambria Math" panose="02040503050406030204" pitchFamily="18" charset="0"/>
                </a:rPr>
                <a:t>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38100</xdr:colOff>
      <xdr:row>156</xdr:row>
      <xdr:rowOff>80010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89DEB3B1-9158-492F-9B84-B344E34D93D5}"/>
                </a:ext>
              </a:extLst>
            </xdr:cNvPr>
            <xdr:cNvSpPr txBox="1"/>
          </xdr:nvSpPr>
          <xdr:spPr>
            <a:xfrm>
              <a:off x="22722840" y="2809113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−3.1976×</m:t>
                        </m:r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−4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MY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+1.5834×</m:t>
                        </m:r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−7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  <m:r>
                          <a:rPr lang="en-MY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−3.2344×</m:t>
                        </m:r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−11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p>
                        </m:sSup>
                      </m:e>
                    </m:nary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89DEB3B1-9158-492F-9B84-B344E34D93D5}"/>
                </a:ext>
              </a:extLst>
            </xdr:cNvPr>
            <xdr:cNvSpPr txBox="1"/>
          </xdr:nvSpPr>
          <xdr:spPr>
            <a:xfrm>
              <a:off x="22722840" y="2809113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_298.15𝐾^623.15𝐾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−3.1976×10^(−4) 𝑇^2+1.5834×10^(−7) 𝑇^3−3.2344×10^(−11) 𝑇^4 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19</xdr:col>
      <xdr:colOff>1973580</xdr:colOff>
      <xdr:row>133</xdr:row>
      <xdr:rowOff>72390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93DA9073-0D61-475F-A885-868FEC50D3AA}"/>
                </a:ext>
              </a:extLst>
            </xdr:cNvPr>
            <xdr:cNvSpPr txBox="1"/>
          </xdr:nvSpPr>
          <xdr:spPr>
            <a:xfrm>
              <a:off x="22646640" y="2215515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93DA9073-0D61-475F-A885-868FEC50D3AA}"/>
                </a:ext>
              </a:extLst>
            </xdr:cNvPr>
            <xdr:cNvSpPr txBox="1"/>
          </xdr:nvSpPr>
          <xdr:spPr>
            <a:xfrm>
              <a:off x="22646640" y="2215515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_298.15𝐾^623.15𝐾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MY" sz="1200" b="0" i="0" kern="1200">
                  <a:latin typeface="Cambria Math" panose="02040503050406030204" pitchFamily="18" charset="0"/>
                </a:rPr>
                <a:t>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30480</xdr:colOff>
      <xdr:row>163</xdr:row>
      <xdr:rowOff>34290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C13523EE-E5FD-4A3A-A7AF-8DC8F8CB98B3}"/>
                </a:ext>
              </a:extLst>
            </xdr:cNvPr>
            <xdr:cNvSpPr txBox="1"/>
          </xdr:nvSpPr>
          <xdr:spPr>
            <a:xfrm>
              <a:off x="22715220" y="2992755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−4.9545×</m:t>
                        </m:r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−4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MY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+2.1789×</m:t>
                        </m:r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−7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  <m:r>
                          <a:rPr lang="en-MY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−3.8987×</m:t>
                        </m:r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−11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p>
                        </m:sSup>
                      </m:e>
                    </m:nary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C13523EE-E5FD-4A3A-A7AF-8DC8F8CB98B3}"/>
                </a:ext>
              </a:extLst>
            </xdr:cNvPr>
            <xdr:cNvSpPr txBox="1"/>
          </xdr:nvSpPr>
          <xdr:spPr>
            <a:xfrm>
              <a:off x="22715220" y="2992755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_298.15𝐾^623.15𝐾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−4.9545×10^(−4) 𝑇^2+2.1789×10^(−7) 𝑇^3−3.8987×10^(−11) 𝑇^4 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7620</xdr:colOff>
      <xdr:row>170</xdr:row>
      <xdr:rowOff>41910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024FC61A-7BDD-43E0-8FC3-2DCAFAF0B7C7}"/>
                </a:ext>
              </a:extLst>
            </xdr:cNvPr>
            <xdr:cNvSpPr txBox="1"/>
          </xdr:nvSpPr>
          <xdr:spPr>
            <a:xfrm>
              <a:off x="22692360" y="3174873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37.730+4.9155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+3.5952×</m:t>
                        </m:r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−4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MY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−8.2287×</m:t>
                        </m:r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−7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  <m:r>
                          <a:rPr lang="en-MY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+3.5374×</m:t>
                        </m:r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−10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p>
                        </m:sSup>
                      </m:e>
                    </m:nary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024FC61A-7BDD-43E0-8FC3-2DCAFAF0B7C7}"/>
                </a:ext>
              </a:extLst>
            </xdr:cNvPr>
            <xdr:cNvSpPr txBox="1"/>
          </xdr:nvSpPr>
          <xdr:spPr>
            <a:xfrm>
              <a:off x="22692360" y="3174873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_298.15𝐾^623.15𝐾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MY" sz="1200" b="0" i="0" kern="1200">
                  <a:latin typeface="Cambria Math" panose="02040503050406030204" pitchFamily="18" charset="0"/>
                </a:rPr>
                <a:t>37.730+4.9155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+3.5952×10^(−4) 𝑇^2−8.2287×10^(−7) 𝑇^3+3.5374×10^(−10) 𝑇^4 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91440</xdr:colOff>
      <xdr:row>126</xdr:row>
      <xdr:rowOff>49530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B81C4C1-94FA-40EA-BD12-77CE0B0F3C1E}"/>
                </a:ext>
              </a:extLst>
            </xdr:cNvPr>
            <xdr:cNvSpPr txBox="1"/>
          </xdr:nvSpPr>
          <xdr:spPr>
            <a:xfrm>
              <a:off x="22776180" y="2030349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33.573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1.2581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GB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200" b="0" i="1" kern="1200">
                        <a:latin typeface="Cambria Math" panose="02040503050406030204" pitchFamily="18" charset="0"/>
                      </a:rPr>
                      <m:t>8.8906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7.1783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8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+1.8569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B81C4C1-94FA-40EA-BD12-77CE0B0F3C1E}"/>
                </a:ext>
              </a:extLst>
            </xdr:cNvPr>
            <xdr:cNvSpPr txBox="1"/>
          </xdr:nvSpPr>
          <xdr:spPr>
            <a:xfrm>
              <a:off x="22776180" y="2030349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_298.15𝐾^623.15𝐾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GB" sz="1200" b="0" i="0" kern="1200">
                  <a:latin typeface="Cambria Math" panose="02040503050406030204" pitchFamily="18" charset="0"/>
                </a:rPr>
                <a:t>33.573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</a:t>
              </a:r>
              <a:r>
                <a:rPr lang="en-GB" sz="1200" b="0" i="0" kern="1200">
                  <a:latin typeface="Cambria Math" panose="02040503050406030204" pitchFamily="18" charset="0"/>
                </a:rPr>
                <a:t>1.2581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</a:t>
              </a:r>
              <a:r>
                <a:rPr lang="en-GB" sz="1200" b="0" i="0" kern="1200">
                  <a:latin typeface="Cambria Math" panose="02040503050406030204" pitchFamily="18" charset="0"/>
                </a:rPr>
                <a:t>8.8906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𝑇^2−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7.1783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𝑇^3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+1.8569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0</xdr:colOff>
      <xdr:row>142</xdr:row>
      <xdr:rowOff>22860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2518BC3-8EC8-4657-90D6-F8AF56B073B0}"/>
                </a:ext>
              </a:extLst>
            </xdr:cNvPr>
            <xdr:cNvSpPr txBox="1"/>
          </xdr:nvSpPr>
          <xdr:spPr>
            <a:xfrm>
              <a:off x="22684740" y="244068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33.573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1.2581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GB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200" b="0" i="1" kern="1200">
                        <a:latin typeface="Cambria Math" panose="02040503050406030204" pitchFamily="18" charset="0"/>
                      </a:rPr>
                      <m:t>8.8906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7.1783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8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+1.8569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2518BC3-8EC8-4657-90D6-F8AF56B073B0}"/>
                </a:ext>
              </a:extLst>
            </xdr:cNvPr>
            <xdr:cNvSpPr txBox="1"/>
          </xdr:nvSpPr>
          <xdr:spPr>
            <a:xfrm>
              <a:off x="22684740" y="244068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_298.15𝐾^623.15𝐾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GB" sz="1200" b="0" i="0" kern="1200">
                  <a:latin typeface="Cambria Math" panose="02040503050406030204" pitchFamily="18" charset="0"/>
                </a:rPr>
                <a:t>33.573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</a:t>
              </a:r>
              <a:r>
                <a:rPr lang="en-GB" sz="1200" b="0" i="0" kern="1200">
                  <a:latin typeface="Cambria Math" panose="02040503050406030204" pitchFamily="18" charset="0"/>
                </a:rPr>
                <a:t>1.2581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</a:t>
              </a:r>
              <a:r>
                <a:rPr lang="en-GB" sz="1200" b="0" i="0" kern="1200">
                  <a:latin typeface="Cambria Math" panose="02040503050406030204" pitchFamily="18" charset="0"/>
                </a:rPr>
                <a:t>8.8906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𝑇^2−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7.1783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𝑇^3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+1.8569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222885</xdr:colOff>
      <xdr:row>22</xdr:row>
      <xdr:rowOff>7620</xdr:rowOff>
    </xdr:from>
    <xdr:ext cx="3238500" cy="1571625"/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7350C1D5-A8EF-4396-9DCB-2E1E4C0E6F1C}"/>
            </a:ext>
          </a:extLst>
        </xdr:cNvPr>
        <xdr:cNvSpPr/>
      </xdr:nvSpPr>
      <xdr:spPr>
        <a:xfrm>
          <a:off x="5518785" y="4366260"/>
          <a:ext cx="3238500" cy="157162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MY" sz="2000" b="1">
              <a:latin typeface="Times New Roman" panose="02020603050405020304" pitchFamily="18" charset="0"/>
              <a:cs typeface="Times New Roman" panose="02020603050405020304" pitchFamily="18" charset="0"/>
            </a:rPr>
            <a:t>Cooler 1</a:t>
          </a:r>
          <a:endParaRPr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/>
  </xdr:oneCellAnchor>
  <xdr:twoCellAnchor>
    <xdr:from>
      <xdr:col>9</xdr:col>
      <xdr:colOff>855345</xdr:colOff>
      <xdr:row>26</xdr:row>
      <xdr:rowOff>953</xdr:rowOff>
    </xdr:from>
    <xdr:to>
      <xdr:col>15</xdr:col>
      <xdr:colOff>167640</xdr:colOff>
      <xdr:row>26</xdr:row>
      <xdr:rowOff>22860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37A8A752-DB34-4157-8706-41D0892464BB}"/>
            </a:ext>
          </a:extLst>
        </xdr:cNvPr>
        <xdr:cNvCxnSpPr>
          <a:stCxn id="18" idx="3"/>
        </xdr:cNvCxnSpPr>
      </xdr:nvCxnSpPr>
      <xdr:spPr>
        <a:xfrm>
          <a:off x="8757285" y="5152073"/>
          <a:ext cx="4608195" cy="21907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548640</xdr:colOff>
      <xdr:row>26</xdr:row>
      <xdr:rowOff>953</xdr:rowOff>
    </xdr:from>
    <xdr:to>
      <xdr:col>6</xdr:col>
      <xdr:colOff>222885</xdr:colOff>
      <xdr:row>26</xdr:row>
      <xdr:rowOff>7620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DFD155A-7EAC-4E68-A54A-402830098472}"/>
            </a:ext>
          </a:extLst>
        </xdr:cNvPr>
        <xdr:cNvCxnSpPr>
          <a:endCxn id="18" idx="1"/>
        </xdr:cNvCxnSpPr>
      </xdr:nvCxnSpPr>
      <xdr:spPr>
        <a:xfrm flipV="1">
          <a:off x="548640" y="5152073"/>
          <a:ext cx="4970145" cy="6667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2151803</xdr:colOff>
      <xdr:row>54</xdr:row>
      <xdr:rowOff>79163</xdr:rowOff>
    </xdr:from>
    <xdr:to>
      <xdr:col>18</xdr:col>
      <xdr:colOff>366183</xdr:colOff>
      <xdr:row>54</xdr:row>
      <xdr:rowOff>124882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AD3EA183-4DC7-46FE-8835-83C85ABA6DFC}"/>
            </a:ext>
          </a:extLst>
        </xdr:cNvPr>
        <xdr:cNvGrpSpPr/>
      </xdr:nvGrpSpPr>
      <xdr:grpSpPr>
        <a:xfrm>
          <a:off x="17103936" y="10594763"/>
          <a:ext cx="2642447" cy="45719"/>
          <a:chOff x="19791381" y="19457893"/>
          <a:chExt cx="2970025" cy="71719"/>
        </a:xfrm>
      </xdr:grpSpPr>
      <xdr:cxnSp macro="">
        <xdr:nvCxnSpPr>
          <xdr:cNvPr id="22" name="Straight Arrow Connector 21">
            <a:extLst>
              <a:ext uri="{FF2B5EF4-FFF2-40B4-BE49-F238E27FC236}">
                <a16:creationId xmlns:a16="http://schemas.microsoft.com/office/drawing/2014/main" id="{0A3BE96E-C733-1585-F485-BE8D9501BB40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EB981038-97FB-BDE8-97FE-0659D82C5DD0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58B04A2E-85B9-5B4D-E2B6-556CC9AC3716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16</xdr:col>
      <xdr:colOff>2026920</xdr:colOff>
      <xdr:row>62</xdr:row>
      <xdr:rowOff>93980</xdr:rowOff>
    </xdr:from>
    <xdr:to>
      <xdr:col>18</xdr:col>
      <xdr:colOff>241300</xdr:colOff>
      <xdr:row>62</xdr:row>
      <xdr:rowOff>139699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65EEAF89-82F0-5CA2-4EF6-E8AE2214BDB3}"/>
            </a:ext>
          </a:extLst>
        </xdr:cNvPr>
        <xdr:cNvGrpSpPr/>
      </xdr:nvGrpSpPr>
      <xdr:grpSpPr>
        <a:xfrm>
          <a:off x="16979053" y="12658513"/>
          <a:ext cx="2642447" cy="45719"/>
          <a:chOff x="19791381" y="19457893"/>
          <a:chExt cx="2970025" cy="71719"/>
        </a:xfrm>
      </xdr:grpSpPr>
      <xdr:cxnSp macro="">
        <xdr:nvCxnSpPr>
          <xdr:cNvPr id="26" name="Straight Arrow Connector 25">
            <a:extLst>
              <a:ext uri="{FF2B5EF4-FFF2-40B4-BE49-F238E27FC236}">
                <a16:creationId xmlns:a16="http://schemas.microsoft.com/office/drawing/2014/main" id="{A9A463D8-56AE-633B-C2B9-0542AD9AE736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65E7CA0D-AFF9-7D4D-A5B6-8304E1299036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D349F4CA-BD69-2D81-1D0A-C1DC68210066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16</xdr:col>
      <xdr:colOff>2111586</xdr:colOff>
      <xdr:row>69</xdr:row>
      <xdr:rowOff>87630</xdr:rowOff>
    </xdr:from>
    <xdr:to>
      <xdr:col>18</xdr:col>
      <xdr:colOff>224366</xdr:colOff>
      <xdr:row>69</xdr:row>
      <xdr:rowOff>133349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EA149141-9E0F-101C-38D7-B000E8E586AE}"/>
            </a:ext>
          </a:extLst>
        </xdr:cNvPr>
        <xdr:cNvGrpSpPr/>
      </xdr:nvGrpSpPr>
      <xdr:grpSpPr>
        <a:xfrm>
          <a:off x="17063719" y="14455563"/>
          <a:ext cx="2540847" cy="45719"/>
          <a:chOff x="19791381" y="19457893"/>
          <a:chExt cx="2970025" cy="71719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18EF2A53-5529-973D-C922-9BDE16DBB42A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Oval 30">
            <a:extLst>
              <a:ext uri="{FF2B5EF4-FFF2-40B4-BE49-F238E27FC236}">
                <a16:creationId xmlns:a16="http://schemas.microsoft.com/office/drawing/2014/main" id="{E745BC9E-9E96-7980-B176-26D6E30529C2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D3BE2A06-1D15-7DBC-EB35-5B489F9E77E5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16</xdr:col>
      <xdr:colOff>2109470</xdr:colOff>
      <xdr:row>76</xdr:row>
      <xdr:rowOff>100330</xdr:rowOff>
    </xdr:from>
    <xdr:to>
      <xdr:col>18</xdr:col>
      <xdr:colOff>57150</xdr:colOff>
      <xdr:row>76</xdr:row>
      <xdr:rowOff>146049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EDE083F5-A94B-42EB-C5BB-590DCE5FE658}"/>
            </a:ext>
          </a:extLst>
        </xdr:cNvPr>
        <xdr:cNvGrpSpPr/>
      </xdr:nvGrpSpPr>
      <xdr:grpSpPr>
        <a:xfrm>
          <a:off x="17061603" y="16288597"/>
          <a:ext cx="2375747" cy="45719"/>
          <a:chOff x="19791381" y="19457893"/>
          <a:chExt cx="2970025" cy="71719"/>
        </a:xfrm>
      </xdr:grpSpPr>
      <xdr:cxnSp macro="">
        <xdr:nvCxnSpPr>
          <xdr:cNvPr id="34" name="Straight Arrow Connector 33">
            <a:extLst>
              <a:ext uri="{FF2B5EF4-FFF2-40B4-BE49-F238E27FC236}">
                <a16:creationId xmlns:a16="http://schemas.microsoft.com/office/drawing/2014/main" id="{27F2AC37-219B-C012-9932-430AD4014814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DA19A1A9-99AF-B594-A3CC-2CE1488C90B0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65F3435B-F38F-CD1E-8D55-FD74DE674C96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16</xdr:col>
      <xdr:colOff>2141220</xdr:colOff>
      <xdr:row>83</xdr:row>
      <xdr:rowOff>81280</xdr:rowOff>
    </xdr:from>
    <xdr:to>
      <xdr:col>18</xdr:col>
      <xdr:colOff>88900</xdr:colOff>
      <xdr:row>83</xdr:row>
      <xdr:rowOff>126999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765837C1-CCDD-2061-ACF9-C78994972783}"/>
            </a:ext>
          </a:extLst>
        </xdr:cNvPr>
        <xdr:cNvGrpSpPr/>
      </xdr:nvGrpSpPr>
      <xdr:grpSpPr>
        <a:xfrm>
          <a:off x="17093353" y="18140680"/>
          <a:ext cx="2375747" cy="45719"/>
          <a:chOff x="19791381" y="19457893"/>
          <a:chExt cx="2970025" cy="71719"/>
        </a:xfrm>
      </xdr:grpSpPr>
      <xdr:cxnSp macro="">
        <xdr:nvCxnSpPr>
          <xdr:cNvPr id="38" name="Straight Arrow Connector 37">
            <a:extLst>
              <a:ext uri="{FF2B5EF4-FFF2-40B4-BE49-F238E27FC236}">
                <a16:creationId xmlns:a16="http://schemas.microsoft.com/office/drawing/2014/main" id="{5A044CFE-2F32-98DC-AEEA-310109A807B4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DE2F2AF9-6B1C-763B-347A-BBE4601CC832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818913F8-7B2F-9936-4A7D-500B38B8B228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16</xdr:col>
      <xdr:colOff>2032000</xdr:colOff>
      <xdr:row>91</xdr:row>
      <xdr:rowOff>80010</xdr:rowOff>
    </xdr:from>
    <xdr:to>
      <xdr:col>18</xdr:col>
      <xdr:colOff>285750</xdr:colOff>
      <xdr:row>91</xdr:row>
      <xdr:rowOff>160866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BC359C8D-0F7E-4533-D4DE-629C4F6F46E1}"/>
            </a:ext>
          </a:extLst>
        </xdr:cNvPr>
        <xdr:cNvGrpSpPr/>
      </xdr:nvGrpSpPr>
      <xdr:grpSpPr>
        <a:xfrm flipV="1">
          <a:off x="16984133" y="20222210"/>
          <a:ext cx="2681817" cy="80856"/>
          <a:chOff x="19791381" y="19457893"/>
          <a:chExt cx="2970025" cy="71719"/>
        </a:xfrm>
      </xdr:grpSpPr>
      <xdr:cxnSp macro="">
        <xdr:nvCxnSpPr>
          <xdr:cNvPr id="42" name="Straight Arrow Connector 41">
            <a:extLst>
              <a:ext uri="{FF2B5EF4-FFF2-40B4-BE49-F238E27FC236}">
                <a16:creationId xmlns:a16="http://schemas.microsoft.com/office/drawing/2014/main" id="{171225BE-3E41-CA5A-573E-B9ACA59CA2D5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Oval 42">
            <a:extLst>
              <a:ext uri="{FF2B5EF4-FFF2-40B4-BE49-F238E27FC236}">
                <a16:creationId xmlns:a16="http://schemas.microsoft.com/office/drawing/2014/main" id="{035681AB-DE85-816F-7C32-4FB525DF3792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4" name="Oval 43">
            <a:extLst>
              <a:ext uri="{FF2B5EF4-FFF2-40B4-BE49-F238E27FC236}">
                <a16:creationId xmlns:a16="http://schemas.microsoft.com/office/drawing/2014/main" id="{7F87877E-BB0D-B543-975D-D66344EE6128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16</xdr:col>
      <xdr:colOff>2191193</xdr:colOff>
      <xdr:row>98</xdr:row>
      <xdr:rowOff>103371</xdr:rowOff>
    </xdr:from>
    <xdr:to>
      <xdr:col>20</xdr:col>
      <xdr:colOff>19493</xdr:colOff>
      <xdr:row>98</xdr:row>
      <xdr:rowOff>109721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BC4DF4A-F5EC-16A8-04E1-5E5BBD2FB683}"/>
            </a:ext>
          </a:extLst>
        </xdr:cNvPr>
        <xdr:cNvCxnSpPr/>
      </xdr:nvCxnSpPr>
      <xdr:spPr>
        <a:xfrm flipV="1">
          <a:off x="16255705" y="19495976"/>
          <a:ext cx="6281183" cy="6350"/>
        </a:xfrm>
        <a:prstGeom prst="straightConnector1">
          <a:avLst/>
        </a:prstGeom>
        <a:ln w="12700">
          <a:solidFill>
            <a:sysClr val="windowText" lastClr="000000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2136407</xdr:colOff>
      <xdr:row>98</xdr:row>
      <xdr:rowOff>71474</xdr:rowOff>
    </xdr:from>
    <xdr:to>
      <xdr:col>16</xdr:col>
      <xdr:colOff>2203303</xdr:colOff>
      <xdr:row>98</xdr:row>
      <xdr:rowOff>141767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5714A4D2-44DF-1264-2EA5-3E4DF519DE4A}"/>
            </a:ext>
          </a:extLst>
        </xdr:cNvPr>
        <xdr:cNvSpPr/>
      </xdr:nvSpPr>
      <xdr:spPr>
        <a:xfrm>
          <a:off x="16200919" y="19464079"/>
          <a:ext cx="66896" cy="70293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 kern="1200"/>
        </a:p>
      </xdr:txBody>
    </xdr:sp>
    <xdr:clientData/>
  </xdr:twoCellAnchor>
  <xdr:twoCellAnchor>
    <xdr:from>
      <xdr:col>20</xdr:col>
      <xdr:colOff>8715</xdr:colOff>
      <xdr:row>98</xdr:row>
      <xdr:rowOff>67339</xdr:rowOff>
    </xdr:from>
    <xdr:to>
      <xdr:col>20</xdr:col>
      <xdr:colOff>75611</xdr:colOff>
      <xdr:row>98</xdr:row>
      <xdr:rowOff>137632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BE16B342-3E1F-7668-3608-B65D0A07D44C}"/>
            </a:ext>
          </a:extLst>
        </xdr:cNvPr>
        <xdr:cNvSpPr/>
      </xdr:nvSpPr>
      <xdr:spPr>
        <a:xfrm>
          <a:off x="22526110" y="19459944"/>
          <a:ext cx="66896" cy="70293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 kern="1200"/>
        </a:p>
      </xdr:txBody>
    </xdr:sp>
    <xdr:clientData/>
  </xdr:twoCellAnchor>
  <xdr:twoCellAnchor>
    <xdr:from>
      <xdr:col>17</xdr:col>
      <xdr:colOff>825767</xdr:colOff>
      <xdr:row>101</xdr:row>
      <xdr:rowOff>71474</xdr:rowOff>
    </xdr:from>
    <xdr:to>
      <xdr:col>17</xdr:col>
      <xdr:colOff>892663</xdr:colOff>
      <xdr:row>101</xdr:row>
      <xdr:rowOff>141767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C0288F46-588A-6202-B4D2-3ED15987AA64}"/>
            </a:ext>
          </a:extLst>
        </xdr:cNvPr>
        <xdr:cNvSpPr/>
      </xdr:nvSpPr>
      <xdr:spPr>
        <a:xfrm>
          <a:off x="17292587" y="20081594"/>
          <a:ext cx="66896" cy="70293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 kern="1200"/>
        </a:p>
      </xdr:txBody>
    </xdr:sp>
    <xdr:clientData/>
  </xdr:twoCellAnchor>
  <xdr:twoCellAnchor>
    <xdr:from>
      <xdr:col>19</xdr:col>
      <xdr:colOff>1092467</xdr:colOff>
      <xdr:row>101</xdr:row>
      <xdr:rowOff>63854</xdr:rowOff>
    </xdr:from>
    <xdr:to>
      <xdr:col>19</xdr:col>
      <xdr:colOff>1159363</xdr:colOff>
      <xdr:row>101</xdr:row>
      <xdr:rowOff>134147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80824128-BF22-3288-25C0-4B6E186C72DB}"/>
            </a:ext>
          </a:extLst>
        </xdr:cNvPr>
        <xdr:cNvSpPr/>
      </xdr:nvSpPr>
      <xdr:spPr>
        <a:xfrm>
          <a:off x="21262607" y="20073974"/>
          <a:ext cx="66896" cy="70293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 kern="1200"/>
        </a:p>
      </xdr:txBody>
    </xdr:sp>
    <xdr:clientData/>
  </xdr:twoCellAnchor>
  <xdr:twoCellAnchor>
    <xdr:from>
      <xdr:col>16</xdr:col>
      <xdr:colOff>2193506</xdr:colOff>
      <xdr:row>98</xdr:row>
      <xdr:rowOff>131473</xdr:rowOff>
    </xdr:from>
    <xdr:to>
      <xdr:col>17</xdr:col>
      <xdr:colOff>825767</xdr:colOff>
      <xdr:row>101</xdr:row>
      <xdr:rowOff>106621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E91E00DF-5B00-3A98-16A0-6705A204DDAB}"/>
            </a:ext>
          </a:extLst>
        </xdr:cNvPr>
        <xdr:cNvCxnSpPr>
          <a:stCxn id="54" idx="5"/>
          <a:endCxn id="58" idx="2"/>
        </xdr:cNvCxnSpPr>
      </xdr:nvCxnSpPr>
      <xdr:spPr>
        <a:xfrm>
          <a:off x="16243335" y="19689473"/>
          <a:ext cx="1034375" cy="573862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892663</xdr:colOff>
      <xdr:row>101</xdr:row>
      <xdr:rowOff>99001</xdr:rowOff>
    </xdr:from>
    <xdr:to>
      <xdr:col>19</xdr:col>
      <xdr:colOff>1092467</xdr:colOff>
      <xdr:row>101</xdr:row>
      <xdr:rowOff>106621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29659236-0F2C-5444-FA55-8061FB50B55A}"/>
            </a:ext>
          </a:extLst>
        </xdr:cNvPr>
        <xdr:cNvCxnSpPr>
          <a:stCxn id="58" idx="6"/>
          <a:endCxn id="59" idx="2"/>
        </xdr:cNvCxnSpPr>
      </xdr:nvCxnSpPr>
      <xdr:spPr>
        <a:xfrm flipV="1">
          <a:off x="17332813" y="20301526"/>
          <a:ext cx="3905029" cy="762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1159363</xdr:colOff>
      <xdr:row>98</xdr:row>
      <xdr:rowOff>137632</xdr:rowOff>
    </xdr:from>
    <xdr:to>
      <xdr:col>20</xdr:col>
      <xdr:colOff>42163</xdr:colOff>
      <xdr:row>101</xdr:row>
      <xdr:rowOff>99001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63D3969A-09D2-C4B2-7D41-D4EADA4B8A02}"/>
            </a:ext>
          </a:extLst>
        </xdr:cNvPr>
        <xdr:cNvCxnSpPr>
          <a:stCxn id="59" idx="6"/>
          <a:endCxn id="55" idx="4"/>
        </xdr:cNvCxnSpPr>
      </xdr:nvCxnSpPr>
      <xdr:spPr>
        <a:xfrm flipV="1">
          <a:off x="21316077" y="19695632"/>
          <a:ext cx="1230486" cy="560083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2176905</xdr:colOff>
      <xdr:row>120</xdr:row>
      <xdr:rowOff>103371</xdr:rowOff>
    </xdr:from>
    <xdr:to>
      <xdr:col>20</xdr:col>
      <xdr:colOff>5205</xdr:colOff>
      <xdr:row>120</xdr:row>
      <xdr:rowOff>109721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5D4C06BD-9C87-D915-EC09-9A8C77957512}"/>
            </a:ext>
          </a:extLst>
        </xdr:cNvPr>
        <xdr:cNvCxnSpPr/>
      </xdr:nvCxnSpPr>
      <xdr:spPr>
        <a:xfrm flipV="1">
          <a:off x="16216755" y="24106371"/>
          <a:ext cx="6281738" cy="6350"/>
        </a:xfrm>
        <a:prstGeom prst="straightConnector1">
          <a:avLst/>
        </a:prstGeom>
        <a:ln w="12700">
          <a:solidFill>
            <a:sysClr val="windowText" lastClr="000000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2122119</xdr:colOff>
      <xdr:row>120</xdr:row>
      <xdr:rowOff>71474</xdr:rowOff>
    </xdr:from>
    <xdr:to>
      <xdr:col>16</xdr:col>
      <xdr:colOff>2189015</xdr:colOff>
      <xdr:row>120</xdr:row>
      <xdr:rowOff>141767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231BDF45-D236-F419-DE9B-EF02A97D482C}"/>
            </a:ext>
          </a:extLst>
        </xdr:cNvPr>
        <xdr:cNvSpPr/>
      </xdr:nvSpPr>
      <xdr:spPr>
        <a:xfrm>
          <a:off x="16161969" y="24074474"/>
          <a:ext cx="66896" cy="70293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 kern="1200"/>
        </a:p>
      </xdr:txBody>
    </xdr:sp>
    <xdr:clientData/>
  </xdr:twoCellAnchor>
  <xdr:twoCellAnchor>
    <xdr:from>
      <xdr:col>19</xdr:col>
      <xdr:colOff>2342340</xdr:colOff>
      <xdr:row>120</xdr:row>
      <xdr:rowOff>67339</xdr:rowOff>
    </xdr:from>
    <xdr:to>
      <xdr:col>20</xdr:col>
      <xdr:colOff>61323</xdr:colOff>
      <xdr:row>120</xdr:row>
      <xdr:rowOff>137632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2E80F559-9E28-BC80-2B24-53ADB4976F82}"/>
            </a:ext>
          </a:extLst>
        </xdr:cNvPr>
        <xdr:cNvSpPr/>
      </xdr:nvSpPr>
      <xdr:spPr>
        <a:xfrm>
          <a:off x="22487715" y="24070339"/>
          <a:ext cx="66896" cy="70293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 kern="1200"/>
        </a:p>
      </xdr:txBody>
    </xdr:sp>
    <xdr:clientData/>
  </xdr:twoCellAnchor>
  <xdr:twoCellAnchor>
    <xdr:from>
      <xdr:col>17</xdr:col>
      <xdr:colOff>811479</xdr:colOff>
      <xdr:row>123</xdr:row>
      <xdr:rowOff>71474</xdr:rowOff>
    </xdr:from>
    <xdr:to>
      <xdr:col>17</xdr:col>
      <xdr:colOff>878375</xdr:colOff>
      <xdr:row>123</xdr:row>
      <xdr:rowOff>141767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22990693-1D3E-BC33-CD60-5506F4A55E2C}"/>
            </a:ext>
          </a:extLst>
        </xdr:cNvPr>
        <xdr:cNvSpPr/>
      </xdr:nvSpPr>
      <xdr:spPr>
        <a:xfrm>
          <a:off x="17251629" y="24674549"/>
          <a:ext cx="66896" cy="70293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 kern="1200"/>
        </a:p>
      </xdr:txBody>
    </xdr:sp>
    <xdr:clientData/>
  </xdr:twoCellAnchor>
  <xdr:twoCellAnchor>
    <xdr:from>
      <xdr:col>19</xdr:col>
      <xdr:colOff>1078179</xdr:colOff>
      <xdr:row>123</xdr:row>
      <xdr:rowOff>63854</xdr:rowOff>
    </xdr:from>
    <xdr:to>
      <xdr:col>19</xdr:col>
      <xdr:colOff>1145075</xdr:colOff>
      <xdr:row>123</xdr:row>
      <xdr:rowOff>134147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29306E6B-CECF-416D-6D93-4E5963548D92}"/>
            </a:ext>
          </a:extLst>
        </xdr:cNvPr>
        <xdr:cNvSpPr/>
      </xdr:nvSpPr>
      <xdr:spPr>
        <a:xfrm>
          <a:off x="21223554" y="24666929"/>
          <a:ext cx="66896" cy="70293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 kern="1200"/>
        </a:p>
      </xdr:txBody>
    </xdr:sp>
    <xdr:clientData/>
  </xdr:twoCellAnchor>
  <xdr:twoCellAnchor>
    <xdr:from>
      <xdr:col>16</xdr:col>
      <xdr:colOff>2179218</xdr:colOff>
      <xdr:row>120</xdr:row>
      <xdr:rowOff>131473</xdr:rowOff>
    </xdr:from>
    <xdr:to>
      <xdr:col>17</xdr:col>
      <xdr:colOff>811479</xdr:colOff>
      <xdr:row>123</xdr:row>
      <xdr:rowOff>106621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5358DAAE-043F-F25C-9016-DCD5D65DA7B5}"/>
            </a:ext>
          </a:extLst>
        </xdr:cNvPr>
        <xdr:cNvCxnSpPr>
          <a:stCxn id="89" idx="5"/>
          <a:endCxn id="91" idx="2"/>
        </xdr:cNvCxnSpPr>
      </xdr:nvCxnSpPr>
      <xdr:spPr>
        <a:xfrm>
          <a:off x="16219068" y="24134473"/>
          <a:ext cx="1032561" cy="575223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878375</xdr:colOff>
      <xdr:row>123</xdr:row>
      <xdr:rowOff>99001</xdr:rowOff>
    </xdr:from>
    <xdr:to>
      <xdr:col>19</xdr:col>
      <xdr:colOff>1078179</xdr:colOff>
      <xdr:row>123</xdr:row>
      <xdr:rowOff>106621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7B3916EB-E4E5-1250-0378-5F3CC23803A0}"/>
            </a:ext>
          </a:extLst>
        </xdr:cNvPr>
        <xdr:cNvCxnSpPr>
          <a:stCxn id="91" idx="6"/>
          <a:endCxn id="92" idx="2"/>
        </xdr:cNvCxnSpPr>
      </xdr:nvCxnSpPr>
      <xdr:spPr>
        <a:xfrm flipV="1">
          <a:off x="17318525" y="24702076"/>
          <a:ext cx="3905029" cy="762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1145075</xdr:colOff>
      <xdr:row>120</xdr:row>
      <xdr:rowOff>137632</xdr:rowOff>
    </xdr:from>
    <xdr:to>
      <xdr:col>20</xdr:col>
      <xdr:colOff>27875</xdr:colOff>
      <xdr:row>123</xdr:row>
      <xdr:rowOff>99001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C3C88ACF-1351-AF10-7D93-C50AF2A95FFA}"/>
            </a:ext>
          </a:extLst>
        </xdr:cNvPr>
        <xdr:cNvCxnSpPr>
          <a:stCxn id="92" idx="6"/>
          <a:endCxn id="90" idx="4"/>
        </xdr:cNvCxnSpPr>
      </xdr:nvCxnSpPr>
      <xdr:spPr>
        <a:xfrm flipV="1">
          <a:off x="21290450" y="24140632"/>
          <a:ext cx="1230713" cy="561444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2174258</xdr:colOff>
      <xdr:row>142</xdr:row>
      <xdr:rowOff>58251</xdr:rowOff>
    </xdr:from>
    <xdr:to>
      <xdr:col>20</xdr:col>
      <xdr:colOff>113462</xdr:colOff>
      <xdr:row>145</xdr:row>
      <xdr:rowOff>132679</xdr:rowOff>
    </xdr:to>
    <xdr:grpSp>
      <xdr:nvGrpSpPr>
        <xdr:cNvPr id="117" name="Group 116">
          <a:extLst>
            <a:ext uri="{FF2B5EF4-FFF2-40B4-BE49-F238E27FC236}">
              <a16:creationId xmlns:a16="http://schemas.microsoft.com/office/drawing/2014/main" id="{8AF10B1E-92D0-A8EA-0EA6-584BE165CF33}"/>
            </a:ext>
          </a:extLst>
        </xdr:cNvPr>
        <xdr:cNvGrpSpPr/>
      </xdr:nvGrpSpPr>
      <xdr:grpSpPr>
        <a:xfrm>
          <a:off x="17126391" y="32621051"/>
          <a:ext cx="6659871" cy="658628"/>
          <a:chOff x="16230227" y="28357759"/>
          <a:chExt cx="6391543" cy="672305"/>
        </a:xfrm>
      </xdr:grpSpPr>
      <xdr:cxnSp macro="">
        <xdr:nvCxnSpPr>
          <xdr:cNvPr id="109" name="Straight Arrow Connector 108">
            <a:extLst>
              <a:ext uri="{FF2B5EF4-FFF2-40B4-BE49-F238E27FC236}">
                <a16:creationId xmlns:a16="http://schemas.microsoft.com/office/drawing/2014/main" id="{93824A30-77A1-48DC-8945-DA4BCBEEB274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" name="Oval 109">
            <a:extLst>
              <a:ext uri="{FF2B5EF4-FFF2-40B4-BE49-F238E27FC236}">
                <a16:creationId xmlns:a16="http://schemas.microsoft.com/office/drawing/2014/main" id="{C1AEA6D3-EC32-4210-A91C-0AAD4ADF90AE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1" name="Oval 110">
            <a:extLst>
              <a:ext uri="{FF2B5EF4-FFF2-40B4-BE49-F238E27FC236}">
                <a16:creationId xmlns:a16="http://schemas.microsoft.com/office/drawing/2014/main" id="{FD0BA93A-9685-42F8-BFD2-D8209700D163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2" name="Oval 111">
            <a:extLst>
              <a:ext uri="{FF2B5EF4-FFF2-40B4-BE49-F238E27FC236}">
                <a16:creationId xmlns:a16="http://schemas.microsoft.com/office/drawing/2014/main" id="{BABDE7B1-AA97-43C4-A64A-4B52699843F6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3" name="Oval 112">
            <a:extLst>
              <a:ext uri="{FF2B5EF4-FFF2-40B4-BE49-F238E27FC236}">
                <a16:creationId xmlns:a16="http://schemas.microsoft.com/office/drawing/2014/main" id="{FE38C8A0-C221-4F3C-9A14-113559254431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114" name="Straight Arrow Connector 113">
            <a:extLst>
              <a:ext uri="{FF2B5EF4-FFF2-40B4-BE49-F238E27FC236}">
                <a16:creationId xmlns:a16="http://schemas.microsoft.com/office/drawing/2014/main" id="{FA423972-48C9-4DBF-BAF8-FA7269823960}"/>
              </a:ext>
            </a:extLst>
          </xdr:cNvPr>
          <xdr:cNvCxnSpPr>
            <a:stCxn id="110" idx="5"/>
            <a:endCxn id="112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Straight Arrow Connector 114">
            <a:extLst>
              <a:ext uri="{FF2B5EF4-FFF2-40B4-BE49-F238E27FC236}">
                <a16:creationId xmlns:a16="http://schemas.microsoft.com/office/drawing/2014/main" id="{7C3E8199-FB22-4348-ABF3-5DF71FA5422A}"/>
              </a:ext>
            </a:extLst>
          </xdr:cNvPr>
          <xdr:cNvCxnSpPr>
            <a:stCxn id="112" idx="6"/>
            <a:endCxn id="113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Straight Arrow Connector 115">
            <a:extLst>
              <a:ext uri="{FF2B5EF4-FFF2-40B4-BE49-F238E27FC236}">
                <a16:creationId xmlns:a16="http://schemas.microsoft.com/office/drawing/2014/main" id="{AFF2B3AB-F539-4C2A-AE00-C65018343246}"/>
              </a:ext>
            </a:extLst>
          </xdr:cNvPr>
          <xdr:cNvCxnSpPr>
            <a:stCxn id="113" idx="6"/>
            <a:endCxn id="111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2157046</xdr:colOff>
      <xdr:row>164</xdr:row>
      <xdr:rowOff>64478</xdr:rowOff>
    </xdr:from>
    <xdr:to>
      <xdr:col>20</xdr:col>
      <xdr:colOff>96250</xdr:colOff>
      <xdr:row>167</xdr:row>
      <xdr:rowOff>138906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64F0BB27-69E9-4FEC-9A92-5A215C04D9AD}"/>
            </a:ext>
          </a:extLst>
        </xdr:cNvPr>
        <xdr:cNvGrpSpPr/>
      </xdr:nvGrpSpPr>
      <xdr:grpSpPr>
        <a:xfrm>
          <a:off x="17109179" y="37825811"/>
          <a:ext cx="6659871" cy="658628"/>
          <a:chOff x="16230227" y="28357759"/>
          <a:chExt cx="6391543" cy="672305"/>
        </a:xfrm>
      </xdr:grpSpPr>
      <xdr:cxnSp macro="">
        <xdr:nvCxnSpPr>
          <xdr:cNvPr id="119" name="Straight Arrow Connector 118">
            <a:extLst>
              <a:ext uri="{FF2B5EF4-FFF2-40B4-BE49-F238E27FC236}">
                <a16:creationId xmlns:a16="http://schemas.microsoft.com/office/drawing/2014/main" id="{65D4B6F6-509D-BEB6-6081-9C5BDE67AEC5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0" name="Oval 119">
            <a:extLst>
              <a:ext uri="{FF2B5EF4-FFF2-40B4-BE49-F238E27FC236}">
                <a16:creationId xmlns:a16="http://schemas.microsoft.com/office/drawing/2014/main" id="{FFF1C8F6-9EF3-EF38-505B-6CAC9C18A848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21" name="Oval 120">
            <a:extLst>
              <a:ext uri="{FF2B5EF4-FFF2-40B4-BE49-F238E27FC236}">
                <a16:creationId xmlns:a16="http://schemas.microsoft.com/office/drawing/2014/main" id="{43BD7AC5-822A-4089-9C71-EDA4C8070FC8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22" name="Oval 121">
            <a:extLst>
              <a:ext uri="{FF2B5EF4-FFF2-40B4-BE49-F238E27FC236}">
                <a16:creationId xmlns:a16="http://schemas.microsoft.com/office/drawing/2014/main" id="{235E30BE-8DF4-2E1D-849E-9D1C6A5DA9B8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23" name="Oval 122">
            <a:extLst>
              <a:ext uri="{FF2B5EF4-FFF2-40B4-BE49-F238E27FC236}">
                <a16:creationId xmlns:a16="http://schemas.microsoft.com/office/drawing/2014/main" id="{5D7EB14D-F07B-E4D0-7565-7F303BCFDCD3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124" name="Straight Arrow Connector 123">
            <a:extLst>
              <a:ext uri="{FF2B5EF4-FFF2-40B4-BE49-F238E27FC236}">
                <a16:creationId xmlns:a16="http://schemas.microsoft.com/office/drawing/2014/main" id="{E465BA77-4DF3-35F9-1285-4F2BE51903C0}"/>
              </a:ext>
            </a:extLst>
          </xdr:cNvPr>
          <xdr:cNvCxnSpPr>
            <a:stCxn id="120" idx="5"/>
            <a:endCxn id="122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" name="Straight Arrow Connector 124">
            <a:extLst>
              <a:ext uri="{FF2B5EF4-FFF2-40B4-BE49-F238E27FC236}">
                <a16:creationId xmlns:a16="http://schemas.microsoft.com/office/drawing/2014/main" id="{D64120DF-9282-1696-2612-C5A2F13B6A03}"/>
              </a:ext>
            </a:extLst>
          </xdr:cNvPr>
          <xdr:cNvCxnSpPr>
            <a:stCxn id="122" idx="6"/>
            <a:endCxn id="123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6" name="Straight Arrow Connector 125">
            <a:extLst>
              <a:ext uri="{FF2B5EF4-FFF2-40B4-BE49-F238E27FC236}">
                <a16:creationId xmlns:a16="http://schemas.microsoft.com/office/drawing/2014/main" id="{E9DC16FC-67C2-1720-8EEB-DCF52D4FBCE6}"/>
              </a:ext>
            </a:extLst>
          </xdr:cNvPr>
          <xdr:cNvCxnSpPr>
            <a:stCxn id="123" idx="6"/>
            <a:endCxn id="121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18</xdr:col>
      <xdr:colOff>16933</xdr:colOff>
      <xdr:row>65</xdr:row>
      <xdr:rowOff>19473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B162FA3E-9547-42E2-870B-256735B2AEB7}"/>
                </a:ext>
              </a:extLst>
            </xdr:cNvPr>
            <xdr:cNvSpPr txBox="1"/>
          </xdr:nvSpPr>
          <xdr:spPr>
            <a:xfrm>
              <a:off x="18855266" y="13168206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B162FA3E-9547-42E2-870B-256735B2AEB7}"/>
                </a:ext>
              </a:extLst>
            </xdr:cNvPr>
            <xdr:cNvSpPr txBox="1"/>
          </xdr:nvSpPr>
          <xdr:spPr>
            <a:xfrm>
              <a:off x="18855266" y="13168206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298.15𝐾^623.15𝐾▒〖30.827−7.6041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18</xdr:col>
      <xdr:colOff>55033</xdr:colOff>
      <xdr:row>72</xdr:row>
      <xdr:rowOff>39793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F91B0B55-8067-4080-A516-44616AF972B7}"/>
                </a:ext>
              </a:extLst>
            </xdr:cNvPr>
            <xdr:cNvSpPr txBox="1"/>
          </xdr:nvSpPr>
          <xdr:spPr>
            <a:xfrm>
              <a:off x="18893366" y="14991926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F91B0B55-8067-4080-A516-44616AF972B7}"/>
                </a:ext>
              </a:extLst>
            </xdr:cNvPr>
            <xdr:cNvSpPr txBox="1"/>
          </xdr:nvSpPr>
          <xdr:spPr>
            <a:xfrm>
              <a:off x="18893366" y="14991926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298.15𝐾^623.15𝐾▒〖−0.555+3.7003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18</xdr:col>
      <xdr:colOff>47413</xdr:colOff>
      <xdr:row>79</xdr:row>
      <xdr:rowOff>106679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835DAC3C-EBE8-4351-B409-84565CF9F4FE}"/>
                </a:ext>
              </a:extLst>
            </xdr:cNvPr>
            <xdr:cNvSpPr txBox="1"/>
          </xdr:nvSpPr>
          <xdr:spPr>
            <a:xfrm>
              <a:off x="18885746" y="16879146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835DAC3C-EBE8-4351-B409-84565CF9F4FE}"/>
                </a:ext>
              </a:extLst>
            </xdr:cNvPr>
            <xdr:cNvSpPr txBox="1"/>
          </xdr:nvSpPr>
          <xdr:spPr>
            <a:xfrm>
              <a:off x="18885746" y="16879146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298.15𝐾^623.15𝐾▒〖−5.264+6.1929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18</xdr:col>
      <xdr:colOff>24553</xdr:colOff>
      <xdr:row>86</xdr:row>
      <xdr:rowOff>115993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D09D37EB-C357-4E13-AC84-47CA83B276D0}"/>
                </a:ext>
              </a:extLst>
            </xdr:cNvPr>
            <xdr:cNvSpPr txBox="1"/>
          </xdr:nvSpPr>
          <xdr:spPr>
            <a:xfrm>
              <a:off x="18862886" y="18700326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37.730+4.9155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+3.5952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−8.2287×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+3.5374×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−10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D09D37EB-C357-4E13-AC84-47CA83B276D0}"/>
                </a:ext>
              </a:extLst>
            </xdr:cNvPr>
            <xdr:cNvSpPr txBox="1"/>
          </xdr:nvSpPr>
          <xdr:spPr>
            <a:xfrm>
              <a:off x="18862886" y="18700326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298.15𝐾^623.15𝐾▒〖37.730+4.9155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+3.5952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𝑇^2−8.2287×10^(−7) 𝑇^3+3.5374×10^(−10)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18</xdr:col>
      <xdr:colOff>76198</xdr:colOff>
      <xdr:row>105</xdr:row>
      <xdr:rowOff>70273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BE841B8F-CA92-460A-99A0-71463CD0D7A0}"/>
                </a:ext>
              </a:extLst>
            </xdr:cNvPr>
            <xdr:cNvSpPr txBox="1"/>
          </xdr:nvSpPr>
          <xdr:spPr>
            <a:xfrm>
              <a:off x="18914531" y="23429806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BE841B8F-CA92-460A-99A0-71463CD0D7A0}"/>
                </a:ext>
              </a:extLst>
            </xdr:cNvPr>
            <xdr:cNvSpPr txBox="1"/>
          </xdr:nvSpPr>
          <xdr:spPr>
            <a:xfrm>
              <a:off x="18914531" y="23429806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298.15𝐾^283.85𝐾▒〖30.827−7.6041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17</xdr:col>
      <xdr:colOff>1269998</xdr:colOff>
      <xdr:row>113</xdr:row>
      <xdr:rowOff>87206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E4D55006-3CA8-4FAA-9AA0-79F94B1A1D36}"/>
                </a:ext>
              </a:extLst>
            </xdr:cNvPr>
            <xdr:cNvSpPr txBox="1"/>
          </xdr:nvSpPr>
          <xdr:spPr>
            <a:xfrm>
              <a:off x="18237198" y="25504139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35.72+4.2908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−1.5473×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+2.4070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E4D55006-3CA8-4FAA-9AA0-79F94B1A1D36}"/>
                </a:ext>
              </a:extLst>
            </xdr:cNvPr>
            <xdr:cNvSpPr txBox="1"/>
          </xdr:nvSpPr>
          <xdr:spPr>
            <a:xfrm>
              <a:off x="18237198" y="25504139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283.85𝐾^283.15𝐾▒〖35.72+4.2908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𝑇−1.5473×10^(−3)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+2.4070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18</xdr:col>
      <xdr:colOff>38098</xdr:colOff>
      <xdr:row>127</xdr:row>
      <xdr:rowOff>65193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74AAFB30-38AF-4B1D-AE00-A62443FCBA33}"/>
                </a:ext>
              </a:extLst>
            </xdr:cNvPr>
            <xdr:cNvSpPr txBox="1"/>
          </xdr:nvSpPr>
          <xdr:spPr>
            <a:xfrm>
              <a:off x="18876431" y="28733326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74AAFB30-38AF-4B1D-AE00-A62443FCBA33}"/>
                </a:ext>
              </a:extLst>
            </xdr:cNvPr>
            <xdr:cNvSpPr txBox="1"/>
          </xdr:nvSpPr>
          <xdr:spPr>
            <a:xfrm>
              <a:off x="18876431" y="28733326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298.15𝐾^444.15𝐾▒〖−0.555+3.7003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17</xdr:col>
      <xdr:colOff>1278465</xdr:colOff>
      <xdr:row>135</xdr:row>
      <xdr:rowOff>36406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09E21909-6190-4EE1-839C-981FBC0DF835}"/>
                </a:ext>
              </a:extLst>
            </xdr:cNvPr>
            <xdr:cNvSpPr txBox="1"/>
          </xdr:nvSpPr>
          <xdr:spPr>
            <a:xfrm>
              <a:off x="18245665" y="30787339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23.111+1.2283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−3.1218×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+3.0714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09E21909-6190-4EE1-839C-981FBC0DF835}"/>
                </a:ext>
              </a:extLst>
            </xdr:cNvPr>
            <xdr:cNvSpPr txBox="1"/>
          </xdr:nvSpPr>
          <xdr:spPr>
            <a:xfrm>
              <a:off x="18245665" y="30787339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444.15𝐾^283.15𝐾▒〖23.111+1.2283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𝑇−3.1218×10^(−3)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+3.0714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18</xdr:col>
      <xdr:colOff>25400</xdr:colOff>
      <xdr:row>149</xdr:row>
      <xdr:rowOff>67733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E348C5B4-4F39-4BF6-B4DB-9FDF74075906}"/>
                </a:ext>
              </a:extLst>
            </xdr:cNvPr>
            <xdr:cNvSpPr txBox="1"/>
          </xdr:nvSpPr>
          <xdr:spPr>
            <a:xfrm>
              <a:off x="18863733" y="33993666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E348C5B4-4F39-4BF6-B4DB-9FDF74075906}"/>
                </a:ext>
              </a:extLst>
            </xdr:cNvPr>
            <xdr:cNvSpPr txBox="1"/>
          </xdr:nvSpPr>
          <xdr:spPr>
            <a:xfrm>
              <a:off x="18863733" y="33993666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298.15𝐾^542.04𝐾▒〖−5.264+6.1929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18</xdr:col>
      <xdr:colOff>186267</xdr:colOff>
      <xdr:row>157</xdr:row>
      <xdr:rowOff>16933</xdr:rowOff>
    </xdr:from>
    <xdr:ext cx="5481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0C4598CF-5AD3-4B59-8F49-CEEA1FA59BFB}"/>
                </a:ext>
              </a:extLst>
            </xdr:cNvPr>
            <xdr:cNvSpPr txBox="1"/>
          </xdr:nvSpPr>
          <xdr:spPr>
            <a:xfrm>
              <a:off x="19109267" y="36008733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76.703+1.0821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−2.4860×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+2.2497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0C4598CF-5AD3-4B59-8F49-CEEA1FA59BFB}"/>
                </a:ext>
              </a:extLst>
            </xdr:cNvPr>
            <xdr:cNvSpPr txBox="1"/>
          </xdr:nvSpPr>
          <xdr:spPr>
            <a:xfrm>
              <a:off x="19109267" y="36008733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542.04𝐾^283.15𝐾▒〖76.703+1.0821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𝑇−2.4860×10^(−3)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+2.2497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18</xdr:col>
      <xdr:colOff>0</xdr:colOff>
      <xdr:row>171</xdr:row>
      <xdr:rowOff>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65EDC7EA-77A0-4AA3-AEA2-17C34A230C21}"/>
                </a:ext>
              </a:extLst>
            </xdr:cNvPr>
            <xdr:cNvSpPr txBox="1"/>
          </xdr:nvSpPr>
          <xdr:spPr>
            <a:xfrm>
              <a:off x="18923000" y="39124467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37.730+4.9155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+3.5952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−8.2287×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+3.5374×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−10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65EDC7EA-77A0-4AA3-AEA2-17C34A230C21}"/>
                </a:ext>
              </a:extLst>
            </xdr:cNvPr>
            <xdr:cNvSpPr txBox="1"/>
          </xdr:nvSpPr>
          <xdr:spPr>
            <a:xfrm>
              <a:off x="18923000" y="39124467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298.15𝐾^608.55𝐾▒〖37.730+4.9155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+3.5952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𝑇^2−8.2287×10^(−7) 𝑇^3+3.5374×10^(−10)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18</xdr:col>
      <xdr:colOff>126999</xdr:colOff>
      <xdr:row>179</xdr:row>
      <xdr:rowOff>33866</xdr:rowOff>
    </xdr:from>
    <xdr:ext cx="5621867" cy="559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CAB55013-7AD9-41FB-8FB4-5A0F4CFD7088}"/>
                </a:ext>
              </a:extLst>
            </xdr:cNvPr>
            <xdr:cNvSpPr txBox="1"/>
          </xdr:nvSpPr>
          <xdr:spPr>
            <a:xfrm>
              <a:off x="19049999" y="41097199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179.047+1.2436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−2.6631×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+2.3379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CAB55013-7AD9-41FB-8FB4-5A0F4CFD7088}"/>
                </a:ext>
              </a:extLst>
            </xdr:cNvPr>
            <xdr:cNvSpPr txBox="1"/>
          </xdr:nvSpPr>
          <xdr:spPr>
            <a:xfrm>
              <a:off x="19049999" y="41097199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608.55𝐾^283.15𝐾▒〖179.047+1.2436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𝑇−2.6631×10^(−3)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+2.3379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17</xdr:col>
      <xdr:colOff>1386840</xdr:colOff>
      <xdr:row>53</xdr:row>
      <xdr:rowOff>80010</xdr:rowOff>
    </xdr:from>
    <xdr:ext cx="65" cy="16222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A2F4808-EC5F-4A3B-8268-CBBC70D8A149}"/>
            </a:ext>
          </a:extLst>
        </xdr:cNvPr>
        <xdr:cNvSpPr txBox="1"/>
      </xdr:nvSpPr>
      <xdr:spPr>
        <a:xfrm>
          <a:off x="22059900" y="19343370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MY" sz="1100" kern="1200"/>
        </a:p>
      </xdr:txBody>
    </xdr:sp>
    <xdr:clientData/>
  </xdr:oneCellAnchor>
  <xdr:oneCellAnchor>
    <xdr:from>
      <xdr:col>18</xdr:col>
      <xdr:colOff>59267</xdr:colOff>
      <xdr:row>58</xdr:row>
      <xdr:rowOff>50800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634C467-6BF3-4969-B6DB-B937AE94ADB7}"/>
                </a:ext>
              </a:extLst>
            </xdr:cNvPr>
            <xdr:cNvSpPr txBox="1"/>
          </xdr:nvSpPr>
          <xdr:spPr>
            <a:xfrm>
              <a:off x="18982267" y="11345333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33.573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1.2581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GB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200" b="0" i="1" kern="1200">
                        <a:latin typeface="Cambria Math" panose="02040503050406030204" pitchFamily="18" charset="0"/>
                      </a:rPr>
                      <m:t>8.8906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7.1783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8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+1.8569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634C467-6BF3-4969-B6DB-B937AE94ADB7}"/>
                </a:ext>
              </a:extLst>
            </xdr:cNvPr>
            <xdr:cNvSpPr txBox="1"/>
          </xdr:nvSpPr>
          <xdr:spPr>
            <a:xfrm>
              <a:off x="18982267" y="11345333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_298.15𝐾^623.15𝐾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GB" sz="1200" b="0" i="0" kern="1200">
                  <a:latin typeface="Cambria Math" panose="02040503050406030204" pitchFamily="18" charset="0"/>
                </a:rPr>
                <a:t>33.573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</a:t>
              </a:r>
              <a:r>
                <a:rPr lang="en-GB" sz="1200" b="0" i="0" kern="1200">
                  <a:latin typeface="Cambria Math" panose="02040503050406030204" pitchFamily="18" charset="0"/>
                </a:rPr>
                <a:t>1.2581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</a:t>
              </a:r>
              <a:r>
                <a:rPr lang="en-GB" sz="1200" b="0" i="0" kern="1200">
                  <a:latin typeface="Cambria Math" panose="02040503050406030204" pitchFamily="18" charset="0"/>
                </a:rPr>
                <a:t>8.8906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𝑇^2−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7.1783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𝑇^3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+1.8569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18</xdr:col>
      <xdr:colOff>93133</xdr:colOff>
      <xdr:row>94</xdr:row>
      <xdr:rowOff>59267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5E3A6F4-AA72-44FA-B959-1C7699023213}"/>
                </a:ext>
              </a:extLst>
            </xdr:cNvPr>
            <xdr:cNvSpPr txBox="1"/>
          </xdr:nvSpPr>
          <xdr:spPr>
            <a:xfrm>
              <a:off x="19016133" y="20785667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33.573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1.2581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GB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200" b="0" i="1" kern="1200">
                        <a:latin typeface="Cambria Math" panose="02040503050406030204" pitchFamily="18" charset="0"/>
                      </a:rPr>
                      <m:t>8.8906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7.1783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8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+1.8569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5E3A6F4-AA72-44FA-B959-1C7699023213}"/>
                </a:ext>
              </a:extLst>
            </xdr:cNvPr>
            <xdr:cNvSpPr txBox="1"/>
          </xdr:nvSpPr>
          <xdr:spPr>
            <a:xfrm>
              <a:off x="19016133" y="20785667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283</a:t>
              </a:r>
              <a:r>
                <a:rPr lang="en-MY" sz="1200" b="0" i="0" kern="1200">
                  <a:latin typeface="Cambria Math" panose="02040503050406030204" pitchFamily="18" charset="0"/>
                </a:rPr>
                <a:t>.15𝐾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GB" sz="1200" b="0" i="0" kern="1200">
                  <a:latin typeface="Cambria Math" panose="02040503050406030204" pitchFamily="18" charset="0"/>
                </a:rPr>
                <a:t>33.573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</a:t>
              </a:r>
              <a:r>
                <a:rPr lang="en-GB" sz="1200" b="0" i="0" kern="1200">
                  <a:latin typeface="Cambria Math" panose="02040503050406030204" pitchFamily="18" charset="0"/>
                </a:rPr>
                <a:t>1.2581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</a:t>
              </a:r>
              <a:r>
                <a:rPr lang="en-GB" sz="1200" b="0" i="0" kern="1200">
                  <a:latin typeface="Cambria Math" panose="02040503050406030204" pitchFamily="18" charset="0"/>
                </a:rPr>
                <a:t>8.8906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𝑇^2−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7.1783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𝑇^3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+1.8569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838200</xdr:colOff>
      <xdr:row>31</xdr:row>
      <xdr:rowOff>131445</xdr:rowOff>
    </xdr:from>
    <xdr:ext cx="1800225" cy="3067050"/>
    <xdr:sp macro="" textlink="">
      <xdr:nvSpPr>
        <xdr:cNvPr id="43" name="Shape 58">
          <a:extLst>
            <a:ext uri="{FF2B5EF4-FFF2-40B4-BE49-F238E27FC236}">
              <a16:creationId xmlns:a16="http://schemas.microsoft.com/office/drawing/2014/main" id="{BE4A19B2-70A7-4233-A607-CAD641A6246C}"/>
            </a:ext>
          </a:extLst>
        </xdr:cNvPr>
        <xdr:cNvSpPr/>
      </xdr:nvSpPr>
      <xdr:spPr>
        <a:xfrm>
          <a:off x="6835140" y="6273165"/>
          <a:ext cx="1800225" cy="306705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Times New Roman"/>
              <a:ea typeface="Times New Roman"/>
              <a:cs typeface="Times New Roman"/>
              <a:sym typeface="Times New Roman"/>
            </a:rPr>
            <a:t>Phase Separator</a:t>
          </a:r>
          <a:endParaRPr sz="20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twoCellAnchor>
    <xdr:from>
      <xdr:col>7</xdr:col>
      <xdr:colOff>867728</xdr:colOff>
      <xdr:row>22</xdr:row>
      <xdr:rowOff>182880</xdr:rowOff>
    </xdr:from>
    <xdr:to>
      <xdr:col>8</xdr:col>
      <xdr:colOff>5715</xdr:colOff>
      <xdr:row>31</xdr:row>
      <xdr:rowOff>131445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820295CF-241E-4990-AA7A-F67C81340750}"/>
            </a:ext>
          </a:extLst>
        </xdr:cNvPr>
        <xdr:cNvCxnSpPr>
          <a:stCxn id="43" idx="0"/>
        </xdr:cNvCxnSpPr>
      </xdr:nvCxnSpPr>
      <xdr:spPr>
        <a:xfrm flipV="1">
          <a:off x="7733348" y="4541520"/>
          <a:ext cx="6667" cy="1731645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</xdr:colOff>
      <xdr:row>22</xdr:row>
      <xdr:rowOff>190500</xdr:rowOff>
    </xdr:from>
    <xdr:to>
      <xdr:col>14</xdr:col>
      <xdr:colOff>276225</xdr:colOff>
      <xdr:row>23</xdr:row>
      <xdr:rowOff>9525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C2B0C345-8122-4E7D-B403-04D1827DD8F4}"/>
            </a:ext>
          </a:extLst>
        </xdr:cNvPr>
        <xdr:cNvCxnSpPr/>
      </xdr:nvCxnSpPr>
      <xdr:spPr>
        <a:xfrm>
          <a:off x="7740015" y="4549140"/>
          <a:ext cx="5886450" cy="1714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851535</xdr:colOff>
      <xdr:row>47</xdr:row>
      <xdr:rowOff>28575</xdr:rowOff>
    </xdr:from>
    <xdr:to>
      <xdr:col>8</xdr:col>
      <xdr:colOff>953</xdr:colOff>
      <xdr:row>75</xdr:row>
      <xdr:rowOff>45720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DC98533B-2C69-4888-AC09-D9029227E087}"/>
            </a:ext>
          </a:extLst>
        </xdr:cNvPr>
        <xdr:cNvCxnSpPr>
          <a:stCxn id="43" idx="2"/>
        </xdr:cNvCxnSpPr>
      </xdr:nvCxnSpPr>
      <xdr:spPr>
        <a:xfrm flipH="1">
          <a:off x="7717155" y="9340215"/>
          <a:ext cx="18098" cy="638746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320040</xdr:colOff>
      <xdr:row>39</xdr:row>
      <xdr:rowOff>95250</xdr:rowOff>
    </xdr:from>
    <xdr:to>
      <xdr:col>6</xdr:col>
      <xdr:colOff>838200</xdr:colOff>
      <xdr:row>39</xdr:row>
      <xdr:rowOff>100965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8BDDE109-C867-47D3-A27A-A7964E54B6CE}"/>
            </a:ext>
          </a:extLst>
        </xdr:cNvPr>
        <xdr:cNvCxnSpPr/>
      </xdr:nvCxnSpPr>
      <xdr:spPr>
        <a:xfrm flipV="1">
          <a:off x="1188720" y="7821930"/>
          <a:ext cx="5646420" cy="571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1927860</xdr:colOff>
      <xdr:row>60</xdr:row>
      <xdr:rowOff>91440</xdr:rowOff>
    </xdr:from>
    <xdr:to>
      <xdr:col>20</xdr:col>
      <xdr:colOff>524087</xdr:colOff>
      <xdr:row>60</xdr:row>
      <xdr:rowOff>137159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F39A26AD-1565-4F13-A2E3-70590DDC527D}"/>
            </a:ext>
          </a:extLst>
        </xdr:cNvPr>
        <xdr:cNvGrpSpPr/>
      </xdr:nvGrpSpPr>
      <xdr:grpSpPr>
        <a:xfrm>
          <a:off x="20627340" y="11978640"/>
          <a:ext cx="2817707" cy="45719"/>
          <a:chOff x="19791381" y="19457893"/>
          <a:chExt cx="2970025" cy="71719"/>
        </a:xfrm>
      </xdr:grpSpPr>
      <xdr:cxnSp macro="">
        <xdr:nvCxnSpPr>
          <xdr:cNvPr id="49" name="Straight Arrow Connector 48">
            <a:extLst>
              <a:ext uri="{FF2B5EF4-FFF2-40B4-BE49-F238E27FC236}">
                <a16:creationId xmlns:a16="http://schemas.microsoft.com/office/drawing/2014/main" id="{44A6713F-0046-6D14-4786-5A5E524D2E81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" name="Oval 49">
            <a:extLst>
              <a:ext uri="{FF2B5EF4-FFF2-40B4-BE49-F238E27FC236}">
                <a16:creationId xmlns:a16="http://schemas.microsoft.com/office/drawing/2014/main" id="{D2FC4403-6EE4-F597-56BB-CDAF0133B353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1" name="Oval 50">
            <a:extLst>
              <a:ext uri="{FF2B5EF4-FFF2-40B4-BE49-F238E27FC236}">
                <a16:creationId xmlns:a16="http://schemas.microsoft.com/office/drawing/2014/main" id="{FC1F2564-7F9D-5A8B-502E-02A807237164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18</xdr:col>
      <xdr:colOff>2148840</xdr:colOff>
      <xdr:row>67</xdr:row>
      <xdr:rowOff>76200</xdr:rowOff>
    </xdr:from>
    <xdr:to>
      <xdr:col>22</xdr:col>
      <xdr:colOff>114300</xdr:colOff>
      <xdr:row>69</xdr:row>
      <xdr:rowOff>137160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63AAF9C7-E529-405A-A8C8-6AE612406CFE}"/>
            </a:ext>
          </a:extLst>
        </xdr:cNvPr>
        <xdr:cNvGrpSpPr/>
      </xdr:nvGrpSpPr>
      <xdr:grpSpPr>
        <a:xfrm>
          <a:off x="20848320" y="13784580"/>
          <a:ext cx="5806440" cy="457200"/>
          <a:chOff x="16230227" y="28357759"/>
          <a:chExt cx="6391543" cy="672305"/>
        </a:xfrm>
      </xdr:grpSpPr>
      <xdr:cxnSp macro="">
        <xdr:nvCxnSpPr>
          <xdr:cNvPr id="53" name="Straight Arrow Connector 52">
            <a:extLst>
              <a:ext uri="{FF2B5EF4-FFF2-40B4-BE49-F238E27FC236}">
                <a16:creationId xmlns:a16="http://schemas.microsoft.com/office/drawing/2014/main" id="{A0528FDE-18FD-8FDA-02E2-8533FD448A6E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Oval 53">
            <a:extLst>
              <a:ext uri="{FF2B5EF4-FFF2-40B4-BE49-F238E27FC236}">
                <a16:creationId xmlns:a16="http://schemas.microsoft.com/office/drawing/2014/main" id="{00EDF7B9-9C55-03E1-AD8C-D7D4813C9E5E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5" name="Oval 54">
            <a:extLst>
              <a:ext uri="{FF2B5EF4-FFF2-40B4-BE49-F238E27FC236}">
                <a16:creationId xmlns:a16="http://schemas.microsoft.com/office/drawing/2014/main" id="{FC1164A1-3B5D-E2E7-C7EC-CC7CA08412FD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6" name="Oval 55">
            <a:extLst>
              <a:ext uri="{FF2B5EF4-FFF2-40B4-BE49-F238E27FC236}">
                <a16:creationId xmlns:a16="http://schemas.microsoft.com/office/drawing/2014/main" id="{E453909E-C087-3A11-0B4C-AF2DE3DAD9EA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7" name="Oval 56">
            <a:extLst>
              <a:ext uri="{FF2B5EF4-FFF2-40B4-BE49-F238E27FC236}">
                <a16:creationId xmlns:a16="http://schemas.microsoft.com/office/drawing/2014/main" id="{CDD547BF-F273-A14D-CE10-5208169E19B9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59" name="Straight Arrow Connector 58">
            <a:extLst>
              <a:ext uri="{FF2B5EF4-FFF2-40B4-BE49-F238E27FC236}">
                <a16:creationId xmlns:a16="http://schemas.microsoft.com/office/drawing/2014/main" id="{D0753A24-B09C-A7E0-6F4D-118F0B25576C}"/>
              </a:ext>
            </a:extLst>
          </xdr:cNvPr>
          <xdr:cNvCxnSpPr>
            <a:stCxn id="54" idx="5"/>
            <a:endCxn id="56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Straight Arrow Connector 59">
            <a:extLst>
              <a:ext uri="{FF2B5EF4-FFF2-40B4-BE49-F238E27FC236}">
                <a16:creationId xmlns:a16="http://schemas.microsoft.com/office/drawing/2014/main" id="{0D49124F-8DCD-06F6-F2C6-69446819DA7C}"/>
              </a:ext>
            </a:extLst>
          </xdr:cNvPr>
          <xdr:cNvCxnSpPr>
            <a:stCxn id="56" idx="6"/>
            <a:endCxn id="57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Straight Arrow Connector 60">
            <a:extLst>
              <a:ext uri="{FF2B5EF4-FFF2-40B4-BE49-F238E27FC236}">
                <a16:creationId xmlns:a16="http://schemas.microsoft.com/office/drawing/2014/main" id="{2099FCB9-4B9C-83C5-B741-1B51A171892F}"/>
              </a:ext>
            </a:extLst>
          </xdr:cNvPr>
          <xdr:cNvCxnSpPr>
            <a:stCxn id="57" idx="6"/>
            <a:endCxn id="55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2057400</xdr:colOff>
      <xdr:row>88</xdr:row>
      <xdr:rowOff>83820</xdr:rowOff>
    </xdr:from>
    <xdr:to>
      <xdr:col>22</xdr:col>
      <xdr:colOff>22860</xdr:colOff>
      <xdr:row>90</xdr:row>
      <xdr:rowOff>144780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2F0AC04B-808F-A00E-E0E1-B9AE11E3BD44}"/>
            </a:ext>
          </a:extLst>
        </xdr:cNvPr>
        <xdr:cNvGrpSpPr/>
      </xdr:nvGrpSpPr>
      <xdr:grpSpPr>
        <a:xfrm>
          <a:off x="20756880" y="18798540"/>
          <a:ext cx="5806440" cy="457200"/>
          <a:chOff x="16230227" y="28357759"/>
          <a:chExt cx="6391543" cy="672305"/>
        </a:xfrm>
      </xdr:grpSpPr>
      <xdr:cxnSp macro="">
        <xdr:nvCxnSpPr>
          <xdr:cNvPr id="63" name="Straight Arrow Connector 62">
            <a:extLst>
              <a:ext uri="{FF2B5EF4-FFF2-40B4-BE49-F238E27FC236}">
                <a16:creationId xmlns:a16="http://schemas.microsoft.com/office/drawing/2014/main" id="{75A43DD0-3AD5-3482-51EF-7DC46F44101D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4" name="Oval 63">
            <a:extLst>
              <a:ext uri="{FF2B5EF4-FFF2-40B4-BE49-F238E27FC236}">
                <a16:creationId xmlns:a16="http://schemas.microsoft.com/office/drawing/2014/main" id="{71DAE6C8-DBA5-F1CB-2E38-6BF247B3B2EC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5" name="Oval 64">
            <a:extLst>
              <a:ext uri="{FF2B5EF4-FFF2-40B4-BE49-F238E27FC236}">
                <a16:creationId xmlns:a16="http://schemas.microsoft.com/office/drawing/2014/main" id="{6E7F4FC7-BB7B-3333-01CC-F3C5AC186C40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6" name="Oval 65">
            <a:extLst>
              <a:ext uri="{FF2B5EF4-FFF2-40B4-BE49-F238E27FC236}">
                <a16:creationId xmlns:a16="http://schemas.microsoft.com/office/drawing/2014/main" id="{87C473E6-4A77-BF70-4440-7D65DD86169A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7" name="Oval 66">
            <a:extLst>
              <a:ext uri="{FF2B5EF4-FFF2-40B4-BE49-F238E27FC236}">
                <a16:creationId xmlns:a16="http://schemas.microsoft.com/office/drawing/2014/main" id="{1F481CA9-F670-1878-E84F-90BEDB5B2CA3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68" name="Straight Arrow Connector 67">
            <a:extLst>
              <a:ext uri="{FF2B5EF4-FFF2-40B4-BE49-F238E27FC236}">
                <a16:creationId xmlns:a16="http://schemas.microsoft.com/office/drawing/2014/main" id="{780A2DA1-7037-82E3-F6BA-5A2DBA89CBB7}"/>
              </a:ext>
            </a:extLst>
          </xdr:cNvPr>
          <xdr:cNvCxnSpPr>
            <a:stCxn id="64" idx="5"/>
            <a:endCxn id="66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Straight Arrow Connector 68">
            <a:extLst>
              <a:ext uri="{FF2B5EF4-FFF2-40B4-BE49-F238E27FC236}">
                <a16:creationId xmlns:a16="http://schemas.microsoft.com/office/drawing/2014/main" id="{4222A3D5-BA92-EBF2-96D6-BA378307F0BD}"/>
              </a:ext>
            </a:extLst>
          </xdr:cNvPr>
          <xdr:cNvCxnSpPr>
            <a:stCxn id="66" idx="6"/>
            <a:endCxn id="67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Straight Arrow Connector 69">
            <a:extLst>
              <a:ext uri="{FF2B5EF4-FFF2-40B4-BE49-F238E27FC236}">
                <a16:creationId xmlns:a16="http://schemas.microsoft.com/office/drawing/2014/main" id="{C2F97482-65D4-D842-A025-F512C71D1C84}"/>
              </a:ext>
            </a:extLst>
          </xdr:cNvPr>
          <xdr:cNvCxnSpPr>
            <a:stCxn id="67" idx="6"/>
            <a:endCxn id="65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2164080</xdr:colOff>
      <xdr:row>109</xdr:row>
      <xdr:rowOff>83820</xdr:rowOff>
    </xdr:from>
    <xdr:to>
      <xdr:col>22</xdr:col>
      <xdr:colOff>129540</xdr:colOff>
      <xdr:row>111</xdr:row>
      <xdr:rowOff>144780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DFCCE722-B398-46C7-AAAE-A20670861419}"/>
            </a:ext>
          </a:extLst>
        </xdr:cNvPr>
        <xdr:cNvGrpSpPr/>
      </xdr:nvGrpSpPr>
      <xdr:grpSpPr>
        <a:xfrm>
          <a:off x="20863560" y="23881080"/>
          <a:ext cx="5806440" cy="457200"/>
          <a:chOff x="16230227" y="28357759"/>
          <a:chExt cx="6391543" cy="672305"/>
        </a:xfrm>
      </xdr:grpSpPr>
      <xdr:cxnSp macro="">
        <xdr:nvCxnSpPr>
          <xdr:cNvPr id="72" name="Straight Arrow Connector 71">
            <a:extLst>
              <a:ext uri="{FF2B5EF4-FFF2-40B4-BE49-F238E27FC236}">
                <a16:creationId xmlns:a16="http://schemas.microsoft.com/office/drawing/2014/main" id="{35BDF925-1BCD-0662-830C-91A0409D94B6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3" name="Oval 72">
            <a:extLst>
              <a:ext uri="{FF2B5EF4-FFF2-40B4-BE49-F238E27FC236}">
                <a16:creationId xmlns:a16="http://schemas.microsoft.com/office/drawing/2014/main" id="{D2019F42-FB10-0D18-F304-3AE4934055A1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74" name="Oval 73">
            <a:extLst>
              <a:ext uri="{FF2B5EF4-FFF2-40B4-BE49-F238E27FC236}">
                <a16:creationId xmlns:a16="http://schemas.microsoft.com/office/drawing/2014/main" id="{3CCD0C5F-80D5-4934-99A5-A56DADAB1ECE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75" name="Oval 74">
            <a:extLst>
              <a:ext uri="{FF2B5EF4-FFF2-40B4-BE49-F238E27FC236}">
                <a16:creationId xmlns:a16="http://schemas.microsoft.com/office/drawing/2014/main" id="{409BBAD5-0A6A-8251-6E55-21463F35B231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76" name="Oval 75">
            <a:extLst>
              <a:ext uri="{FF2B5EF4-FFF2-40B4-BE49-F238E27FC236}">
                <a16:creationId xmlns:a16="http://schemas.microsoft.com/office/drawing/2014/main" id="{D4F16450-EA02-15AE-F74A-BE27B91E704F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77" name="Straight Arrow Connector 76">
            <a:extLst>
              <a:ext uri="{FF2B5EF4-FFF2-40B4-BE49-F238E27FC236}">
                <a16:creationId xmlns:a16="http://schemas.microsoft.com/office/drawing/2014/main" id="{D13778BB-71A2-9C29-C088-8AAF0AAAB7EC}"/>
              </a:ext>
            </a:extLst>
          </xdr:cNvPr>
          <xdr:cNvCxnSpPr>
            <a:stCxn id="73" idx="5"/>
            <a:endCxn id="75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Straight Arrow Connector 77">
            <a:extLst>
              <a:ext uri="{FF2B5EF4-FFF2-40B4-BE49-F238E27FC236}">
                <a16:creationId xmlns:a16="http://schemas.microsoft.com/office/drawing/2014/main" id="{6B34F32F-A83A-25F4-D5B8-87F3EF8ED515}"/>
              </a:ext>
            </a:extLst>
          </xdr:cNvPr>
          <xdr:cNvCxnSpPr>
            <a:stCxn id="75" idx="6"/>
            <a:endCxn id="76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Straight Arrow Connector 78">
            <a:extLst>
              <a:ext uri="{FF2B5EF4-FFF2-40B4-BE49-F238E27FC236}">
                <a16:creationId xmlns:a16="http://schemas.microsoft.com/office/drawing/2014/main" id="{6A629371-A629-2024-78F5-6129D11A57FB}"/>
              </a:ext>
            </a:extLst>
          </xdr:cNvPr>
          <xdr:cNvCxnSpPr>
            <a:stCxn id="76" idx="6"/>
            <a:endCxn id="74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2133600</xdr:colOff>
      <xdr:row>180</xdr:row>
      <xdr:rowOff>83820</xdr:rowOff>
    </xdr:from>
    <xdr:to>
      <xdr:col>22</xdr:col>
      <xdr:colOff>99060</xdr:colOff>
      <xdr:row>182</xdr:row>
      <xdr:rowOff>144780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D44A776B-FD22-C628-1023-A85DE0995A6C}"/>
            </a:ext>
          </a:extLst>
        </xdr:cNvPr>
        <xdr:cNvGrpSpPr/>
      </xdr:nvGrpSpPr>
      <xdr:grpSpPr>
        <a:xfrm>
          <a:off x="20833080" y="41117520"/>
          <a:ext cx="5806440" cy="457200"/>
          <a:chOff x="16230227" y="28357759"/>
          <a:chExt cx="6391543" cy="672305"/>
        </a:xfrm>
      </xdr:grpSpPr>
      <xdr:cxnSp macro="">
        <xdr:nvCxnSpPr>
          <xdr:cNvPr id="81" name="Straight Arrow Connector 80">
            <a:extLst>
              <a:ext uri="{FF2B5EF4-FFF2-40B4-BE49-F238E27FC236}">
                <a16:creationId xmlns:a16="http://schemas.microsoft.com/office/drawing/2014/main" id="{CCC11863-A6ED-B856-6DED-25342808BBF4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2" name="Oval 81">
            <a:extLst>
              <a:ext uri="{FF2B5EF4-FFF2-40B4-BE49-F238E27FC236}">
                <a16:creationId xmlns:a16="http://schemas.microsoft.com/office/drawing/2014/main" id="{911442F6-6EF5-4B4C-C2F9-41A94F94B5A2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3" name="Oval 82">
            <a:extLst>
              <a:ext uri="{FF2B5EF4-FFF2-40B4-BE49-F238E27FC236}">
                <a16:creationId xmlns:a16="http://schemas.microsoft.com/office/drawing/2014/main" id="{AF451843-9CFD-BF3C-E6BB-3F6389F4EAEB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4" name="Oval 83">
            <a:extLst>
              <a:ext uri="{FF2B5EF4-FFF2-40B4-BE49-F238E27FC236}">
                <a16:creationId xmlns:a16="http://schemas.microsoft.com/office/drawing/2014/main" id="{256C7856-D860-3A21-5DCA-6A63C5D12D3A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5" name="Oval 84">
            <a:extLst>
              <a:ext uri="{FF2B5EF4-FFF2-40B4-BE49-F238E27FC236}">
                <a16:creationId xmlns:a16="http://schemas.microsoft.com/office/drawing/2014/main" id="{D4773746-3248-EE71-FA51-2AD32B5D5795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86" name="Straight Arrow Connector 85">
            <a:extLst>
              <a:ext uri="{FF2B5EF4-FFF2-40B4-BE49-F238E27FC236}">
                <a16:creationId xmlns:a16="http://schemas.microsoft.com/office/drawing/2014/main" id="{3BCAB540-308C-69B1-CB46-AA4B37A75BAC}"/>
              </a:ext>
            </a:extLst>
          </xdr:cNvPr>
          <xdr:cNvCxnSpPr>
            <a:stCxn id="82" idx="5"/>
            <a:endCxn id="84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Straight Arrow Connector 86">
            <a:extLst>
              <a:ext uri="{FF2B5EF4-FFF2-40B4-BE49-F238E27FC236}">
                <a16:creationId xmlns:a16="http://schemas.microsoft.com/office/drawing/2014/main" id="{25D3F780-17B4-0381-C284-67D4CA1C9958}"/>
              </a:ext>
            </a:extLst>
          </xdr:cNvPr>
          <xdr:cNvCxnSpPr>
            <a:stCxn id="84" idx="6"/>
            <a:endCxn id="85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Straight Arrow Connector 87">
            <a:extLst>
              <a:ext uri="{FF2B5EF4-FFF2-40B4-BE49-F238E27FC236}">
                <a16:creationId xmlns:a16="http://schemas.microsoft.com/office/drawing/2014/main" id="{75D31713-90C3-D05D-FBA2-B40B6116869E}"/>
              </a:ext>
            </a:extLst>
          </xdr:cNvPr>
          <xdr:cNvCxnSpPr>
            <a:stCxn id="85" idx="6"/>
            <a:endCxn id="83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2026920</xdr:colOff>
      <xdr:row>152</xdr:row>
      <xdr:rowOff>91440</xdr:rowOff>
    </xdr:from>
    <xdr:to>
      <xdr:col>20</xdr:col>
      <xdr:colOff>478367</xdr:colOff>
      <xdr:row>152</xdr:row>
      <xdr:rowOff>167640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03E385EB-A4ED-4138-85BE-90115D8855E7}"/>
            </a:ext>
          </a:extLst>
        </xdr:cNvPr>
        <xdr:cNvGrpSpPr/>
      </xdr:nvGrpSpPr>
      <xdr:grpSpPr>
        <a:xfrm>
          <a:off x="20726400" y="34320480"/>
          <a:ext cx="2672927" cy="76200"/>
          <a:chOff x="19791381" y="19457893"/>
          <a:chExt cx="2970025" cy="71719"/>
        </a:xfrm>
      </xdr:grpSpPr>
      <xdr:cxnSp macro="">
        <xdr:nvCxnSpPr>
          <xdr:cNvPr id="90" name="Straight Arrow Connector 89">
            <a:extLst>
              <a:ext uri="{FF2B5EF4-FFF2-40B4-BE49-F238E27FC236}">
                <a16:creationId xmlns:a16="http://schemas.microsoft.com/office/drawing/2014/main" id="{07A6C544-C98F-544D-1D36-01A4C7302CAF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1" name="Oval 90">
            <a:extLst>
              <a:ext uri="{FF2B5EF4-FFF2-40B4-BE49-F238E27FC236}">
                <a16:creationId xmlns:a16="http://schemas.microsoft.com/office/drawing/2014/main" id="{4DD766B1-0A01-7802-60CB-59BA6896BF5A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92" name="Oval 91">
            <a:extLst>
              <a:ext uri="{FF2B5EF4-FFF2-40B4-BE49-F238E27FC236}">
                <a16:creationId xmlns:a16="http://schemas.microsoft.com/office/drawing/2014/main" id="{CA72F09C-0084-B8C0-0623-FA40C78ADF4A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18</xdr:col>
      <xdr:colOff>2217420</xdr:colOff>
      <xdr:row>130</xdr:row>
      <xdr:rowOff>83820</xdr:rowOff>
    </xdr:from>
    <xdr:to>
      <xdr:col>22</xdr:col>
      <xdr:colOff>182880</xdr:colOff>
      <xdr:row>132</xdr:row>
      <xdr:rowOff>144780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2F8E511D-FC5D-AC83-891E-6B51E71B0DDD}"/>
            </a:ext>
          </a:extLst>
        </xdr:cNvPr>
        <xdr:cNvGrpSpPr/>
      </xdr:nvGrpSpPr>
      <xdr:grpSpPr>
        <a:xfrm>
          <a:off x="20916900" y="29016960"/>
          <a:ext cx="5806440" cy="457200"/>
          <a:chOff x="16230227" y="28357759"/>
          <a:chExt cx="6391543" cy="672305"/>
        </a:xfrm>
      </xdr:grpSpPr>
      <xdr:cxnSp macro="">
        <xdr:nvCxnSpPr>
          <xdr:cNvPr id="94" name="Straight Arrow Connector 93">
            <a:extLst>
              <a:ext uri="{FF2B5EF4-FFF2-40B4-BE49-F238E27FC236}">
                <a16:creationId xmlns:a16="http://schemas.microsoft.com/office/drawing/2014/main" id="{7E6DF4F6-18B1-7D99-0F1B-60BDC5FDCD14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5" name="Oval 94">
            <a:extLst>
              <a:ext uri="{FF2B5EF4-FFF2-40B4-BE49-F238E27FC236}">
                <a16:creationId xmlns:a16="http://schemas.microsoft.com/office/drawing/2014/main" id="{63ACAFE1-B1BC-D0D0-DF4D-96A2A1D10EBF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96" name="Oval 95">
            <a:extLst>
              <a:ext uri="{FF2B5EF4-FFF2-40B4-BE49-F238E27FC236}">
                <a16:creationId xmlns:a16="http://schemas.microsoft.com/office/drawing/2014/main" id="{35673990-3F0E-15E6-0B78-35D2B67F3719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97" name="Oval 96">
            <a:extLst>
              <a:ext uri="{FF2B5EF4-FFF2-40B4-BE49-F238E27FC236}">
                <a16:creationId xmlns:a16="http://schemas.microsoft.com/office/drawing/2014/main" id="{6B850881-6214-E5A1-2B5A-FDBCDFAC10F8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98" name="Oval 97">
            <a:extLst>
              <a:ext uri="{FF2B5EF4-FFF2-40B4-BE49-F238E27FC236}">
                <a16:creationId xmlns:a16="http://schemas.microsoft.com/office/drawing/2014/main" id="{21B97876-D039-E7A6-938B-ECF0E7C52CC6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99" name="Straight Arrow Connector 98">
            <a:extLst>
              <a:ext uri="{FF2B5EF4-FFF2-40B4-BE49-F238E27FC236}">
                <a16:creationId xmlns:a16="http://schemas.microsoft.com/office/drawing/2014/main" id="{3ED9AE8E-A517-5121-4001-38A2F5CADE2D}"/>
              </a:ext>
            </a:extLst>
          </xdr:cNvPr>
          <xdr:cNvCxnSpPr>
            <a:stCxn id="95" idx="5"/>
            <a:endCxn id="97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Straight Arrow Connector 99">
            <a:extLst>
              <a:ext uri="{FF2B5EF4-FFF2-40B4-BE49-F238E27FC236}">
                <a16:creationId xmlns:a16="http://schemas.microsoft.com/office/drawing/2014/main" id="{BF1E1C7A-E0CC-B55A-1FBC-139FE2EB93AE}"/>
              </a:ext>
            </a:extLst>
          </xdr:cNvPr>
          <xdr:cNvCxnSpPr>
            <a:stCxn id="97" idx="6"/>
            <a:endCxn id="98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Straight Arrow Connector 100">
            <a:extLst>
              <a:ext uri="{FF2B5EF4-FFF2-40B4-BE49-F238E27FC236}">
                <a16:creationId xmlns:a16="http://schemas.microsoft.com/office/drawing/2014/main" id="{1F7BAC2D-9AB3-19F5-CB4B-9227CA29146A}"/>
              </a:ext>
            </a:extLst>
          </xdr:cNvPr>
          <xdr:cNvCxnSpPr>
            <a:stCxn id="98" idx="6"/>
            <a:endCxn id="96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2217420</xdr:colOff>
      <xdr:row>159</xdr:row>
      <xdr:rowOff>60960</xdr:rowOff>
    </xdr:from>
    <xdr:to>
      <xdr:col>22</xdr:col>
      <xdr:colOff>182880</xdr:colOff>
      <xdr:row>161</xdr:row>
      <xdr:rowOff>121920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4989A5B4-BEFF-3384-AB37-AF477D9F1BED}"/>
            </a:ext>
          </a:extLst>
        </xdr:cNvPr>
        <xdr:cNvGrpSpPr/>
      </xdr:nvGrpSpPr>
      <xdr:grpSpPr>
        <a:xfrm>
          <a:off x="20916900" y="36080700"/>
          <a:ext cx="5806440" cy="457200"/>
          <a:chOff x="16230227" y="28357759"/>
          <a:chExt cx="6391543" cy="672305"/>
        </a:xfrm>
      </xdr:grpSpPr>
      <xdr:cxnSp macro="">
        <xdr:nvCxnSpPr>
          <xdr:cNvPr id="103" name="Straight Arrow Connector 102">
            <a:extLst>
              <a:ext uri="{FF2B5EF4-FFF2-40B4-BE49-F238E27FC236}">
                <a16:creationId xmlns:a16="http://schemas.microsoft.com/office/drawing/2014/main" id="{491A1061-A429-5CDF-3842-E3D2F5122DB2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4" name="Oval 103">
            <a:extLst>
              <a:ext uri="{FF2B5EF4-FFF2-40B4-BE49-F238E27FC236}">
                <a16:creationId xmlns:a16="http://schemas.microsoft.com/office/drawing/2014/main" id="{BFADA8E4-5284-559A-C7ED-AFC37A480A35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05" name="Oval 104">
            <a:extLst>
              <a:ext uri="{FF2B5EF4-FFF2-40B4-BE49-F238E27FC236}">
                <a16:creationId xmlns:a16="http://schemas.microsoft.com/office/drawing/2014/main" id="{37D7D082-A03C-CD5B-D81C-8397182C026F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06" name="Oval 105">
            <a:extLst>
              <a:ext uri="{FF2B5EF4-FFF2-40B4-BE49-F238E27FC236}">
                <a16:creationId xmlns:a16="http://schemas.microsoft.com/office/drawing/2014/main" id="{AE17FA9A-297F-5A16-3700-4DFB38B3619B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07" name="Oval 106">
            <a:extLst>
              <a:ext uri="{FF2B5EF4-FFF2-40B4-BE49-F238E27FC236}">
                <a16:creationId xmlns:a16="http://schemas.microsoft.com/office/drawing/2014/main" id="{73906F1F-E2E4-17DB-67AE-7735E51E1C9E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108" name="Straight Arrow Connector 107">
            <a:extLst>
              <a:ext uri="{FF2B5EF4-FFF2-40B4-BE49-F238E27FC236}">
                <a16:creationId xmlns:a16="http://schemas.microsoft.com/office/drawing/2014/main" id="{63FFA11D-B4B3-4196-5A8E-D1860CFF35AF}"/>
              </a:ext>
            </a:extLst>
          </xdr:cNvPr>
          <xdr:cNvCxnSpPr>
            <a:stCxn id="104" idx="5"/>
            <a:endCxn id="106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Straight Arrow Connector 108">
            <a:extLst>
              <a:ext uri="{FF2B5EF4-FFF2-40B4-BE49-F238E27FC236}">
                <a16:creationId xmlns:a16="http://schemas.microsoft.com/office/drawing/2014/main" id="{B0571D08-3D4B-AAC8-A964-EC4D7BA2719E}"/>
              </a:ext>
            </a:extLst>
          </xdr:cNvPr>
          <xdr:cNvCxnSpPr>
            <a:stCxn id="106" idx="6"/>
            <a:endCxn id="107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Arrow Connector 109">
            <a:extLst>
              <a:ext uri="{FF2B5EF4-FFF2-40B4-BE49-F238E27FC236}">
                <a16:creationId xmlns:a16="http://schemas.microsoft.com/office/drawing/2014/main" id="{01C3880E-D90D-5015-AF0F-585AF2AAD27F}"/>
              </a:ext>
            </a:extLst>
          </xdr:cNvPr>
          <xdr:cNvCxnSpPr>
            <a:stCxn id="107" idx="6"/>
            <a:endCxn id="105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2202180</xdr:colOff>
      <xdr:row>222</xdr:row>
      <xdr:rowOff>76200</xdr:rowOff>
    </xdr:from>
    <xdr:to>
      <xdr:col>22</xdr:col>
      <xdr:colOff>167640</xdr:colOff>
      <xdr:row>224</xdr:row>
      <xdr:rowOff>137160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0056C8C1-260D-45BF-AC2B-AD5B80C44BFF}"/>
            </a:ext>
          </a:extLst>
        </xdr:cNvPr>
        <xdr:cNvGrpSpPr/>
      </xdr:nvGrpSpPr>
      <xdr:grpSpPr>
        <a:xfrm>
          <a:off x="20901660" y="51335940"/>
          <a:ext cx="5806440" cy="457200"/>
          <a:chOff x="16230227" y="28357759"/>
          <a:chExt cx="6391543" cy="672305"/>
        </a:xfrm>
      </xdr:grpSpPr>
      <xdr:cxnSp macro="">
        <xdr:nvCxnSpPr>
          <xdr:cNvPr id="112" name="Straight Arrow Connector 111">
            <a:extLst>
              <a:ext uri="{FF2B5EF4-FFF2-40B4-BE49-F238E27FC236}">
                <a16:creationId xmlns:a16="http://schemas.microsoft.com/office/drawing/2014/main" id="{FECA43B0-536E-A59F-3FA3-128514804582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" name="Oval 112">
            <a:extLst>
              <a:ext uri="{FF2B5EF4-FFF2-40B4-BE49-F238E27FC236}">
                <a16:creationId xmlns:a16="http://schemas.microsoft.com/office/drawing/2014/main" id="{3B0DD57A-808D-9562-F239-49B510B93680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4" name="Oval 113">
            <a:extLst>
              <a:ext uri="{FF2B5EF4-FFF2-40B4-BE49-F238E27FC236}">
                <a16:creationId xmlns:a16="http://schemas.microsoft.com/office/drawing/2014/main" id="{BE2C437F-1AE2-CAAD-ACA0-91E0577D4740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5" name="Oval 114">
            <a:extLst>
              <a:ext uri="{FF2B5EF4-FFF2-40B4-BE49-F238E27FC236}">
                <a16:creationId xmlns:a16="http://schemas.microsoft.com/office/drawing/2014/main" id="{E8EEF4DD-5159-61CF-AFBD-B5D2AEDAB7EA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6" name="Oval 115">
            <a:extLst>
              <a:ext uri="{FF2B5EF4-FFF2-40B4-BE49-F238E27FC236}">
                <a16:creationId xmlns:a16="http://schemas.microsoft.com/office/drawing/2014/main" id="{9D4A39EB-ED90-DA61-7198-D88068B99ADF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117" name="Straight Arrow Connector 116">
            <a:extLst>
              <a:ext uri="{FF2B5EF4-FFF2-40B4-BE49-F238E27FC236}">
                <a16:creationId xmlns:a16="http://schemas.microsoft.com/office/drawing/2014/main" id="{4D4C1117-561E-D708-E813-ED76660BFF17}"/>
              </a:ext>
            </a:extLst>
          </xdr:cNvPr>
          <xdr:cNvCxnSpPr>
            <a:stCxn id="113" idx="5"/>
            <a:endCxn id="115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Straight Arrow Connector 117">
            <a:extLst>
              <a:ext uri="{FF2B5EF4-FFF2-40B4-BE49-F238E27FC236}">
                <a16:creationId xmlns:a16="http://schemas.microsoft.com/office/drawing/2014/main" id="{3097FF99-8B4E-63EC-D012-DA7E2A6DCC42}"/>
              </a:ext>
            </a:extLst>
          </xdr:cNvPr>
          <xdr:cNvCxnSpPr>
            <a:stCxn id="115" idx="6"/>
            <a:endCxn id="116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Straight Arrow Connector 118">
            <a:extLst>
              <a:ext uri="{FF2B5EF4-FFF2-40B4-BE49-F238E27FC236}">
                <a16:creationId xmlns:a16="http://schemas.microsoft.com/office/drawing/2014/main" id="{B06558F3-839C-35D4-89E0-C2918593F9D9}"/>
              </a:ext>
            </a:extLst>
          </xdr:cNvPr>
          <xdr:cNvCxnSpPr>
            <a:stCxn id="116" idx="6"/>
            <a:endCxn id="114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2217420</xdr:colOff>
      <xdr:row>201</xdr:row>
      <xdr:rowOff>91440</xdr:rowOff>
    </xdr:from>
    <xdr:to>
      <xdr:col>22</xdr:col>
      <xdr:colOff>182880</xdr:colOff>
      <xdr:row>203</xdr:row>
      <xdr:rowOff>152400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A091D7AD-5A7E-4428-987E-456DD3993E3D}"/>
            </a:ext>
          </a:extLst>
        </xdr:cNvPr>
        <xdr:cNvGrpSpPr/>
      </xdr:nvGrpSpPr>
      <xdr:grpSpPr>
        <a:xfrm>
          <a:off x="20916900" y="46268640"/>
          <a:ext cx="5806440" cy="457200"/>
          <a:chOff x="16230227" y="28357759"/>
          <a:chExt cx="6391543" cy="672305"/>
        </a:xfrm>
      </xdr:grpSpPr>
      <xdr:cxnSp macro="">
        <xdr:nvCxnSpPr>
          <xdr:cNvPr id="121" name="Straight Arrow Connector 120">
            <a:extLst>
              <a:ext uri="{FF2B5EF4-FFF2-40B4-BE49-F238E27FC236}">
                <a16:creationId xmlns:a16="http://schemas.microsoft.com/office/drawing/2014/main" id="{5464F450-8774-A7FC-5F4B-0034A614E242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2" name="Oval 121">
            <a:extLst>
              <a:ext uri="{FF2B5EF4-FFF2-40B4-BE49-F238E27FC236}">
                <a16:creationId xmlns:a16="http://schemas.microsoft.com/office/drawing/2014/main" id="{D74BE18A-C76C-5557-18B7-182AACE99103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23" name="Oval 122">
            <a:extLst>
              <a:ext uri="{FF2B5EF4-FFF2-40B4-BE49-F238E27FC236}">
                <a16:creationId xmlns:a16="http://schemas.microsoft.com/office/drawing/2014/main" id="{B7D33650-64A2-582A-8317-2BFF7C31470B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24" name="Oval 123">
            <a:extLst>
              <a:ext uri="{FF2B5EF4-FFF2-40B4-BE49-F238E27FC236}">
                <a16:creationId xmlns:a16="http://schemas.microsoft.com/office/drawing/2014/main" id="{353F81C2-9716-F593-50E4-F89C75805860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25" name="Oval 124">
            <a:extLst>
              <a:ext uri="{FF2B5EF4-FFF2-40B4-BE49-F238E27FC236}">
                <a16:creationId xmlns:a16="http://schemas.microsoft.com/office/drawing/2014/main" id="{CE27B4E9-6298-7574-533E-5C7C400353FA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126" name="Straight Arrow Connector 125">
            <a:extLst>
              <a:ext uri="{FF2B5EF4-FFF2-40B4-BE49-F238E27FC236}">
                <a16:creationId xmlns:a16="http://schemas.microsoft.com/office/drawing/2014/main" id="{ECEA0EBC-DD36-8D18-A92F-907C136082C5}"/>
              </a:ext>
            </a:extLst>
          </xdr:cNvPr>
          <xdr:cNvCxnSpPr>
            <a:stCxn id="122" idx="5"/>
            <a:endCxn id="124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7" name="Straight Arrow Connector 126">
            <a:extLst>
              <a:ext uri="{FF2B5EF4-FFF2-40B4-BE49-F238E27FC236}">
                <a16:creationId xmlns:a16="http://schemas.microsoft.com/office/drawing/2014/main" id="{287128B2-750F-A80B-FC70-CB2C9BB6F5EA}"/>
              </a:ext>
            </a:extLst>
          </xdr:cNvPr>
          <xdr:cNvCxnSpPr>
            <a:stCxn id="124" idx="6"/>
            <a:endCxn id="125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" name="Straight Arrow Connector 127">
            <a:extLst>
              <a:ext uri="{FF2B5EF4-FFF2-40B4-BE49-F238E27FC236}">
                <a16:creationId xmlns:a16="http://schemas.microsoft.com/office/drawing/2014/main" id="{77C66943-44AF-6EAF-D26C-4FA2A93DD5CB}"/>
              </a:ext>
            </a:extLst>
          </xdr:cNvPr>
          <xdr:cNvCxnSpPr>
            <a:stCxn id="125" idx="6"/>
            <a:endCxn id="123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20</xdr:col>
      <xdr:colOff>37253</xdr:colOff>
      <xdr:row>72</xdr:row>
      <xdr:rowOff>195580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94BB8676-CA55-425B-A6D6-36E55C227BE7}"/>
                </a:ext>
              </a:extLst>
            </xdr:cNvPr>
            <xdr:cNvSpPr txBox="1"/>
          </xdr:nvSpPr>
          <xdr:spPr>
            <a:xfrm>
              <a:off x="22516253" y="141020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94BB8676-CA55-425B-A6D6-36E55C227BE7}"/>
                </a:ext>
              </a:extLst>
            </xdr:cNvPr>
            <xdr:cNvSpPr txBox="1"/>
          </xdr:nvSpPr>
          <xdr:spPr>
            <a:xfrm>
              <a:off x="22516253" y="141020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_298.15𝐾^283.85𝐾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MY" sz="1200" b="0" i="0" kern="1200">
                  <a:latin typeface="Cambria Math" panose="02040503050406030204" pitchFamily="18" charset="0"/>
                </a:rPr>
                <a:t>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19</xdr:col>
      <xdr:colOff>1066800</xdr:colOff>
      <xdr:row>81</xdr:row>
      <xdr:rowOff>22013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E5FE7D8C-C01D-4226-A0B9-768BC3A71781}"/>
                </a:ext>
              </a:extLst>
            </xdr:cNvPr>
            <xdr:cNvSpPr txBox="1"/>
          </xdr:nvSpPr>
          <xdr:spPr>
            <a:xfrm>
              <a:off x="21762720" y="16100213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35.72+4.2908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−1.5473×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+2.4070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E5FE7D8C-C01D-4226-A0B9-768BC3A71781}"/>
                </a:ext>
              </a:extLst>
            </xdr:cNvPr>
            <xdr:cNvSpPr txBox="1"/>
          </xdr:nvSpPr>
          <xdr:spPr>
            <a:xfrm>
              <a:off x="21762720" y="16100213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283.85𝐾^283.15𝐾▒〖35.72+4.2908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𝑇−1.5473×10^(−3)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+2.4070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19</xdr:col>
      <xdr:colOff>1766993</xdr:colOff>
      <xdr:row>94</xdr:row>
      <xdr:rowOff>27940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017C737D-2DC2-49C4-A5C1-61802E1D5AD1}"/>
                </a:ext>
              </a:extLst>
            </xdr:cNvPr>
            <xdr:cNvSpPr txBox="1"/>
          </xdr:nvSpPr>
          <xdr:spPr>
            <a:xfrm>
              <a:off x="22462913" y="191389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017C737D-2DC2-49C4-A5C1-61802E1D5AD1}"/>
                </a:ext>
              </a:extLst>
            </xdr:cNvPr>
            <xdr:cNvSpPr txBox="1"/>
          </xdr:nvSpPr>
          <xdr:spPr>
            <a:xfrm>
              <a:off x="22462913" y="191389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298.15𝐾^444.15𝐾▒〖−0.555+3.7003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19</xdr:col>
      <xdr:colOff>1120987</xdr:colOff>
      <xdr:row>102</xdr:row>
      <xdr:rowOff>39793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57F25A61-87F2-4783-8878-92F017FB98D9}"/>
                </a:ext>
              </a:extLst>
            </xdr:cNvPr>
            <xdr:cNvSpPr txBox="1"/>
          </xdr:nvSpPr>
          <xdr:spPr>
            <a:xfrm>
              <a:off x="21816907" y="21185293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23.111+1.2283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−3.1218×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+3.0714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57F25A61-87F2-4783-8878-92F017FB98D9}"/>
                </a:ext>
              </a:extLst>
            </xdr:cNvPr>
            <xdr:cNvSpPr txBox="1"/>
          </xdr:nvSpPr>
          <xdr:spPr>
            <a:xfrm>
              <a:off x="21816907" y="21185293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444.15𝐾^283.15𝐾▒〖23.111+1.2283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𝑇−3.1218×10^(−3)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+3.0714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24555</xdr:colOff>
      <xdr:row>115</xdr:row>
      <xdr:rowOff>91440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09B40241-D948-4C5F-9646-7413CF39AAC5}"/>
                </a:ext>
              </a:extLst>
            </xdr:cNvPr>
            <xdr:cNvSpPr txBox="1"/>
          </xdr:nvSpPr>
          <xdr:spPr>
            <a:xfrm>
              <a:off x="22503555" y="242849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09B40241-D948-4C5F-9646-7413CF39AAC5}"/>
                </a:ext>
              </a:extLst>
            </xdr:cNvPr>
            <xdr:cNvSpPr txBox="1"/>
          </xdr:nvSpPr>
          <xdr:spPr>
            <a:xfrm>
              <a:off x="22503555" y="242849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298.15𝐾^542.04𝐾▒〖−5.264+6.1929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231142</xdr:colOff>
      <xdr:row>123</xdr:row>
      <xdr:rowOff>26247</xdr:rowOff>
    </xdr:from>
    <xdr:ext cx="5481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73E9D590-5EE1-41BA-AD88-CDB16D92A130}"/>
                </a:ext>
              </a:extLst>
            </xdr:cNvPr>
            <xdr:cNvSpPr txBox="1"/>
          </xdr:nvSpPr>
          <xdr:spPr>
            <a:xfrm>
              <a:off x="22710142" y="2633810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76.703+1.0821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−2.4860×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+2.2497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73E9D590-5EE1-41BA-AD88-CDB16D92A130}"/>
                </a:ext>
              </a:extLst>
            </xdr:cNvPr>
            <xdr:cNvSpPr txBox="1"/>
          </xdr:nvSpPr>
          <xdr:spPr>
            <a:xfrm>
              <a:off x="22710142" y="2633810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542.04𝐾^283.15𝐾▒〖76.703+1.0821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𝑇−2.4860×10^(−3)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+2.2497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75355</xdr:colOff>
      <xdr:row>136</xdr:row>
      <xdr:rowOff>25401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76F2DDF1-53F1-4967-B640-30602D02D7E2}"/>
                </a:ext>
              </a:extLst>
            </xdr:cNvPr>
            <xdr:cNvSpPr txBox="1"/>
          </xdr:nvSpPr>
          <xdr:spPr>
            <a:xfrm>
              <a:off x="22554355" y="2935478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37.730+4.9155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+3.5952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−8.2287×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+3.5374×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−10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76F2DDF1-53F1-4967-B640-30602D02D7E2}"/>
                </a:ext>
              </a:extLst>
            </xdr:cNvPr>
            <xdr:cNvSpPr txBox="1"/>
          </xdr:nvSpPr>
          <xdr:spPr>
            <a:xfrm>
              <a:off x="22554355" y="2935478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298.15𝐾^608.55𝐾▒〖37.730+4.9155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+3.5952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𝑇^2−8.2287×10^(−7) 𝑇^3+3.5374×10^(−10)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202354</xdr:colOff>
      <xdr:row>144</xdr:row>
      <xdr:rowOff>9313</xdr:rowOff>
    </xdr:from>
    <xdr:ext cx="5621867" cy="559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BD98C206-60D4-4AB6-90F1-21ED1B7BEDB1}"/>
                </a:ext>
              </a:extLst>
            </xdr:cNvPr>
            <xdr:cNvSpPr txBox="1"/>
          </xdr:nvSpPr>
          <xdr:spPr>
            <a:xfrm>
              <a:off x="22681354" y="31350373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179.047+1.2436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−2.6631×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+2.3379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BD98C206-60D4-4AB6-90F1-21ED1B7BEDB1}"/>
                </a:ext>
              </a:extLst>
            </xdr:cNvPr>
            <xdr:cNvSpPr txBox="1"/>
          </xdr:nvSpPr>
          <xdr:spPr>
            <a:xfrm>
              <a:off x="22681354" y="31350373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608.55𝐾^283.15𝐾▒〖179.047+1.2436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𝑇−2.6631×10^(−3)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+2.3379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44873</xdr:colOff>
      <xdr:row>165</xdr:row>
      <xdr:rowOff>27940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E89AA963-240A-4AFD-AB10-182F615734E2}"/>
                </a:ext>
              </a:extLst>
            </xdr:cNvPr>
            <xdr:cNvSpPr txBox="1"/>
          </xdr:nvSpPr>
          <xdr:spPr>
            <a:xfrm>
              <a:off x="22523873" y="372364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E89AA963-240A-4AFD-AB10-182F615734E2}"/>
                </a:ext>
              </a:extLst>
            </xdr:cNvPr>
            <xdr:cNvSpPr txBox="1"/>
          </xdr:nvSpPr>
          <xdr:spPr>
            <a:xfrm>
              <a:off x="22523873" y="372364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298.15𝐾^283.85𝐾▒〖30.827−7.6041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19</xdr:col>
      <xdr:colOff>1165860</xdr:colOff>
      <xdr:row>173</xdr:row>
      <xdr:rowOff>6773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D4B6D92D-4652-42FD-BA3A-2730BB4C833F}"/>
                </a:ext>
              </a:extLst>
            </xdr:cNvPr>
            <xdr:cNvSpPr txBox="1"/>
          </xdr:nvSpPr>
          <xdr:spPr>
            <a:xfrm>
              <a:off x="21861780" y="39234533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35.72+4.2908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−1.5473×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+2.4070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D4B6D92D-4652-42FD-BA3A-2730BB4C833F}"/>
                </a:ext>
              </a:extLst>
            </xdr:cNvPr>
            <xdr:cNvSpPr txBox="1"/>
          </xdr:nvSpPr>
          <xdr:spPr>
            <a:xfrm>
              <a:off x="21861780" y="39234533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283.85𝐾^283.15𝐾▒〖35.72+4.2908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𝑇−1.5473×10^(−3)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+2.4070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159173</xdr:colOff>
      <xdr:row>186</xdr:row>
      <xdr:rowOff>43180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C32707CB-D977-460A-BCFC-6650B35F74C8}"/>
                </a:ext>
              </a:extLst>
            </xdr:cNvPr>
            <xdr:cNvSpPr txBox="1"/>
          </xdr:nvSpPr>
          <xdr:spPr>
            <a:xfrm>
              <a:off x="22638173" y="422656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C32707CB-D977-460A-BCFC-6650B35F74C8}"/>
                </a:ext>
              </a:extLst>
            </xdr:cNvPr>
            <xdr:cNvSpPr txBox="1"/>
          </xdr:nvSpPr>
          <xdr:spPr>
            <a:xfrm>
              <a:off x="22638173" y="422656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298.15𝐾^444.15𝐾▒〖−0.555+3.7003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19</xdr:col>
      <xdr:colOff>1120987</xdr:colOff>
      <xdr:row>194</xdr:row>
      <xdr:rowOff>39793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38DFF4B7-7852-4652-8D93-10DF2E754D85}"/>
                </a:ext>
              </a:extLst>
            </xdr:cNvPr>
            <xdr:cNvSpPr txBox="1"/>
          </xdr:nvSpPr>
          <xdr:spPr>
            <a:xfrm>
              <a:off x="21816907" y="44327233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23.111+1.2283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−3.1218×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+3.0714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38DFF4B7-7852-4652-8D93-10DF2E754D85}"/>
                </a:ext>
              </a:extLst>
            </xdr:cNvPr>
            <xdr:cNvSpPr txBox="1"/>
          </xdr:nvSpPr>
          <xdr:spPr>
            <a:xfrm>
              <a:off x="21816907" y="44327233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444.15𝐾^283.15𝐾▒〖23.111+1.2283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𝑇−3.1218×10^(−3)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+3.0714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70275</xdr:colOff>
      <xdr:row>207</xdr:row>
      <xdr:rowOff>30480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B2C023A0-B00A-48CA-831C-220688EC6061}"/>
                </a:ext>
              </a:extLst>
            </xdr:cNvPr>
            <xdr:cNvSpPr txBox="1"/>
          </xdr:nvSpPr>
          <xdr:spPr>
            <a:xfrm>
              <a:off x="22549275" y="473964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B2C023A0-B00A-48CA-831C-220688EC6061}"/>
                </a:ext>
              </a:extLst>
            </xdr:cNvPr>
            <xdr:cNvSpPr txBox="1"/>
          </xdr:nvSpPr>
          <xdr:spPr>
            <a:xfrm>
              <a:off x="22549275" y="473964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298.15𝐾^542.04𝐾▒〖−5.264+6.1929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223522</xdr:colOff>
      <xdr:row>215</xdr:row>
      <xdr:rowOff>41487</xdr:rowOff>
    </xdr:from>
    <xdr:ext cx="5481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FD906613-B952-4D97-955C-4C9846756B24}"/>
                </a:ext>
              </a:extLst>
            </xdr:cNvPr>
            <xdr:cNvSpPr txBox="1"/>
          </xdr:nvSpPr>
          <xdr:spPr>
            <a:xfrm>
              <a:off x="22702522" y="4945718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76.703+1.0821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−2.4860×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+2.2497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FD906613-B952-4D97-955C-4C9846756B24}"/>
                </a:ext>
              </a:extLst>
            </xdr:cNvPr>
            <xdr:cNvSpPr txBox="1"/>
          </xdr:nvSpPr>
          <xdr:spPr>
            <a:xfrm>
              <a:off x="22702522" y="4945718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542.04𝐾^283.15𝐾▒〖76.703+1.0821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𝑇−2.4860×10^(−3)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+2.2497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75355</xdr:colOff>
      <xdr:row>228</xdr:row>
      <xdr:rowOff>10161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53746334-A2B0-45B9-A8CE-339179D9D2F4}"/>
                </a:ext>
              </a:extLst>
            </xdr:cNvPr>
            <xdr:cNvSpPr txBox="1"/>
          </xdr:nvSpPr>
          <xdr:spPr>
            <a:xfrm>
              <a:off x="22554355" y="5245862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37.730+4.9155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+3.5952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−8.2287×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+3.5374×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−10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53746334-A2B0-45B9-A8CE-339179D9D2F4}"/>
                </a:ext>
              </a:extLst>
            </xdr:cNvPr>
            <xdr:cNvSpPr txBox="1"/>
          </xdr:nvSpPr>
          <xdr:spPr>
            <a:xfrm>
              <a:off x="22554355" y="5245862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298.15𝐾^608.55𝐾▒〖37.730+4.9155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+3.5952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𝑇^2−8.2287×10^(−7) 𝑇^3+3.5374×10^(−10)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209974</xdr:colOff>
      <xdr:row>236</xdr:row>
      <xdr:rowOff>9313</xdr:rowOff>
    </xdr:from>
    <xdr:ext cx="5621867" cy="559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CAA26826-04CF-4A45-87B2-3CF8326134EC}"/>
                </a:ext>
              </a:extLst>
            </xdr:cNvPr>
            <xdr:cNvSpPr txBox="1"/>
          </xdr:nvSpPr>
          <xdr:spPr>
            <a:xfrm>
              <a:off x="22688974" y="54438973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179.047+1.2436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−2.6631×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+2.3379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CAA26826-04CF-4A45-87B2-3CF8326134EC}"/>
                </a:ext>
              </a:extLst>
            </xdr:cNvPr>
            <xdr:cNvSpPr txBox="1"/>
          </xdr:nvSpPr>
          <xdr:spPr>
            <a:xfrm>
              <a:off x="22688974" y="54438973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608.55𝐾^283.15𝐾▒〖179.047+1.2436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𝑇−2.6631×10^(−3)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+2.3379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19</xdr:col>
      <xdr:colOff>1722120</xdr:colOff>
      <xdr:row>63</xdr:row>
      <xdr:rowOff>15240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B0895E2-76D9-4BB0-B1C7-3EBB1762E7FA}"/>
                </a:ext>
              </a:extLst>
            </xdr:cNvPr>
            <xdr:cNvSpPr txBox="1"/>
          </xdr:nvSpPr>
          <xdr:spPr>
            <a:xfrm>
              <a:off x="22418040" y="124968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33.573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1.2581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GB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200" b="0" i="1" kern="1200">
                        <a:latin typeface="Cambria Math" panose="02040503050406030204" pitchFamily="18" charset="0"/>
                      </a:rPr>
                      <m:t>8.8906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7.1783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8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+1.8569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B0895E2-76D9-4BB0-B1C7-3EBB1762E7FA}"/>
                </a:ext>
              </a:extLst>
            </xdr:cNvPr>
            <xdr:cNvSpPr txBox="1"/>
          </xdr:nvSpPr>
          <xdr:spPr>
            <a:xfrm>
              <a:off x="22418040" y="124968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283</a:t>
              </a:r>
              <a:r>
                <a:rPr lang="en-MY" sz="1200" b="0" i="0" kern="1200">
                  <a:latin typeface="Cambria Math" panose="02040503050406030204" pitchFamily="18" charset="0"/>
                </a:rPr>
                <a:t>.15𝐾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GB" sz="1200" b="0" i="0" kern="1200">
                  <a:latin typeface="Cambria Math" panose="02040503050406030204" pitchFamily="18" charset="0"/>
                </a:rPr>
                <a:t>33.573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</a:t>
              </a:r>
              <a:r>
                <a:rPr lang="en-GB" sz="1200" b="0" i="0" kern="1200">
                  <a:latin typeface="Cambria Math" panose="02040503050406030204" pitchFamily="18" charset="0"/>
                </a:rPr>
                <a:t>1.2581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</a:t>
              </a:r>
              <a:r>
                <a:rPr lang="en-GB" sz="1200" b="0" i="0" kern="1200">
                  <a:latin typeface="Cambria Math" panose="02040503050406030204" pitchFamily="18" charset="0"/>
                </a:rPr>
                <a:t>8.8906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𝑇^2−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7.1783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𝑇^3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+1.8569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45720</xdr:colOff>
      <xdr:row>155</xdr:row>
      <xdr:rowOff>15240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84EA2E2-EC3E-4795-8F96-D9C7C00D49B0}"/>
                </a:ext>
              </a:extLst>
            </xdr:cNvPr>
            <xdr:cNvSpPr txBox="1"/>
          </xdr:nvSpPr>
          <xdr:spPr>
            <a:xfrm>
              <a:off x="22524720" y="348386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33.573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1.2581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GB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200" b="0" i="1" kern="1200">
                        <a:latin typeface="Cambria Math" panose="02040503050406030204" pitchFamily="18" charset="0"/>
                      </a:rPr>
                      <m:t>8.8906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7.1783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8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+1.8569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84EA2E2-EC3E-4795-8F96-D9C7C00D49B0}"/>
                </a:ext>
              </a:extLst>
            </xdr:cNvPr>
            <xdr:cNvSpPr txBox="1"/>
          </xdr:nvSpPr>
          <xdr:spPr>
            <a:xfrm>
              <a:off x="22524720" y="348386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283</a:t>
              </a:r>
              <a:r>
                <a:rPr lang="en-MY" sz="1200" b="0" i="0" kern="1200">
                  <a:latin typeface="Cambria Math" panose="02040503050406030204" pitchFamily="18" charset="0"/>
                </a:rPr>
                <a:t>.15𝐾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GB" sz="1200" b="0" i="0" kern="1200">
                  <a:latin typeface="Cambria Math" panose="02040503050406030204" pitchFamily="18" charset="0"/>
                </a:rPr>
                <a:t>33.573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</a:t>
              </a:r>
              <a:r>
                <a:rPr lang="en-GB" sz="1200" b="0" i="0" kern="1200">
                  <a:latin typeface="Cambria Math" panose="02040503050406030204" pitchFamily="18" charset="0"/>
                </a:rPr>
                <a:t>1.2581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</a:t>
              </a:r>
              <a:r>
                <a:rPr lang="en-GB" sz="1200" b="0" i="0" kern="1200">
                  <a:latin typeface="Cambria Math" panose="02040503050406030204" pitchFamily="18" charset="0"/>
                </a:rPr>
                <a:t>8.8906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𝑇^2−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7.1783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𝑇^3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+1.8569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565785</xdr:colOff>
      <xdr:row>19</xdr:row>
      <xdr:rowOff>106680</xdr:rowOff>
    </xdr:from>
    <xdr:ext cx="3524250" cy="1838325"/>
    <xdr:sp macro="" textlink="">
      <xdr:nvSpPr>
        <xdr:cNvPr id="10" name="Shape 59">
          <a:extLst>
            <a:ext uri="{FF2B5EF4-FFF2-40B4-BE49-F238E27FC236}">
              <a16:creationId xmlns:a16="http://schemas.microsoft.com/office/drawing/2014/main" id="{2DE541D3-EF0A-4FE0-B311-0DF88267A67B}"/>
            </a:ext>
          </a:extLst>
        </xdr:cNvPr>
        <xdr:cNvSpPr/>
      </xdr:nvSpPr>
      <xdr:spPr>
        <a:xfrm>
          <a:off x="6072313" y="5138755"/>
          <a:ext cx="3524250" cy="183832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300" b="1">
              <a:latin typeface="Times New Roman"/>
              <a:ea typeface="Times New Roman"/>
              <a:cs typeface="Times New Roman"/>
              <a:sym typeface="Times New Roman"/>
            </a:rPr>
            <a:t>Heater 3</a:t>
          </a:r>
          <a:endParaRPr sz="23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15</xdr:col>
      <xdr:colOff>826770</xdr:colOff>
      <xdr:row>19</xdr:row>
      <xdr:rowOff>93345</xdr:rowOff>
    </xdr:from>
    <xdr:ext cx="4314825" cy="1838325"/>
    <xdr:sp macro="" textlink="">
      <xdr:nvSpPr>
        <xdr:cNvPr id="11" name="Shape 60">
          <a:extLst>
            <a:ext uri="{FF2B5EF4-FFF2-40B4-BE49-F238E27FC236}">
              <a16:creationId xmlns:a16="http://schemas.microsoft.com/office/drawing/2014/main" id="{ABC5E5B7-B075-4FE1-A1A2-26352AB0DB6F}"/>
            </a:ext>
          </a:extLst>
        </xdr:cNvPr>
        <xdr:cNvSpPr/>
      </xdr:nvSpPr>
      <xdr:spPr>
        <a:xfrm>
          <a:off x="14474190" y="3857625"/>
          <a:ext cx="4314825" cy="183832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500" b="1">
              <a:latin typeface="Times New Roman"/>
              <a:ea typeface="Times New Roman"/>
              <a:cs typeface="Times New Roman"/>
              <a:sym typeface="Times New Roman"/>
            </a:rPr>
            <a:t>Ammonia Collection Tank</a:t>
          </a:r>
          <a:endParaRPr sz="25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twoCellAnchor>
    <xdr:from>
      <xdr:col>10</xdr:col>
      <xdr:colOff>615315</xdr:colOff>
      <xdr:row>24</xdr:row>
      <xdr:rowOff>21908</xdr:rowOff>
    </xdr:from>
    <xdr:to>
      <xdr:col>15</xdr:col>
      <xdr:colOff>826770</xdr:colOff>
      <xdr:row>24</xdr:row>
      <xdr:rowOff>35243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FEF17F3-12E5-489B-BE35-7F34E877457B}"/>
            </a:ext>
          </a:extLst>
        </xdr:cNvPr>
        <xdr:cNvCxnSpPr>
          <a:stCxn id="10" idx="3"/>
          <a:endCxn id="11" idx="1"/>
        </xdr:cNvCxnSpPr>
      </xdr:nvCxnSpPr>
      <xdr:spPr>
        <a:xfrm flipV="1">
          <a:off x="9614535" y="4776788"/>
          <a:ext cx="4859655" cy="1333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495300</xdr:colOff>
      <xdr:row>24</xdr:row>
      <xdr:rowOff>35243</xdr:rowOff>
    </xdr:from>
    <xdr:to>
      <xdr:col>6</xdr:col>
      <xdr:colOff>565785</xdr:colOff>
      <xdr:row>24</xdr:row>
      <xdr:rowOff>43815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248E4DC1-33A5-406A-A3A9-44A4303761DF}"/>
            </a:ext>
          </a:extLst>
        </xdr:cNvPr>
        <xdr:cNvCxnSpPr>
          <a:endCxn id="10" idx="1"/>
        </xdr:cNvCxnSpPr>
      </xdr:nvCxnSpPr>
      <xdr:spPr>
        <a:xfrm flipV="1">
          <a:off x="495300" y="6073734"/>
          <a:ext cx="5577013" cy="857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2004061</xdr:colOff>
      <xdr:row>41</xdr:row>
      <xdr:rowOff>76200</xdr:rowOff>
    </xdr:from>
    <xdr:to>
      <xdr:col>27</xdr:col>
      <xdr:colOff>60961</xdr:colOff>
      <xdr:row>41</xdr:row>
      <xdr:rowOff>152400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5FE3337-2A26-40CC-887C-F5EE6CF67D58}"/>
            </a:ext>
          </a:extLst>
        </xdr:cNvPr>
        <xdr:cNvGrpSpPr/>
      </xdr:nvGrpSpPr>
      <xdr:grpSpPr>
        <a:xfrm>
          <a:off x="26354443" y="8346141"/>
          <a:ext cx="3211606" cy="76200"/>
          <a:chOff x="19791381" y="19457893"/>
          <a:chExt cx="2970025" cy="71719"/>
        </a:xfrm>
      </xdr:grpSpPr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553CB639-BB1A-AAE1-93F8-7F74F6A6A29A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6344DA45-BA98-CD2A-2403-5F90728A795E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62D6623-8505-0DDB-1E8A-7031E595BFC3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24</xdr:col>
      <xdr:colOff>1927860</xdr:colOff>
      <xdr:row>49</xdr:row>
      <xdr:rowOff>121920</xdr:rowOff>
    </xdr:from>
    <xdr:to>
      <xdr:col>28</xdr:col>
      <xdr:colOff>213360</xdr:colOff>
      <xdr:row>51</xdr:row>
      <xdr:rowOff>182880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EA96D22B-CF09-4CFF-BEB2-A9243476F3B0}"/>
            </a:ext>
          </a:extLst>
        </xdr:cNvPr>
        <xdr:cNvGrpSpPr/>
      </xdr:nvGrpSpPr>
      <xdr:grpSpPr>
        <a:xfrm>
          <a:off x="26278242" y="10577008"/>
          <a:ext cx="4953000" cy="464372"/>
          <a:chOff x="16230227" y="28357759"/>
          <a:chExt cx="6391543" cy="672305"/>
        </a:xfrm>
      </xdr:grpSpPr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6A560782-39CC-F104-F29E-C5B0EF617D85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29D77D1F-AE46-A678-2981-FC40F253B0A2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3B87A78B-6E86-EA43-C0E6-AD5938DE69CF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64A1470D-2E38-7890-4821-7E7E38CC4E17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8F9E88-0697-1DCA-52FF-E44F987210E1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24" name="Straight Arrow Connector 23">
            <a:extLst>
              <a:ext uri="{FF2B5EF4-FFF2-40B4-BE49-F238E27FC236}">
                <a16:creationId xmlns:a16="http://schemas.microsoft.com/office/drawing/2014/main" id="{72BB8D7F-DD91-68E8-84E9-D06CB9D219BD}"/>
              </a:ext>
            </a:extLst>
          </xdr:cNvPr>
          <xdr:cNvCxnSpPr>
            <a:stCxn id="20" idx="5"/>
            <a:endCxn id="22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Arrow Connector 24">
            <a:extLst>
              <a:ext uri="{FF2B5EF4-FFF2-40B4-BE49-F238E27FC236}">
                <a16:creationId xmlns:a16="http://schemas.microsoft.com/office/drawing/2014/main" id="{91DE8762-2839-2BB0-BFBA-5B5AF38C25F4}"/>
              </a:ext>
            </a:extLst>
          </xdr:cNvPr>
          <xdr:cNvCxnSpPr>
            <a:stCxn id="22" idx="6"/>
            <a:endCxn id="23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Arrow Connector 25">
            <a:extLst>
              <a:ext uri="{FF2B5EF4-FFF2-40B4-BE49-F238E27FC236}">
                <a16:creationId xmlns:a16="http://schemas.microsoft.com/office/drawing/2014/main" id="{58E90756-E8BF-771E-8826-A9B957D7CA98}"/>
              </a:ext>
            </a:extLst>
          </xdr:cNvPr>
          <xdr:cNvCxnSpPr>
            <a:stCxn id="23" idx="6"/>
            <a:endCxn id="21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26</xdr:col>
      <xdr:colOff>0</xdr:colOff>
      <xdr:row>44</xdr:row>
      <xdr:rowOff>76200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971A9D2-2FD9-4FF5-83D0-4E4DB5A1500C}"/>
                </a:ext>
              </a:extLst>
            </xdr:cNvPr>
            <xdr:cNvSpPr txBox="1"/>
          </xdr:nvSpPr>
          <xdr:spPr>
            <a:xfrm>
              <a:off x="28018740" y="87934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33.573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1.2581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GB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200" b="0" i="1" kern="1200">
                        <a:latin typeface="Cambria Math" panose="02040503050406030204" pitchFamily="18" charset="0"/>
                      </a:rPr>
                      <m:t>8.8906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7.1783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8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+1.8569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971A9D2-2FD9-4FF5-83D0-4E4DB5A1500C}"/>
                </a:ext>
              </a:extLst>
            </xdr:cNvPr>
            <xdr:cNvSpPr txBox="1"/>
          </xdr:nvSpPr>
          <xdr:spPr>
            <a:xfrm>
              <a:off x="28018740" y="87934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283</a:t>
              </a:r>
              <a:r>
                <a:rPr lang="en-MY" sz="1200" b="0" i="0" kern="1200">
                  <a:latin typeface="Cambria Math" panose="02040503050406030204" pitchFamily="18" charset="0"/>
                </a:rPr>
                <a:t>.15𝐾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GB" sz="1200" b="0" i="0" kern="1200">
                  <a:latin typeface="Cambria Math" panose="02040503050406030204" pitchFamily="18" charset="0"/>
                </a:rPr>
                <a:t>33.573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</a:t>
              </a:r>
              <a:r>
                <a:rPr lang="en-GB" sz="1200" b="0" i="0" kern="1200">
                  <a:latin typeface="Cambria Math" panose="02040503050406030204" pitchFamily="18" charset="0"/>
                </a:rPr>
                <a:t>1.2581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</a:t>
              </a:r>
              <a:r>
                <a:rPr lang="en-GB" sz="1200" b="0" i="0" kern="1200">
                  <a:latin typeface="Cambria Math" panose="02040503050406030204" pitchFamily="18" charset="0"/>
                </a:rPr>
                <a:t>8.8906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𝑇^2−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7.1783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𝑇^3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+1.8569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26</xdr:col>
      <xdr:colOff>22860</xdr:colOff>
      <xdr:row>55</xdr:row>
      <xdr:rowOff>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CE04929-5681-4277-BFCA-59ADAD6F0A3E}"/>
                </a:ext>
              </a:extLst>
            </xdr:cNvPr>
            <xdr:cNvSpPr txBox="1"/>
          </xdr:nvSpPr>
          <xdr:spPr>
            <a:xfrm>
              <a:off x="28041600" y="114757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239.72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33.573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1.2581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GB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200" b="0" i="1" kern="1200">
                        <a:latin typeface="Cambria Math" panose="02040503050406030204" pitchFamily="18" charset="0"/>
                      </a:rPr>
                      <m:t>8.8906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7.1783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8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+1.8569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CE04929-5681-4277-BFCA-59ADAD6F0A3E}"/>
                </a:ext>
              </a:extLst>
            </xdr:cNvPr>
            <xdr:cNvSpPr txBox="1"/>
          </xdr:nvSpPr>
          <xdr:spPr>
            <a:xfrm>
              <a:off x="28041600" y="114757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239.72</a:t>
              </a:r>
              <a:r>
                <a:rPr lang="en-MY" sz="1200" b="0" i="0" kern="1200">
                  <a:latin typeface="Cambria Math" panose="02040503050406030204" pitchFamily="18" charset="0"/>
                </a:rPr>
                <a:t>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GB" sz="1200" b="0" i="0" kern="1200">
                  <a:latin typeface="Cambria Math" panose="02040503050406030204" pitchFamily="18" charset="0"/>
                </a:rPr>
                <a:t>33.573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</a:t>
              </a:r>
              <a:r>
                <a:rPr lang="en-GB" sz="1200" b="0" i="0" kern="1200">
                  <a:latin typeface="Cambria Math" panose="02040503050406030204" pitchFamily="18" charset="0"/>
                </a:rPr>
                <a:t>1.2581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</a:t>
              </a:r>
              <a:r>
                <a:rPr lang="en-GB" sz="1200" b="0" i="0" kern="1200">
                  <a:latin typeface="Cambria Math" panose="02040503050406030204" pitchFamily="18" charset="0"/>
                </a:rPr>
                <a:t>8.8906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𝑇^2−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7.1783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𝑇^3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+1.8569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26</xdr:col>
      <xdr:colOff>7620</xdr:colOff>
      <xdr:row>63</xdr:row>
      <xdr:rowOff>30480</xdr:rowOff>
    </xdr:from>
    <xdr:ext cx="6446520" cy="558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B2886FA-4E7D-4510-B7CE-3A2091432D68}"/>
                </a:ext>
              </a:extLst>
            </xdr:cNvPr>
            <xdr:cNvSpPr txBox="1"/>
          </xdr:nvSpPr>
          <xdr:spPr>
            <a:xfrm>
              <a:off x="28026360" y="13502640"/>
              <a:ext cx="6446520" cy="558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/>
                          </m:rPr>
                          <a:rPr lang="en-GB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39.72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323.15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−1.8215</m:t>
                        </m:r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×</m:t>
                            </m:r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+3.36180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GB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−1.43980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+2.03710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B2886FA-4E7D-4510-B7CE-3A2091432D68}"/>
                </a:ext>
              </a:extLst>
            </xdr:cNvPr>
            <xdr:cNvSpPr txBox="1"/>
          </xdr:nvSpPr>
          <xdr:spPr>
            <a:xfrm>
              <a:off x="28026360" y="13502640"/>
              <a:ext cx="6446520" cy="558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</a:t>
              </a:r>
              <a:r>
                <a:rPr lang="en-GB" sz="1200" b="0" i="0" kern="1200">
                  <a:latin typeface="Cambria Math" panose="02040503050406030204" pitchFamily="18" charset="0"/>
                </a:rPr>
                <a:t>239.72</a:t>
              </a:r>
              <a:r>
                <a:rPr lang="en-MY" sz="1200" b="0" i="0" kern="1200">
                  <a:latin typeface="Cambria Math" panose="02040503050406030204" pitchFamily="18" charset="0"/>
                </a:rPr>
                <a:t>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323.15</a:t>
              </a:r>
              <a:r>
                <a:rPr lang="en-MY" sz="1200" b="0" i="0" kern="1200">
                  <a:latin typeface="Cambria Math" panose="02040503050406030204" pitchFamily="18" charset="0"/>
                </a:rPr>
                <a:t>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GB" sz="1200" b="0" i="0" kern="1200">
                  <a:latin typeface="Cambria Math" panose="02040503050406030204" pitchFamily="18" charset="0"/>
                </a:rPr>
                <a:t>−1.8215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10〗^(−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+3.36180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 𝑇〗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−1.43980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𝑇^2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+2.03710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𝑇^3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1996440</xdr:colOff>
      <xdr:row>67</xdr:row>
      <xdr:rowOff>76200</xdr:rowOff>
    </xdr:from>
    <xdr:to>
      <xdr:col>23</xdr:col>
      <xdr:colOff>114300</xdr:colOff>
      <xdr:row>69</xdr:row>
      <xdr:rowOff>144780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C726AA61-62B7-46DB-A2C5-3C0A83CD4D44}"/>
            </a:ext>
          </a:extLst>
        </xdr:cNvPr>
        <xdr:cNvGrpSpPr/>
      </xdr:nvGrpSpPr>
      <xdr:grpSpPr>
        <a:xfrm>
          <a:off x="20900525" y="13111264"/>
          <a:ext cx="6370158" cy="457686"/>
          <a:chOff x="16230227" y="28357759"/>
          <a:chExt cx="6391543" cy="672305"/>
        </a:xfrm>
      </xdr:grpSpPr>
      <xdr:cxnSp macro="">
        <xdr:nvCxnSpPr>
          <xdr:cNvPr id="37" name="Straight Arrow Connector 36">
            <a:extLst>
              <a:ext uri="{FF2B5EF4-FFF2-40B4-BE49-F238E27FC236}">
                <a16:creationId xmlns:a16="http://schemas.microsoft.com/office/drawing/2014/main" id="{D61F06B6-4C46-703B-F4C9-3B005DBBD88F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935AC230-86F7-7A57-A85B-A1F40B88848A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ADB0713A-02B6-95CE-862A-89CBA5DF3DFB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31818FD1-EE87-90C6-D7E0-1CB4A6FCDE8F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CE27EEA5-8789-DCB8-3790-698652F9D545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42" name="Straight Arrow Connector 41">
            <a:extLst>
              <a:ext uri="{FF2B5EF4-FFF2-40B4-BE49-F238E27FC236}">
                <a16:creationId xmlns:a16="http://schemas.microsoft.com/office/drawing/2014/main" id="{62E0D4CB-3D61-1EE2-EAAC-6E87C6D7D583}"/>
              </a:ext>
            </a:extLst>
          </xdr:cNvPr>
          <xdr:cNvCxnSpPr>
            <a:stCxn id="38" idx="5"/>
            <a:endCxn id="40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Straight Arrow Connector 42">
            <a:extLst>
              <a:ext uri="{FF2B5EF4-FFF2-40B4-BE49-F238E27FC236}">
                <a16:creationId xmlns:a16="http://schemas.microsoft.com/office/drawing/2014/main" id="{5A2945DF-F696-AA64-AB7F-C4AF8D492540}"/>
              </a:ext>
            </a:extLst>
          </xdr:cNvPr>
          <xdr:cNvCxnSpPr>
            <a:stCxn id="40" idx="6"/>
            <a:endCxn id="41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Straight Arrow Connector 43">
            <a:extLst>
              <a:ext uri="{FF2B5EF4-FFF2-40B4-BE49-F238E27FC236}">
                <a16:creationId xmlns:a16="http://schemas.microsoft.com/office/drawing/2014/main" id="{D329E6B4-A5FA-C8CD-23E2-E1FAE0747788}"/>
              </a:ext>
            </a:extLst>
          </xdr:cNvPr>
          <xdr:cNvCxnSpPr>
            <a:stCxn id="41" idx="6"/>
            <a:endCxn id="39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2156460</xdr:colOff>
      <xdr:row>88</xdr:row>
      <xdr:rowOff>76200</xdr:rowOff>
    </xdr:from>
    <xdr:to>
      <xdr:col>23</xdr:col>
      <xdr:colOff>121920</xdr:colOff>
      <xdr:row>90</xdr:row>
      <xdr:rowOff>144780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F1EECFA5-EF7A-45DC-85AC-00A0CB216FD4}"/>
            </a:ext>
          </a:extLst>
        </xdr:cNvPr>
        <xdr:cNvGrpSpPr/>
      </xdr:nvGrpSpPr>
      <xdr:grpSpPr>
        <a:xfrm>
          <a:off x="21060545" y="18121009"/>
          <a:ext cx="6217758" cy="457686"/>
          <a:chOff x="16230227" y="28357759"/>
          <a:chExt cx="6391543" cy="672305"/>
        </a:xfrm>
      </xdr:grpSpPr>
      <xdr:cxnSp macro="">
        <xdr:nvCxnSpPr>
          <xdr:cNvPr id="46" name="Straight Arrow Connector 45">
            <a:extLst>
              <a:ext uri="{FF2B5EF4-FFF2-40B4-BE49-F238E27FC236}">
                <a16:creationId xmlns:a16="http://schemas.microsoft.com/office/drawing/2014/main" id="{46C84D6B-8B4E-E892-A81F-6DDE9F2725FD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Oval 46">
            <a:extLst>
              <a:ext uri="{FF2B5EF4-FFF2-40B4-BE49-F238E27FC236}">
                <a16:creationId xmlns:a16="http://schemas.microsoft.com/office/drawing/2014/main" id="{FB079765-DD12-FA03-12B2-CC6280C37F59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8" name="Oval 47">
            <a:extLst>
              <a:ext uri="{FF2B5EF4-FFF2-40B4-BE49-F238E27FC236}">
                <a16:creationId xmlns:a16="http://schemas.microsoft.com/office/drawing/2014/main" id="{DB9285A6-153F-7AA5-F41C-B5337970107B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9" name="Oval 48">
            <a:extLst>
              <a:ext uri="{FF2B5EF4-FFF2-40B4-BE49-F238E27FC236}">
                <a16:creationId xmlns:a16="http://schemas.microsoft.com/office/drawing/2014/main" id="{D9C50C11-3346-2791-CD20-8B4EB31C2C10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0" name="Oval 49">
            <a:extLst>
              <a:ext uri="{FF2B5EF4-FFF2-40B4-BE49-F238E27FC236}">
                <a16:creationId xmlns:a16="http://schemas.microsoft.com/office/drawing/2014/main" id="{04C5B2F0-C63C-FFC3-1086-4830507523EE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51" name="Straight Arrow Connector 50">
            <a:extLst>
              <a:ext uri="{FF2B5EF4-FFF2-40B4-BE49-F238E27FC236}">
                <a16:creationId xmlns:a16="http://schemas.microsoft.com/office/drawing/2014/main" id="{1F711A13-69B1-ECAF-34EC-91155CF4855E}"/>
              </a:ext>
            </a:extLst>
          </xdr:cNvPr>
          <xdr:cNvCxnSpPr>
            <a:stCxn id="47" idx="5"/>
            <a:endCxn id="49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Straight Arrow Connector 51">
            <a:extLst>
              <a:ext uri="{FF2B5EF4-FFF2-40B4-BE49-F238E27FC236}">
                <a16:creationId xmlns:a16="http://schemas.microsoft.com/office/drawing/2014/main" id="{2B058F97-1B99-7A59-4B6E-3A4C216E645E}"/>
              </a:ext>
            </a:extLst>
          </xdr:cNvPr>
          <xdr:cNvCxnSpPr>
            <a:stCxn id="49" idx="6"/>
            <a:endCxn id="50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Straight Arrow Connector 52">
            <a:extLst>
              <a:ext uri="{FF2B5EF4-FFF2-40B4-BE49-F238E27FC236}">
                <a16:creationId xmlns:a16="http://schemas.microsoft.com/office/drawing/2014/main" id="{8718D6DB-4290-0E70-EF5F-293B33CD673D}"/>
              </a:ext>
            </a:extLst>
          </xdr:cNvPr>
          <xdr:cNvCxnSpPr>
            <a:stCxn id="50" idx="6"/>
            <a:endCxn id="48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2148840</xdr:colOff>
      <xdr:row>109</xdr:row>
      <xdr:rowOff>83820</xdr:rowOff>
    </xdr:from>
    <xdr:to>
      <xdr:col>23</xdr:col>
      <xdr:colOff>114300</xdr:colOff>
      <xdr:row>111</xdr:row>
      <xdr:rowOff>152400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2F9478F6-516B-4A8D-8995-2101388CF30A}"/>
            </a:ext>
          </a:extLst>
        </xdr:cNvPr>
        <xdr:cNvGrpSpPr/>
      </xdr:nvGrpSpPr>
      <xdr:grpSpPr>
        <a:xfrm>
          <a:off x="21052925" y="23203224"/>
          <a:ext cx="6217758" cy="457687"/>
          <a:chOff x="16230227" y="28357759"/>
          <a:chExt cx="6391543" cy="672305"/>
        </a:xfrm>
      </xdr:grpSpPr>
      <xdr:cxnSp macro="">
        <xdr:nvCxnSpPr>
          <xdr:cNvPr id="55" name="Straight Arrow Connector 54">
            <a:extLst>
              <a:ext uri="{FF2B5EF4-FFF2-40B4-BE49-F238E27FC236}">
                <a16:creationId xmlns:a16="http://schemas.microsoft.com/office/drawing/2014/main" id="{44C5846C-7D1B-BA5F-AFA1-B0D9F294E1D9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" name="Oval 55">
            <a:extLst>
              <a:ext uri="{FF2B5EF4-FFF2-40B4-BE49-F238E27FC236}">
                <a16:creationId xmlns:a16="http://schemas.microsoft.com/office/drawing/2014/main" id="{5613F38B-77AC-A316-D6F7-CB7C40E395D6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7" name="Oval 56">
            <a:extLst>
              <a:ext uri="{FF2B5EF4-FFF2-40B4-BE49-F238E27FC236}">
                <a16:creationId xmlns:a16="http://schemas.microsoft.com/office/drawing/2014/main" id="{6A38F8D9-D4DC-5FAF-E166-8C62DB7AB55D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8" name="Oval 57">
            <a:extLst>
              <a:ext uri="{FF2B5EF4-FFF2-40B4-BE49-F238E27FC236}">
                <a16:creationId xmlns:a16="http://schemas.microsoft.com/office/drawing/2014/main" id="{C8BDBB32-3A52-7D9B-D182-E965ACF161F9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9" name="Oval 58">
            <a:extLst>
              <a:ext uri="{FF2B5EF4-FFF2-40B4-BE49-F238E27FC236}">
                <a16:creationId xmlns:a16="http://schemas.microsoft.com/office/drawing/2014/main" id="{38559617-223B-AB17-5A7A-FDFFEEE008BD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60" name="Straight Arrow Connector 59">
            <a:extLst>
              <a:ext uri="{FF2B5EF4-FFF2-40B4-BE49-F238E27FC236}">
                <a16:creationId xmlns:a16="http://schemas.microsoft.com/office/drawing/2014/main" id="{7F70DE86-E444-CA2D-49FD-B4E3ABF6D6F7}"/>
              </a:ext>
            </a:extLst>
          </xdr:cNvPr>
          <xdr:cNvCxnSpPr>
            <a:stCxn id="56" idx="5"/>
            <a:endCxn id="58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Straight Arrow Connector 61">
            <a:extLst>
              <a:ext uri="{FF2B5EF4-FFF2-40B4-BE49-F238E27FC236}">
                <a16:creationId xmlns:a16="http://schemas.microsoft.com/office/drawing/2014/main" id="{320D70EB-9322-F2BF-7E37-137C08F3E14B}"/>
              </a:ext>
            </a:extLst>
          </xdr:cNvPr>
          <xdr:cNvCxnSpPr>
            <a:stCxn id="58" idx="6"/>
            <a:endCxn id="59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Straight Arrow Connector 62">
            <a:extLst>
              <a:ext uri="{FF2B5EF4-FFF2-40B4-BE49-F238E27FC236}">
                <a16:creationId xmlns:a16="http://schemas.microsoft.com/office/drawing/2014/main" id="{0892FDC1-D5EB-8475-2A2C-4DBA154A78E1}"/>
              </a:ext>
            </a:extLst>
          </xdr:cNvPr>
          <xdr:cNvCxnSpPr>
            <a:stCxn id="59" idx="6"/>
            <a:endCxn id="57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2125980</xdr:colOff>
      <xdr:row>130</xdr:row>
      <xdr:rowOff>91440</xdr:rowOff>
    </xdr:from>
    <xdr:to>
      <xdr:col>23</xdr:col>
      <xdr:colOff>91440</xdr:colOff>
      <xdr:row>132</xdr:row>
      <xdr:rowOff>160020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DF8CADF-7E2D-B34C-9C9A-12F3A71C36F4}"/>
            </a:ext>
          </a:extLst>
        </xdr:cNvPr>
        <xdr:cNvGrpSpPr/>
      </xdr:nvGrpSpPr>
      <xdr:grpSpPr>
        <a:xfrm>
          <a:off x="21030065" y="28155738"/>
          <a:ext cx="6217758" cy="457686"/>
          <a:chOff x="16230227" y="28357759"/>
          <a:chExt cx="6391543" cy="672305"/>
        </a:xfrm>
      </xdr:grpSpPr>
      <xdr:cxnSp macro="">
        <xdr:nvCxnSpPr>
          <xdr:cNvPr id="65" name="Straight Arrow Connector 64">
            <a:extLst>
              <a:ext uri="{FF2B5EF4-FFF2-40B4-BE49-F238E27FC236}">
                <a16:creationId xmlns:a16="http://schemas.microsoft.com/office/drawing/2014/main" id="{856262C2-931A-1A60-F918-D03509F07F51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6" name="Oval 65">
            <a:extLst>
              <a:ext uri="{FF2B5EF4-FFF2-40B4-BE49-F238E27FC236}">
                <a16:creationId xmlns:a16="http://schemas.microsoft.com/office/drawing/2014/main" id="{0094C96D-AC7D-2CB3-A877-E5974FE532F0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7" name="Oval 66">
            <a:extLst>
              <a:ext uri="{FF2B5EF4-FFF2-40B4-BE49-F238E27FC236}">
                <a16:creationId xmlns:a16="http://schemas.microsoft.com/office/drawing/2014/main" id="{0B11E8AB-4099-EF4D-5BDF-97D86518BED3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8" name="Oval 67">
            <a:extLst>
              <a:ext uri="{FF2B5EF4-FFF2-40B4-BE49-F238E27FC236}">
                <a16:creationId xmlns:a16="http://schemas.microsoft.com/office/drawing/2014/main" id="{4BB69436-7CDE-95D5-4671-E32DDED66556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9" name="Oval 68">
            <a:extLst>
              <a:ext uri="{FF2B5EF4-FFF2-40B4-BE49-F238E27FC236}">
                <a16:creationId xmlns:a16="http://schemas.microsoft.com/office/drawing/2014/main" id="{38873A0E-CC11-6935-FB77-D31CE5D6B527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70" name="Straight Arrow Connector 69">
            <a:extLst>
              <a:ext uri="{FF2B5EF4-FFF2-40B4-BE49-F238E27FC236}">
                <a16:creationId xmlns:a16="http://schemas.microsoft.com/office/drawing/2014/main" id="{A343BCA1-66BC-F17C-36A1-1FB69010DE6B}"/>
              </a:ext>
            </a:extLst>
          </xdr:cNvPr>
          <xdr:cNvCxnSpPr>
            <a:stCxn id="66" idx="5"/>
            <a:endCxn id="68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Straight Arrow Connector 70">
            <a:extLst>
              <a:ext uri="{FF2B5EF4-FFF2-40B4-BE49-F238E27FC236}">
                <a16:creationId xmlns:a16="http://schemas.microsoft.com/office/drawing/2014/main" id="{7C569D17-CBB3-EA6D-42C4-D78AAA064CCF}"/>
              </a:ext>
            </a:extLst>
          </xdr:cNvPr>
          <xdr:cNvCxnSpPr>
            <a:stCxn id="68" idx="6"/>
            <a:endCxn id="69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Straight Arrow Connector 71">
            <a:extLst>
              <a:ext uri="{FF2B5EF4-FFF2-40B4-BE49-F238E27FC236}">
                <a16:creationId xmlns:a16="http://schemas.microsoft.com/office/drawing/2014/main" id="{518CB4AF-6FD7-05F5-BEEE-6B0A5CAB998D}"/>
              </a:ext>
            </a:extLst>
          </xdr:cNvPr>
          <xdr:cNvCxnSpPr>
            <a:stCxn id="69" idx="6"/>
            <a:endCxn id="67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2080261</xdr:colOff>
      <xdr:row>151</xdr:row>
      <xdr:rowOff>83821</xdr:rowOff>
    </xdr:from>
    <xdr:to>
      <xdr:col>21</xdr:col>
      <xdr:colOff>236221</xdr:colOff>
      <xdr:row>151</xdr:row>
      <xdr:rowOff>129540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FE05F39F-05CB-4FDC-9CC9-99BFAFEE6456}"/>
            </a:ext>
          </a:extLst>
        </xdr:cNvPr>
        <xdr:cNvGrpSpPr/>
      </xdr:nvGrpSpPr>
      <xdr:grpSpPr>
        <a:xfrm flipV="1">
          <a:off x="20984346" y="33076800"/>
          <a:ext cx="2371279" cy="45719"/>
          <a:chOff x="19791381" y="19457893"/>
          <a:chExt cx="2970025" cy="71719"/>
        </a:xfrm>
      </xdr:grpSpPr>
      <xdr:cxnSp macro="">
        <xdr:nvCxnSpPr>
          <xdr:cNvPr id="86" name="Straight Arrow Connector 85">
            <a:extLst>
              <a:ext uri="{FF2B5EF4-FFF2-40B4-BE49-F238E27FC236}">
                <a16:creationId xmlns:a16="http://schemas.microsoft.com/office/drawing/2014/main" id="{AE85EFA2-1983-7762-733D-FB3818C10B6C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7" name="Oval 86">
            <a:extLst>
              <a:ext uri="{FF2B5EF4-FFF2-40B4-BE49-F238E27FC236}">
                <a16:creationId xmlns:a16="http://schemas.microsoft.com/office/drawing/2014/main" id="{7E48A4B3-CE4A-023C-C727-A9DB2099497A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8" name="Oval 87">
            <a:extLst>
              <a:ext uri="{FF2B5EF4-FFF2-40B4-BE49-F238E27FC236}">
                <a16:creationId xmlns:a16="http://schemas.microsoft.com/office/drawing/2014/main" id="{0F031170-F830-DC7A-EFF0-3471A3AB7188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19</xdr:col>
      <xdr:colOff>2103121</xdr:colOff>
      <xdr:row>158</xdr:row>
      <xdr:rowOff>91440</xdr:rowOff>
    </xdr:from>
    <xdr:to>
      <xdr:col>21</xdr:col>
      <xdr:colOff>175260</xdr:colOff>
      <xdr:row>158</xdr:row>
      <xdr:rowOff>137159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219F73D2-6C70-9646-96D2-476112C1EE06}"/>
            </a:ext>
          </a:extLst>
        </xdr:cNvPr>
        <xdr:cNvGrpSpPr/>
      </xdr:nvGrpSpPr>
      <xdr:grpSpPr>
        <a:xfrm flipV="1">
          <a:off x="21007206" y="34916461"/>
          <a:ext cx="2287458" cy="45719"/>
          <a:chOff x="19791381" y="19457893"/>
          <a:chExt cx="2970025" cy="71719"/>
        </a:xfrm>
      </xdr:grpSpPr>
      <xdr:cxnSp macro="">
        <xdr:nvCxnSpPr>
          <xdr:cNvPr id="90" name="Straight Arrow Connector 89">
            <a:extLst>
              <a:ext uri="{FF2B5EF4-FFF2-40B4-BE49-F238E27FC236}">
                <a16:creationId xmlns:a16="http://schemas.microsoft.com/office/drawing/2014/main" id="{98C0E4AD-5B6B-0F34-0613-3E04C5D00353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1" name="Oval 90">
            <a:extLst>
              <a:ext uri="{FF2B5EF4-FFF2-40B4-BE49-F238E27FC236}">
                <a16:creationId xmlns:a16="http://schemas.microsoft.com/office/drawing/2014/main" id="{0F7C673E-7E71-CF53-486C-C1734EC9AB63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92" name="Oval 91">
            <a:extLst>
              <a:ext uri="{FF2B5EF4-FFF2-40B4-BE49-F238E27FC236}">
                <a16:creationId xmlns:a16="http://schemas.microsoft.com/office/drawing/2014/main" id="{4545E4E6-170C-3589-EC3E-962AB812683B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19</xdr:col>
      <xdr:colOff>2141221</xdr:colOff>
      <xdr:row>165</xdr:row>
      <xdr:rowOff>99060</xdr:rowOff>
    </xdr:from>
    <xdr:to>
      <xdr:col>21</xdr:col>
      <xdr:colOff>167640</xdr:colOff>
      <xdr:row>165</xdr:row>
      <xdr:rowOff>144779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2753D0C5-D9D8-4F87-93AF-796120A0DA57}"/>
            </a:ext>
          </a:extLst>
        </xdr:cNvPr>
        <xdr:cNvGrpSpPr/>
      </xdr:nvGrpSpPr>
      <xdr:grpSpPr>
        <a:xfrm>
          <a:off x="21045306" y="36756124"/>
          <a:ext cx="2241738" cy="45719"/>
          <a:chOff x="19791381" y="19457893"/>
          <a:chExt cx="2970025" cy="71719"/>
        </a:xfrm>
      </xdr:grpSpPr>
      <xdr:cxnSp macro="">
        <xdr:nvCxnSpPr>
          <xdr:cNvPr id="94" name="Straight Arrow Connector 93">
            <a:extLst>
              <a:ext uri="{FF2B5EF4-FFF2-40B4-BE49-F238E27FC236}">
                <a16:creationId xmlns:a16="http://schemas.microsoft.com/office/drawing/2014/main" id="{45BFEB75-ADB7-0F56-0E11-8840D0D8E2A6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5" name="Oval 94">
            <a:extLst>
              <a:ext uri="{FF2B5EF4-FFF2-40B4-BE49-F238E27FC236}">
                <a16:creationId xmlns:a16="http://schemas.microsoft.com/office/drawing/2014/main" id="{3E3A93C8-D689-C863-1FA5-C3A90609B936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96" name="Oval 95">
            <a:extLst>
              <a:ext uri="{FF2B5EF4-FFF2-40B4-BE49-F238E27FC236}">
                <a16:creationId xmlns:a16="http://schemas.microsoft.com/office/drawing/2014/main" id="{E953358A-BA28-6749-6D5A-D67B7605CD1C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19</xdr:col>
      <xdr:colOff>2148840</xdr:colOff>
      <xdr:row>172</xdr:row>
      <xdr:rowOff>106680</xdr:rowOff>
    </xdr:from>
    <xdr:to>
      <xdr:col>23</xdr:col>
      <xdr:colOff>114300</xdr:colOff>
      <xdr:row>174</xdr:row>
      <xdr:rowOff>175260</xdr:rowOff>
    </xdr:to>
    <xdr:grpSp>
      <xdr:nvGrpSpPr>
        <xdr:cNvPr id="106" name="Group 105">
          <a:extLst>
            <a:ext uri="{FF2B5EF4-FFF2-40B4-BE49-F238E27FC236}">
              <a16:creationId xmlns:a16="http://schemas.microsoft.com/office/drawing/2014/main" id="{9D14F7A1-DF51-4148-AC75-09A115DFE18D}"/>
            </a:ext>
          </a:extLst>
        </xdr:cNvPr>
        <xdr:cNvGrpSpPr/>
      </xdr:nvGrpSpPr>
      <xdr:grpSpPr>
        <a:xfrm>
          <a:off x="21052925" y="38563361"/>
          <a:ext cx="6217758" cy="457686"/>
          <a:chOff x="16230227" y="28357759"/>
          <a:chExt cx="6391543" cy="672305"/>
        </a:xfrm>
      </xdr:grpSpPr>
      <xdr:cxnSp macro="">
        <xdr:nvCxnSpPr>
          <xdr:cNvPr id="107" name="Straight Arrow Connector 106">
            <a:extLst>
              <a:ext uri="{FF2B5EF4-FFF2-40B4-BE49-F238E27FC236}">
                <a16:creationId xmlns:a16="http://schemas.microsoft.com/office/drawing/2014/main" id="{0B0FEC19-B9D3-1AF8-952A-0471730E9490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" name="Oval 107">
            <a:extLst>
              <a:ext uri="{FF2B5EF4-FFF2-40B4-BE49-F238E27FC236}">
                <a16:creationId xmlns:a16="http://schemas.microsoft.com/office/drawing/2014/main" id="{CFDF81FA-8E02-C1C0-0FE5-CBA6DEF434D2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09" name="Oval 108">
            <a:extLst>
              <a:ext uri="{FF2B5EF4-FFF2-40B4-BE49-F238E27FC236}">
                <a16:creationId xmlns:a16="http://schemas.microsoft.com/office/drawing/2014/main" id="{7E1DB046-15F6-D4AD-DBD7-61BBF56C5BCB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0" name="Oval 109">
            <a:extLst>
              <a:ext uri="{FF2B5EF4-FFF2-40B4-BE49-F238E27FC236}">
                <a16:creationId xmlns:a16="http://schemas.microsoft.com/office/drawing/2014/main" id="{DE3E15B6-2D78-6412-2138-F03E92628650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1" name="Oval 110">
            <a:extLst>
              <a:ext uri="{FF2B5EF4-FFF2-40B4-BE49-F238E27FC236}">
                <a16:creationId xmlns:a16="http://schemas.microsoft.com/office/drawing/2014/main" id="{9A6F8B25-4211-BDE3-6009-EDF1A84011D0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112" name="Straight Arrow Connector 111">
            <a:extLst>
              <a:ext uri="{FF2B5EF4-FFF2-40B4-BE49-F238E27FC236}">
                <a16:creationId xmlns:a16="http://schemas.microsoft.com/office/drawing/2014/main" id="{EB8D5F11-C5F0-D49C-2548-39C1CE7A8D19}"/>
              </a:ext>
            </a:extLst>
          </xdr:cNvPr>
          <xdr:cNvCxnSpPr>
            <a:stCxn id="108" idx="5"/>
            <a:endCxn id="110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3" name="Straight Arrow Connector 112">
            <a:extLst>
              <a:ext uri="{FF2B5EF4-FFF2-40B4-BE49-F238E27FC236}">
                <a16:creationId xmlns:a16="http://schemas.microsoft.com/office/drawing/2014/main" id="{C0EAE300-C29D-14A7-5398-CB463B3320D1}"/>
              </a:ext>
            </a:extLst>
          </xdr:cNvPr>
          <xdr:cNvCxnSpPr>
            <a:stCxn id="110" idx="6"/>
            <a:endCxn id="111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Straight Arrow Connector 113">
            <a:extLst>
              <a:ext uri="{FF2B5EF4-FFF2-40B4-BE49-F238E27FC236}">
                <a16:creationId xmlns:a16="http://schemas.microsoft.com/office/drawing/2014/main" id="{9717D67E-E501-E22B-6DFE-5611B827463F}"/>
              </a:ext>
            </a:extLst>
          </xdr:cNvPr>
          <xdr:cNvCxnSpPr>
            <a:stCxn id="111" idx="6"/>
            <a:endCxn id="109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2118360</xdr:colOff>
      <xdr:row>214</xdr:row>
      <xdr:rowOff>68580</xdr:rowOff>
    </xdr:from>
    <xdr:to>
      <xdr:col>23</xdr:col>
      <xdr:colOff>83820</xdr:colOff>
      <xdr:row>216</xdr:row>
      <xdr:rowOff>137160</xdr:rowOff>
    </xdr:to>
    <xdr:grpSp>
      <xdr:nvGrpSpPr>
        <xdr:cNvPr id="115" name="Group 114">
          <a:extLst>
            <a:ext uri="{FF2B5EF4-FFF2-40B4-BE49-F238E27FC236}">
              <a16:creationId xmlns:a16="http://schemas.microsoft.com/office/drawing/2014/main" id="{4B1C9AAB-A668-4C7C-A1D4-ABDD5B3DE8CE}"/>
            </a:ext>
          </a:extLst>
        </xdr:cNvPr>
        <xdr:cNvGrpSpPr/>
      </xdr:nvGrpSpPr>
      <xdr:grpSpPr>
        <a:xfrm>
          <a:off x="21022445" y="48496112"/>
          <a:ext cx="6217758" cy="457686"/>
          <a:chOff x="16230227" y="28357759"/>
          <a:chExt cx="6391543" cy="672305"/>
        </a:xfrm>
      </xdr:grpSpPr>
      <xdr:cxnSp macro="">
        <xdr:nvCxnSpPr>
          <xdr:cNvPr id="116" name="Straight Arrow Connector 115">
            <a:extLst>
              <a:ext uri="{FF2B5EF4-FFF2-40B4-BE49-F238E27FC236}">
                <a16:creationId xmlns:a16="http://schemas.microsoft.com/office/drawing/2014/main" id="{7236111D-D8FB-332E-D4D3-A1D4017A4E1F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7" name="Oval 116">
            <a:extLst>
              <a:ext uri="{FF2B5EF4-FFF2-40B4-BE49-F238E27FC236}">
                <a16:creationId xmlns:a16="http://schemas.microsoft.com/office/drawing/2014/main" id="{9F557CBD-4420-5F7C-6A4A-1525365168FD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8" name="Oval 117">
            <a:extLst>
              <a:ext uri="{FF2B5EF4-FFF2-40B4-BE49-F238E27FC236}">
                <a16:creationId xmlns:a16="http://schemas.microsoft.com/office/drawing/2014/main" id="{55631131-9A29-9332-C087-23A40623B539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9" name="Oval 118">
            <a:extLst>
              <a:ext uri="{FF2B5EF4-FFF2-40B4-BE49-F238E27FC236}">
                <a16:creationId xmlns:a16="http://schemas.microsoft.com/office/drawing/2014/main" id="{70734762-6141-5EF9-A7F7-D749ACD58AB5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20" name="Oval 119">
            <a:extLst>
              <a:ext uri="{FF2B5EF4-FFF2-40B4-BE49-F238E27FC236}">
                <a16:creationId xmlns:a16="http://schemas.microsoft.com/office/drawing/2014/main" id="{B0675D9C-101E-86EA-A4AC-53F39ABBBA71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121" name="Straight Arrow Connector 120">
            <a:extLst>
              <a:ext uri="{FF2B5EF4-FFF2-40B4-BE49-F238E27FC236}">
                <a16:creationId xmlns:a16="http://schemas.microsoft.com/office/drawing/2014/main" id="{409B0E9A-D19B-9267-64E1-A79C18B21547}"/>
              </a:ext>
            </a:extLst>
          </xdr:cNvPr>
          <xdr:cNvCxnSpPr>
            <a:stCxn id="117" idx="5"/>
            <a:endCxn id="119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2" name="Straight Arrow Connector 121">
            <a:extLst>
              <a:ext uri="{FF2B5EF4-FFF2-40B4-BE49-F238E27FC236}">
                <a16:creationId xmlns:a16="http://schemas.microsoft.com/office/drawing/2014/main" id="{295DDB74-283E-A5C7-1B2F-F8453811A561}"/>
              </a:ext>
            </a:extLst>
          </xdr:cNvPr>
          <xdr:cNvCxnSpPr>
            <a:stCxn id="119" idx="6"/>
            <a:endCxn id="120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" name="Straight Arrow Connector 122">
            <a:extLst>
              <a:ext uri="{FF2B5EF4-FFF2-40B4-BE49-F238E27FC236}">
                <a16:creationId xmlns:a16="http://schemas.microsoft.com/office/drawing/2014/main" id="{08D52D62-21A8-24F6-0012-EFEB1975F39D}"/>
              </a:ext>
            </a:extLst>
          </xdr:cNvPr>
          <xdr:cNvCxnSpPr>
            <a:stCxn id="120" idx="6"/>
            <a:endCxn id="118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2133600</xdr:colOff>
      <xdr:row>193</xdr:row>
      <xdr:rowOff>91440</xdr:rowOff>
    </xdr:from>
    <xdr:to>
      <xdr:col>23</xdr:col>
      <xdr:colOff>99060</xdr:colOff>
      <xdr:row>195</xdr:row>
      <xdr:rowOff>160020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861ECB22-ACFB-493D-860B-A8583756818E}"/>
            </a:ext>
          </a:extLst>
        </xdr:cNvPr>
        <xdr:cNvGrpSpPr/>
      </xdr:nvGrpSpPr>
      <xdr:grpSpPr>
        <a:xfrm>
          <a:off x="21037685" y="43493014"/>
          <a:ext cx="6217758" cy="457687"/>
          <a:chOff x="16230227" y="28357759"/>
          <a:chExt cx="6391543" cy="672305"/>
        </a:xfrm>
      </xdr:grpSpPr>
      <xdr:cxnSp macro="">
        <xdr:nvCxnSpPr>
          <xdr:cNvPr id="125" name="Straight Arrow Connector 124">
            <a:extLst>
              <a:ext uri="{FF2B5EF4-FFF2-40B4-BE49-F238E27FC236}">
                <a16:creationId xmlns:a16="http://schemas.microsoft.com/office/drawing/2014/main" id="{750B650E-8F99-462C-C30B-87533BB62800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" name="Oval 125">
            <a:extLst>
              <a:ext uri="{FF2B5EF4-FFF2-40B4-BE49-F238E27FC236}">
                <a16:creationId xmlns:a16="http://schemas.microsoft.com/office/drawing/2014/main" id="{DD0FBF88-3EB9-BD5C-44B7-D48D397AE936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27" name="Oval 126">
            <a:extLst>
              <a:ext uri="{FF2B5EF4-FFF2-40B4-BE49-F238E27FC236}">
                <a16:creationId xmlns:a16="http://schemas.microsoft.com/office/drawing/2014/main" id="{20653BF9-F0E9-7E1C-8818-D7464772F38F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28" name="Oval 127">
            <a:extLst>
              <a:ext uri="{FF2B5EF4-FFF2-40B4-BE49-F238E27FC236}">
                <a16:creationId xmlns:a16="http://schemas.microsoft.com/office/drawing/2014/main" id="{61C529B2-1A4A-6EA9-DAA4-B722BA5D0A60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29" name="Oval 128">
            <a:extLst>
              <a:ext uri="{FF2B5EF4-FFF2-40B4-BE49-F238E27FC236}">
                <a16:creationId xmlns:a16="http://schemas.microsoft.com/office/drawing/2014/main" id="{B1E58DCA-66D2-7F8E-DDAF-96F1F1F5F285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130" name="Straight Arrow Connector 129">
            <a:extLst>
              <a:ext uri="{FF2B5EF4-FFF2-40B4-BE49-F238E27FC236}">
                <a16:creationId xmlns:a16="http://schemas.microsoft.com/office/drawing/2014/main" id="{A529E392-52BE-86B0-EFB4-187C0C0D3A25}"/>
              </a:ext>
            </a:extLst>
          </xdr:cNvPr>
          <xdr:cNvCxnSpPr>
            <a:stCxn id="126" idx="5"/>
            <a:endCxn id="128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Straight Arrow Connector 130">
            <a:extLst>
              <a:ext uri="{FF2B5EF4-FFF2-40B4-BE49-F238E27FC236}">
                <a16:creationId xmlns:a16="http://schemas.microsoft.com/office/drawing/2014/main" id="{137EC9FA-6A4C-FB78-9C46-60790FD655D7}"/>
              </a:ext>
            </a:extLst>
          </xdr:cNvPr>
          <xdr:cNvCxnSpPr>
            <a:stCxn id="128" idx="6"/>
            <a:endCxn id="129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" name="Straight Arrow Connector 131">
            <a:extLst>
              <a:ext uri="{FF2B5EF4-FFF2-40B4-BE49-F238E27FC236}">
                <a16:creationId xmlns:a16="http://schemas.microsoft.com/office/drawing/2014/main" id="{FDCCB8CE-0BB9-5749-5D67-B1711969D0DB}"/>
              </a:ext>
            </a:extLst>
          </xdr:cNvPr>
          <xdr:cNvCxnSpPr>
            <a:stCxn id="129" idx="6"/>
            <a:endCxn id="127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9</xdr:col>
      <xdr:colOff>192405</xdr:colOff>
      <xdr:row>26</xdr:row>
      <xdr:rowOff>100965</xdr:rowOff>
    </xdr:from>
    <xdr:ext cx="2028825" cy="3362325"/>
    <xdr:sp macro="" textlink="">
      <xdr:nvSpPr>
        <xdr:cNvPr id="133" name="Shape 61">
          <a:extLst>
            <a:ext uri="{FF2B5EF4-FFF2-40B4-BE49-F238E27FC236}">
              <a16:creationId xmlns:a16="http://schemas.microsoft.com/office/drawing/2014/main" id="{803B2550-DA0F-4332-B6CC-8E21A15FE7E1}"/>
            </a:ext>
          </a:extLst>
        </xdr:cNvPr>
        <xdr:cNvSpPr/>
      </xdr:nvSpPr>
      <xdr:spPr>
        <a:xfrm>
          <a:off x="8582025" y="5252085"/>
          <a:ext cx="2028825" cy="336232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Times New Roman"/>
              <a:ea typeface="Times New Roman"/>
              <a:cs typeface="Times New Roman"/>
              <a:sym typeface="Times New Roman"/>
            </a:rPr>
            <a:t>Distillation Column 1</a:t>
          </a:r>
          <a:endParaRPr sz="20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twoCellAnchor>
    <xdr:from>
      <xdr:col>2</xdr:col>
      <xdr:colOff>266700</xdr:colOff>
      <xdr:row>34</xdr:row>
      <xdr:rowOff>197168</xdr:rowOff>
    </xdr:from>
    <xdr:to>
      <xdr:col>9</xdr:col>
      <xdr:colOff>192405</xdr:colOff>
      <xdr:row>35</xdr:row>
      <xdr:rowOff>7620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9A57E192-D96A-4174-90A9-0AFECC5282C9}"/>
            </a:ext>
          </a:extLst>
        </xdr:cNvPr>
        <xdr:cNvCxnSpPr>
          <a:endCxn id="133" idx="1"/>
        </xdr:cNvCxnSpPr>
      </xdr:nvCxnSpPr>
      <xdr:spPr>
        <a:xfrm flipV="1">
          <a:off x="2004060" y="6933248"/>
          <a:ext cx="6654165" cy="857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297180</xdr:colOff>
      <xdr:row>2</xdr:row>
      <xdr:rowOff>137160</xdr:rowOff>
    </xdr:from>
    <xdr:to>
      <xdr:col>10</xdr:col>
      <xdr:colOff>297180</xdr:colOff>
      <xdr:row>26</xdr:row>
      <xdr:rowOff>83820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AA472BF8-1318-473A-91E2-7E843EA7B455}"/>
            </a:ext>
          </a:extLst>
        </xdr:cNvPr>
        <xdr:cNvCxnSpPr/>
      </xdr:nvCxnSpPr>
      <xdr:spPr>
        <a:xfrm>
          <a:off x="9555480" y="533400"/>
          <a:ext cx="0" cy="470154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2</xdr:row>
      <xdr:rowOff>137160</xdr:rowOff>
    </xdr:from>
    <xdr:to>
      <xdr:col>15</xdr:col>
      <xdr:colOff>426720</xdr:colOff>
      <xdr:row>2</xdr:row>
      <xdr:rowOff>144780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1FA2EFF7-073D-4B1F-B889-652F095533B2}"/>
            </a:ext>
          </a:extLst>
        </xdr:cNvPr>
        <xdr:cNvCxnSpPr/>
      </xdr:nvCxnSpPr>
      <xdr:spPr>
        <a:xfrm>
          <a:off x="9563100" y="533400"/>
          <a:ext cx="4564380" cy="762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327660</xdr:colOff>
      <xdr:row>43</xdr:row>
      <xdr:rowOff>95250</xdr:rowOff>
    </xdr:from>
    <xdr:to>
      <xdr:col>10</xdr:col>
      <xdr:colOff>338138</xdr:colOff>
      <xdr:row>65</xdr:row>
      <xdr:rowOff>129540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C0D47BC8-C9D4-4CE4-ADC7-797EB73D056E}"/>
            </a:ext>
          </a:extLst>
        </xdr:cNvPr>
        <xdr:cNvCxnSpPr>
          <a:stCxn id="133" idx="2"/>
        </xdr:cNvCxnSpPr>
      </xdr:nvCxnSpPr>
      <xdr:spPr>
        <a:xfrm flipH="1">
          <a:off x="9585960" y="8614410"/>
          <a:ext cx="10478" cy="439293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320040</xdr:colOff>
      <xdr:row>65</xdr:row>
      <xdr:rowOff>129540</xdr:rowOff>
    </xdr:from>
    <xdr:to>
      <xdr:col>13</xdr:col>
      <xdr:colOff>396240</xdr:colOff>
      <xdr:row>65</xdr:row>
      <xdr:rowOff>137160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4A1152F8-15DC-4D7E-9DE5-5FDF59553641}"/>
            </a:ext>
          </a:extLst>
        </xdr:cNvPr>
        <xdr:cNvCxnSpPr/>
      </xdr:nvCxnSpPr>
      <xdr:spPr>
        <a:xfrm flipV="1">
          <a:off x="9578340" y="13007340"/>
          <a:ext cx="2781300" cy="762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1789006</xdr:colOff>
      <xdr:row>73</xdr:row>
      <xdr:rowOff>22860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AA247CDA-5614-4D87-9B61-95ACC146D061}"/>
                </a:ext>
              </a:extLst>
            </xdr:cNvPr>
            <xdr:cNvSpPr txBox="1"/>
          </xdr:nvSpPr>
          <xdr:spPr>
            <a:xfrm>
              <a:off x="22827826" y="144856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AA247CDA-5614-4D87-9B61-95ACC146D061}"/>
                </a:ext>
              </a:extLst>
            </xdr:cNvPr>
            <xdr:cNvSpPr txBox="1"/>
          </xdr:nvSpPr>
          <xdr:spPr>
            <a:xfrm>
              <a:off x="22827826" y="144856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298.15𝐾^283.85𝐾▒〖30.827−7.6041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1187873</xdr:colOff>
      <xdr:row>81</xdr:row>
      <xdr:rowOff>32173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58D93B7D-E460-4853-AF5C-E32653423E7C}"/>
                </a:ext>
              </a:extLst>
            </xdr:cNvPr>
            <xdr:cNvSpPr txBox="1"/>
          </xdr:nvSpPr>
          <xdr:spPr>
            <a:xfrm>
              <a:off x="22226693" y="16521853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35.72+4.2908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−1.5473×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+2.4070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58D93B7D-E460-4853-AF5C-E32653423E7C}"/>
                </a:ext>
              </a:extLst>
            </xdr:cNvPr>
            <xdr:cNvSpPr txBox="1"/>
          </xdr:nvSpPr>
          <xdr:spPr>
            <a:xfrm>
              <a:off x="22226693" y="16521853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283.85𝐾^283.15𝐾▒〖35.72+4.2908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𝑇−1.5473×10^(−3)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+2.4070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127846</xdr:colOff>
      <xdr:row>94</xdr:row>
      <xdr:rowOff>45720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01D1CAFA-243F-4B29-8F6A-1EA4B8364156}"/>
                </a:ext>
              </a:extLst>
            </xdr:cNvPr>
            <xdr:cNvSpPr txBox="1"/>
          </xdr:nvSpPr>
          <xdr:spPr>
            <a:xfrm>
              <a:off x="22972606" y="195986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01D1CAFA-243F-4B29-8F6A-1EA4B8364156}"/>
                </a:ext>
              </a:extLst>
            </xdr:cNvPr>
            <xdr:cNvSpPr txBox="1"/>
          </xdr:nvSpPr>
          <xdr:spPr>
            <a:xfrm>
              <a:off x="22972606" y="195986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298.15𝐾^444.15𝐾▒〖−0.555+3.7003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243840</xdr:colOff>
      <xdr:row>102</xdr:row>
      <xdr:rowOff>42333</xdr:rowOff>
    </xdr:from>
    <xdr:ext cx="550926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B3EC15AD-DBF8-48C7-B962-FD1BD24045E9}"/>
                </a:ext>
              </a:extLst>
            </xdr:cNvPr>
            <xdr:cNvSpPr txBox="1"/>
          </xdr:nvSpPr>
          <xdr:spPr>
            <a:xfrm>
              <a:off x="23088600" y="2169837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23.111+1.2283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−3.1218×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+3.0714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B3EC15AD-DBF8-48C7-B962-FD1BD24045E9}"/>
                </a:ext>
              </a:extLst>
            </xdr:cNvPr>
            <xdr:cNvSpPr txBox="1"/>
          </xdr:nvSpPr>
          <xdr:spPr>
            <a:xfrm>
              <a:off x="23088600" y="2169837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444.15𝐾^283.15𝐾▒〖23.111+1.2283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𝑇−3.1218×10^(−3)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+3.0714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31328</xdr:colOff>
      <xdr:row>115</xdr:row>
      <xdr:rowOff>40640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3A4A8163-4AFB-4D27-9C09-960816461EC2}"/>
                </a:ext>
              </a:extLst>
            </xdr:cNvPr>
            <xdr:cNvSpPr txBox="1"/>
          </xdr:nvSpPr>
          <xdr:spPr>
            <a:xfrm>
              <a:off x="22876088" y="247370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3A4A8163-4AFB-4D27-9C09-960816461EC2}"/>
                </a:ext>
              </a:extLst>
            </xdr:cNvPr>
            <xdr:cNvSpPr txBox="1"/>
          </xdr:nvSpPr>
          <xdr:spPr>
            <a:xfrm>
              <a:off x="22876088" y="247370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298.15𝐾^542.04𝐾▒〖−5.264+6.1929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222675</xdr:colOff>
      <xdr:row>123</xdr:row>
      <xdr:rowOff>5927</xdr:rowOff>
    </xdr:from>
    <xdr:ext cx="5481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BC919EC2-815D-4E8E-9948-829B88163713}"/>
                </a:ext>
              </a:extLst>
            </xdr:cNvPr>
            <xdr:cNvSpPr txBox="1"/>
          </xdr:nvSpPr>
          <xdr:spPr>
            <a:xfrm>
              <a:off x="23067435" y="2673688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76.703+1.0821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−2.4860×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+2.2497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BC919EC2-815D-4E8E-9948-829B88163713}"/>
                </a:ext>
              </a:extLst>
            </xdr:cNvPr>
            <xdr:cNvSpPr txBox="1"/>
          </xdr:nvSpPr>
          <xdr:spPr>
            <a:xfrm>
              <a:off x="23067435" y="2673688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542.04𝐾^283.15𝐾▒〖76.703+1.0821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𝑇−2.4860×10^(−3)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+2.2497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219288</xdr:colOff>
      <xdr:row>136</xdr:row>
      <xdr:rowOff>20321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40B7FDAD-7054-4D9C-BC2B-F14F34FF5606}"/>
                </a:ext>
              </a:extLst>
            </xdr:cNvPr>
            <xdr:cNvSpPr txBox="1"/>
          </xdr:nvSpPr>
          <xdr:spPr>
            <a:xfrm>
              <a:off x="23064048" y="2973070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37.730+4.9155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+3.5952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−8.2287×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+3.5374×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−10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40B7FDAD-7054-4D9C-BC2B-F14F34FF5606}"/>
                </a:ext>
              </a:extLst>
            </xdr:cNvPr>
            <xdr:cNvSpPr txBox="1"/>
          </xdr:nvSpPr>
          <xdr:spPr>
            <a:xfrm>
              <a:off x="23064048" y="2973070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298.15𝐾^608.55𝐾▒〖37.730+4.9155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+3.5952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𝑇^2−8.2287×10^(−7) 𝑇^3+3.5374×10^(−10)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285327</xdr:colOff>
      <xdr:row>144</xdr:row>
      <xdr:rowOff>19473</xdr:rowOff>
    </xdr:from>
    <xdr:ext cx="5621867" cy="559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F682738A-78E9-4416-86F1-1E14C466C7CF}"/>
                </a:ext>
              </a:extLst>
            </xdr:cNvPr>
            <xdr:cNvSpPr txBox="1"/>
          </xdr:nvSpPr>
          <xdr:spPr>
            <a:xfrm>
              <a:off x="23130087" y="31749153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179.047+1.2436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−2.6631×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+2.3379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F682738A-78E9-4416-86F1-1E14C466C7CF}"/>
                </a:ext>
              </a:extLst>
            </xdr:cNvPr>
            <xdr:cNvSpPr txBox="1"/>
          </xdr:nvSpPr>
          <xdr:spPr>
            <a:xfrm>
              <a:off x="23130087" y="31749153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608.55𝐾^283.15𝐾▒〖179.047+1.2436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𝑇−2.6631×10^(−3)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+2.3379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66038</xdr:colOff>
      <xdr:row>154</xdr:row>
      <xdr:rowOff>7620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548FF028-0CD7-48A2-8D21-EBD6CDD689B1}"/>
                </a:ext>
              </a:extLst>
            </xdr:cNvPr>
            <xdr:cNvSpPr txBox="1"/>
          </xdr:nvSpPr>
          <xdr:spPr>
            <a:xfrm>
              <a:off x="22910798" y="341223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548FF028-0CD7-48A2-8D21-EBD6CDD689B1}"/>
                </a:ext>
              </a:extLst>
            </xdr:cNvPr>
            <xdr:cNvSpPr txBox="1"/>
          </xdr:nvSpPr>
          <xdr:spPr>
            <a:xfrm>
              <a:off x="22910798" y="341223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298.15𝐾^443.15𝐾▒〖−0.555+3.7003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121920</xdr:colOff>
      <xdr:row>161</xdr:row>
      <xdr:rowOff>33020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0E03E6C3-CA45-4DC4-92BB-9D4383F0E00E}"/>
                </a:ext>
              </a:extLst>
            </xdr:cNvPr>
            <xdr:cNvSpPr txBox="1"/>
          </xdr:nvSpPr>
          <xdr:spPr>
            <a:xfrm>
              <a:off x="22966680" y="360070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0E03E6C3-CA45-4DC4-92BB-9D4383F0E00E}"/>
                </a:ext>
              </a:extLst>
            </xdr:cNvPr>
            <xdr:cNvSpPr txBox="1"/>
          </xdr:nvSpPr>
          <xdr:spPr>
            <a:xfrm>
              <a:off x="22966680" y="360070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298.15𝐾^443.15𝐾▒〖−5.264+6.1929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81280</xdr:colOff>
      <xdr:row>167</xdr:row>
      <xdr:rowOff>195581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1767E0B6-C447-45DE-B021-D3F1C29E33AE}"/>
                </a:ext>
              </a:extLst>
            </xdr:cNvPr>
            <xdr:cNvSpPr txBox="1"/>
          </xdr:nvSpPr>
          <xdr:spPr>
            <a:xfrm>
              <a:off x="22926040" y="3782314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37.730+4.9155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+3.5952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−8.2287×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+3.5374×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−10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1767E0B6-C447-45DE-B021-D3F1C29E33AE}"/>
                </a:ext>
              </a:extLst>
            </xdr:cNvPr>
            <xdr:cNvSpPr txBox="1"/>
          </xdr:nvSpPr>
          <xdr:spPr>
            <a:xfrm>
              <a:off x="22926040" y="3782314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298.15𝐾^443.15𝐾▒〖37.730+4.9155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+3.5952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𝑇^2−8.2287×10^(−7) 𝑇^3+3.5374×10^(−10)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96518</xdr:colOff>
      <xdr:row>178</xdr:row>
      <xdr:rowOff>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3A7171DB-1B2B-412F-93C5-8E5C1CF94E6D}"/>
                </a:ext>
              </a:extLst>
            </xdr:cNvPr>
            <xdr:cNvSpPr txBox="1"/>
          </xdr:nvSpPr>
          <xdr:spPr>
            <a:xfrm>
              <a:off x="22941278" y="402336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3A7171DB-1B2B-412F-93C5-8E5C1CF94E6D}"/>
                </a:ext>
              </a:extLst>
            </xdr:cNvPr>
            <xdr:cNvSpPr txBox="1"/>
          </xdr:nvSpPr>
          <xdr:spPr>
            <a:xfrm>
              <a:off x="22941278" y="402336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298.15𝐾^444.15𝐾▒〖−0.555+3.7003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281092</xdr:colOff>
      <xdr:row>186</xdr:row>
      <xdr:rowOff>11853</xdr:rowOff>
    </xdr:from>
    <xdr:ext cx="550926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57054654-FBB5-49F7-B300-97DFCD455FC6}"/>
                </a:ext>
              </a:extLst>
            </xdr:cNvPr>
            <xdr:cNvSpPr txBox="1"/>
          </xdr:nvSpPr>
          <xdr:spPr>
            <a:xfrm>
              <a:off x="23125852" y="4224189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23.111+1.2283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−3.1218×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+3.0714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57054654-FBB5-49F7-B300-97DFCD455FC6}"/>
                </a:ext>
              </a:extLst>
            </xdr:cNvPr>
            <xdr:cNvSpPr txBox="1"/>
          </xdr:nvSpPr>
          <xdr:spPr>
            <a:xfrm>
              <a:off x="23125852" y="4224189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444.15𝐾^523.15𝐾▒〖23.111+1.2283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𝑇−3.1218×10^(−3)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+3.0714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7620</xdr:colOff>
      <xdr:row>199</xdr:row>
      <xdr:rowOff>40640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2D2C3ABA-8833-4F6B-9C6C-E235C216DF85}"/>
                </a:ext>
              </a:extLst>
            </xdr:cNvPr>
            <xdr:cNvSpPr txBox="1"/>
          </xdr:nvSpPr>
          <xdr:spPr>
            <a:xfrm>
              <a:off x="22852380" y="452805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2D2C3ABA-8833-4F6B-9C6C-E235C216DF85}"/>
                </a:ext>
              </a:extLst>
            </xdr:cNvPr>
            <xdr:cNvSpPr txBox="1"/>
          </xdr:nvSpPr>
          <xdr:spPr>
            <a:xfrm>
              <a:off x="22852380" y="452805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298.15𝐾^542.04𝐾▒〖−5.264+6.1929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191347</xdr:colOff>
      <xdr:row>207</xdr:row>
      <xdr:rowOff>59267</xdr:rowOff>
    </xdr:from>
    <xdr:ext cx="5481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F091EA18-F4E4-470F-9109-729FFBACAA38}"/>
                </a:ext>
              </a:extLst>
            </xdr:cNvPr>
            <xdr:cNvSpPr txBox="1"/>
          </xdr:nvSpPr>
          <xdr:spPr>
            <a:xfrm>
              <a:off x="23036107" y="4731088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76.703+1.0821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−2.4860×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+2.2497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F091EA18-F4E4-470F-9109-729FFBACAA38}"/>
                </a:ext>
              </a:extLst>
            </xdr:cNvPr>
            <xdr:cNvSpPr txBox="1"/>
          </xdr:nvSpPr>
          <xdr:spPr>
            <a:xfrm>
              <a:off x="23036107" y="4731088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542.04𝐾^523.15𝐾▒〖76.703+1.0821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𝑇−2.4860×10^(−3)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+2.2497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134620</xdr:colOff>
      <xdr:row>220</xdr:row>
      <xdr:rowOff>58421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AA82EB39-BF88-4B1D-922E-5A29AA598849}"/>
                </a:ext>
              </a:extLst>
            </xdr:cNvPr>
            <xdr:cNvSpPr txBox="1"/>
          </xdr:nvSpPr>
          <xdr:spPr>
            <a:xfrm>
              <a:off x="22979380" y="5038090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37.730+4.9155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+3.5952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−8.2287×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+3.5374×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−10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AA82EB39-BF88-4B1D-922E-5A29AA598849}"/>
                </a:ext>
              </a:extLst>
            </xdr:cNvPr>
            <xdr:cNvSpPr txBox="1"/>
          </xdr:nvSpPr>
          <xdr:spPr>
            <a:xfrm>
              <a:off x="22979380" y="5038090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298.15𝐾^608.55𝐾▒〖37.730+4.9155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+3.5952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𝑇^2−8.2287×10^(−7) 𝑇^3+3.5374×10^(−10)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253999</xdr:colOff>
      <xdr:row>228</xdr:row>
      <xdr:rowOff>57573</xdr:rowOff>
    </xdr:from>
    <xdr:ext cx="5621867" cy="559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F8754E7D-A6C8-4CB3-9FCB-A974A39B41C6}"/>
                </a:ext>
              </a:extLst>
            </xdr:cNvPr>
            <xdr:cNvSpPr txBox="1"/>
          </xdr:nvSpPr>
          <xdr:spPr>
            <a:xfrm>
              <a:off x="23098759" y="52483173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179.047+1.2436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−2.6631×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+2.3379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F8754E7D-A6C8-4CB3-9FCB-A974A39B41C6}"/>
                </a:ext>
              </a:extLst>
            </xdr:cNvPr>
            <xdr:cNvSpPr txBox="1"/>
          </xdr:nvSpPr>
          <xdr:spPr>
            <a:xfrm>
              <a:off x="23098759" y="52483173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608.55𝐾^523.15𝐾▒〖179.047+1.2436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𝑇−2.6631×10^(−3)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+2.3379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228600</xdr:colOff>
      <xdr:row>20</xdr:row>
      <xdr:rowOff>175260</xdr:rowOff>
    </xdr:from>
    <xdr:ext cx="2971800" cy="2066925"/>
    <xdr:sp macro="" textlink="">
      <xdr:nvSpPr>
        <xdr:cNvPr id="38" name="Shape 62">
          <a:extLst>
            <a:ext uri="{FF2B5EF4-FFF2-40B4-BE49-F238E27FC236}">
              <a16:creationId xmlns:a16="http://schemas.microsoft.com/office/drawing/2014/main" id="{08BD0AA0-701B-49B4-8E66-2441AF91AE2B}"/>
            </a:ext>
          </a:extLst>
        </xdr:cNvPr>
        <xdr:cNvSpPr/>
      </xdr:nvSpPr>
      <xdr:spPr>
        <a:xfrm>
          <a:off x="6766560" y="4168140"/>
          <a:ext cx="2971800" cy="206692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GB" sz="2000" b="1">
              <a:latin typeface="Times New Roman" panose="02020603050405020304" pitchFamily="18" charset="0"/>
              <a:cs typeface="Times New Roman" panose="02020603050405020304" pitchFamily="18" charset="0"/>
            </a:rPr>
            <a:t>Distillation Column 2</a:t>
          </a:r>
          <a:endParaRPr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/>
  </xdr:oneCellAnchor>
  <xdr:oneCellAnchor>
    <xdr:from>
      <xdr:col>6</xdr:col>
      <xdr:colOff>1095375</xdr:colOff>
      <xdr:row>59</xdr:row>
      <xdr:rowOff>15240</xdr:rowOff>
    </xdr:from>
    <xdr:ext cx="3552825" cy="1990725"/>
    <xdr:sp macro="" textlink="">
      <xdr:nvSpPr>
        <xdr:cNvPr id="39" name="Shape 64">
          <a:extLst>
            <a:ext uri="{FF2B5EF4-FFF2-40B4-BE49-F238E27FC236}">
              <a16:creationId xmlns:a16="http://schemas.microsoft.com/office/drawing/2014/main" id="{66022A0B-274C-4924-836A-3A918376D72A}"/>
            </a:ext>
          </a:extLst>
        </xdr:cNvPr>
        <xdr:cNvSpPr/>
      </xdr:nvSpPr>
      <xdr:spPr>
        <a:xfrm>
          <a:off x="6696075" y="11292840"/>
          <a:ext cx="3552825" cy="1990725"/>
        </a:xfrm>
        <a:prstGeom prst="rect">
          <a:avLst/>
        </a:prstGeom>
        <a:solidFill>
          <a:srgbClr val="CFE2F3"/>
        </a:solidFill>
        <a:ln w="9525" cap="flat" cmpd="sng">
          <a:solidFill>
            <a:sysClr val="windowText" lastClr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300" b="1">
              <a:latin typeface="Times New Roman"/>
              <a:ea typeface="Times New Roman"/>
              <a:cs typeface="Times New Roman"/>
              <a:sym typeface="Times New Roman"/>
            </a:rPr>
            <a:t>By Product 1 Tank</a:t>
          </a:r>
          <a:endParaRPr sz="23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14</xdr:col>
      <xdr:colOff>661035</xdr:colOff>
      <xdr:row>21</xdr:row>
      <xdr:rowOff>127635</xdr:rowOff>
    </xdr:from>
    <xdr:ext cx="3514725" cy="1800225"/>
    <xdr:sp macro="" textlink="">
      <xdr:nvSpPr>
        <xdr:cNvPr id="40" name="Shape 65">
          <a:extLst>
            <a:ext uri="{FF2B5EF4-FFF2-40B4-BE49-F238E27FC236}">
              <a16:creationId xmlns:a16="http://schemas.microsoft.com/office/drawing/2014/main" id="{76D2726F-0719-465F-85C5-ABA5271923E3}"/>
            </a:ext>
          </a:extLst>
        </xdr:cNvPr>
        <xdr:cNvSpPr/>
      </xdr:nvSpPr>
      <xdr:spPr>
        <a:xfrm>
          <a:off x="13523595" y="4318635"/>
          <a:ext cx="3514725" cy="180022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300" b="1">
              <a:latin typeface="Times New Roman"/>
              <a:ea typeface="Times New Roman"/>
              <a:cs typeface="Times New Roman"/>
              <a:sym typeface="Times New Roman"/>
            </a:rPr>
            <a:t>By Product 2 Tank</a:t>
          </a:r>
          <a:endParaRPr sz="23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twoCellAnchor>
    <xdr:from>
      <xdr:col>0</xdr:col>
      <xdr:colOff>845820</xdr:colOff>
      <xdr:row>26</xdr:row>
      <xdr:rowOff>20003</xdr:rowOff>
    </xdr:from>
    <xdr:to>
      <xdr:col>7</xdr:col>
      <xdr:colOff>228600</xdr:colOff>
      <xdr:row>26</xdr:row>
      <xdr:rowOff>26670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16219462-2DA8-4EC6-BA67-19368A2E2D00}"/>
            </a:ext>
          </a:extLst>
        </xdr:cNvPr>
        <xdr:cNvCxnSpPr>
          <a:endCxn id="38" idx="1"/>
        </xdr:cNvCxnSpPr>
      </xdr:nvCxnSpPr>
      <xdr:spPr>
        <a:xfrm flipV="1">
          <a:off x="845820" y="5201603"/>
          <a:ext cx="5920740" cy="6667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533400</xdr:colOff>
      <xdr:row>26</xdr:row>
      <xdr:rowOff>20003</xdr:rowOff>
    </xdr:from>
    <xdr:to>
      <xdr:col>14</xdr:col>
      <xdr:colOff>661035</xdr:colOff>
      <xdr:row>26</xdr:row>
      <xdr:rowOff>37148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614C0D3B-62F0-432A-B221-483D4CD226EC}"/>
            </a:ext>
          </a:extLst>
        </xdr:cNvPr>
        <xdr:cNvCxnSpPr>
          <a:stCxn id="38" idx="3"/>
          <a:endCxn id="40" idx="1"/>
        </xdr:cNvCxnSpPr>
      </xdr:nvCxnSpPr>
      <xdr:spPr>
        <a:xfrm>
          <a:off x="9921240" y="5201603"/>
          <a:ext cx="3846195" cy="1714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776288</xdr:colOff>
      <xdr:row>31</xdr:row>
      <xdr:rowOff>146685</xdr:rowOff>
    </xdr:from>
    <xdr:to>
      <xdr:col>8</xdr:col>
      <xdr:colOff>781050</xdr:colOff>
      <xdr:row>59</xdr:row>
      <xdr:rowOff>15240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84B220D4-F581-4E28-9F10-4A96CABA026D}"/>
            </a:ext>
          </a:extLst>
        </xdr:cNvPr>
        <xdr:cNvCxnSpPr>
          <a:stCxn id="38" idx="2"/>
          <a:endCxn id="39" idx="0"/>
        </xdr:cNvCxnSpPr>
      </xdr:nvCxnSpPr>
      <xdr:spPr>
        <a:xfrm flipH="1">
          <a:off x="8472488" y="6090285"/>
          <a:ext cx="4762" cy="520255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2103120</xdr:colOff>
      <xdr:row>67</xdr:row>
      <xdr:rowOff>91440</xdr:rowOff>
    </xdr:from>
    <xdr:to>
      <xdr:col>27</xdr:col>
      <xdr:colOff>99060</xdr:colOff>
      <xdr:row>69</xdr:row>
      <xdr:rowOff>160020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10BC77A8-D5A9-4EB8-BAA8-75CC1B40F156}"/>
            </a:ext>
          </a:extLst>
        </xdr:cNvPr>
        <xdr:cNvGrpSpPr/>
      </xdr:nvGrpSpPr>
      <xdr:grpSpPr>
        <a:xfrm>
          <a:off x="24658320" y="12893040"/>
          <a:ext cx="5749290" cy="449580"/>
          <a:chOff x="16230227" y="28357759"/>
          <a:chExt cx="6391543" cy="672305"/>
        </a:xfrm>
      </xdr:grpSpPr>
      <xdr:cxnSp macro="">
        <xdr:nvCxnSpPr>
          <xdr:cNvPr id="45" name="Straight Arrow Connector 44">
            <a:extLst>
              <a:ext uri="{FF2B5EF4-FFF2-40B4-BE49-F238E27FC236}">
                <a16:creationId xmlns:a16="http://schemas.microsoft.com/office/drawing/2014/main" id="{CECCA017-7BA5-00AF-6D7E-541522ACB6ED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Oval 45">
            <a:extLst>
              <a:ext uri="{FF2B5EF4-FFF2-40B4-BE49-F238E27FC236}">
                <a16:creationId xmlns:a16="http://schemas.microsoft.com/office/drawing/2014/main" id="{214FE321-F30A-3D92-DABF-134A396F4B82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7" name="Oval 46">
            <a:extLst>
              <a:ext uri="{FF2B5EF4-FFF2-40B4-BE49-F238E27FC236}">
                <a16:creationId xmlns:a16="http://schemas.microsoft.com/office/drawing/2014/main" id="{91404551-EFD1-B61A-635E-C8D1827E850B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8" name="Oval 47">
            <a:extLst>
              <a:ext uri="{FF2B5EF4-FFF2-40B4-BE49-F238E27FC236}">
                <a16:creationId xmlns:a16="http://schemas.microsoft.com/office/drawing/2014/main" id="{BAF3EC84-DF7F-4487-D86F-0406F3E04C03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9" name="Oval 48">
            <a:extLst>
              <a:ext uri="{FF2B5EF4-FFF2-40B4-BE49-F238E27FC236}">
                <a16:creationId xmlns:a16="http://schemas.microsoft.com/office/drawing/2014/main" id="{DE91EF4D-23B1-7036-37EE-A1DBBFED49A2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50" name="Straight Arrow Connector 49">
            <a:extLst>
              <a:ext uri="{FF2B5EF4-FFF2-40B4-BE49-F238E27FC236}">
                <a16:creationId xmlns:a16="http://schemas.microsoft.com/office/drawing/2014/main" id="{D5F0B27E-9FCA-C181-BA22-EA2C1CFF71EB}"/>
              </a:ext>
            </a:extLst>
          </xdr:cNvPr>
          <xdr:cNvCxnSpPr>
            <a:stCxn id="46" idx="5"/>
            <a:endCxn id="48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Straight Arrow Connector 50">
            <a:extLst>
              <a:ext uri="{FF2B5EF4-FFF2-40B4-BE49-F238E27FC236}">
                <a16:creationId xmlns:a16="http://schemas.microsoft.com/office/drawing/2014/main" id="{C03618B9-AE91-B1BF-F510-10DB7FD98645}"/>
              </a:ext>
            </a:extLst>
          </xdr:cNvPr>
          <xdr:cNvCxnSpPr>
            <a:stCxn id="48" idx="6"/>
            <a:endCxn id="49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Straight Arrow Connector 51">
            <a:extLst>
              <a:ext uri="{FF2B5EF4-FFF2-40B4-BE49-F238E27FC236}">
                <a16:creationId xmlns:a16="http://schemas.microsoft.com/office/drawing/2014/main" id="{E129C82B-D0C9-9579-9A9F-C5605AB283F8}"/>
              </a:ext>
            </a:extLst>
          </xdr:cNvPr>
          <xdr:cNvCxnSpPr>
            <a:stCxn id="49" idx="6"/>
            <a:endCxn id="47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2087880</xdr:colOff>
      <xdr:row>88</xdr:row>
      <xdr:rowOff>68580</xdr:rowOff>
    </xdr:from>
    <xdr:to>
      <xdr:col>27</xdr:col>
      <xdr:colOff>83820</xdr:colOff>
      <xdr:row>90</xdr:row>
      <xdr:rowOff>137160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31E57EC4-3C65-4F99-ABDD-DC4514875523}"/>
            </a:ext>
          </a:extLst>
        </xdr:cNvPr>
        <xdr:cNvGrpSpPr/>
      </xdr:nvGrpSpPr>
      <xdr:grpSpPr>
        <a:xfrm>
          <a:off x="24643080" y="17727930"/>
          <a:ext cx="5749290" cy="449580"/>
          <a:chOff x="16230227" y="28357759"/>
          <a:chExt cx="6391543" cy="672305"/>
        </a:xfrm>
      </xdr:grpSpPr>
      <xdr:cxnSp macro="">
        <xdr:nvCxnSpPr>
          <xdr:cNvPr id="54" name="Straight Arrow Connector 53">
            <a:extLst>
              <a:ext uri="{FF2B5EF4-FFF2-40B4-BE49-F238E27FC236}">
                <a16:creationId xmlns:a16="http://schemas.microsoft.com/office/drawing/2014/main" id="{BB14CF02-599F-4E24-DB65-321764EEB5B1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" name="Oval 54">
            <a:extLst>
              <a:ext uri="{FF2B5EF4-FFF2-40B4-BE49-F238E27FC236}">
                <a16:creationId xmlns:a16="http://schemas.microsoft.com/office/drawing/2014/main" id="{15E2C0DE-882D-55A0-EB30-6388F5210F34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6" name="Oval 55">
            <a:extLst>
              <a:ext uri="{FF2B5EF4-FFF2-40B4-BE49-F238E27FC236}">
                <a16:creationId xmlns:a16="http://schemas.microsoft.com/office/drawing/2014/main" id="{0E8DDA90-3B1F-5CEC-52A0-DD5EB83F32F9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7" name="Oval 56">
            <a:extLst>
              <a:ext uri="{FF2B5EF4-FFF2-40B4-BE49-F238E27FC236}">
                <a16:creationId xmlns:a16="http://schemas.microsoft.com/office/drawing/2014/main" id="{244B467D-D2C6-9B65-BC7E-1B2E2992F056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8" name="Oval 57">
            <a:extLst>
              <a:ext uri="{FF2B5EF4-FFF2-40B4-BE49-F238E27FC236}">
                <a16:creationId xmlns:a16="http://schemas.microsoft.com/office/drawing/2014/main" id="{D980A02C-4DAB-79F6-5611-2EC4D856ACFF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59" name="Straight Arrow Connector 58">
            <a:extLst>
              <a:ext uri="{FF2B5EF4-FFF2-40B4-BE49-F238E27FC236}">
                <a16:creationId xmlns:a16="http://schemas.microsoft.com/office/drawing/2014/main" id="{14AA4AE9-EAEE-8082-CD21-1C24BEDFB319}"/>
              </a:ext>
            </a:extLst>
          </xdr:cNvPr>
          <xdr:cNvCxnSpPr>
            <a:stCxn id="55" idx="5"/>
            <a:endCxn id="57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Straight Arrow Connector 59">
            <a:extLst>
              <a:ext uri="{FF2B5EF4-FFF2-40B4-BE49-F238E27FC236}">
                <a16:creationId xmlns:a16="http://schemas.microsoft.com/office/drawing/2014/main" id="{6A648D56-212D-41DC-EC5A-1A1A38CF87D4}"/>
              </a:ext>
            </a:extLst>
          </xdr:cNvPr>
          <xdr:cNvCxnSpPr>
            <a:stCxn id="57" idx="6"/>
            <a:endCxn id="58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Straight Arrow Connector 60">
            <a:extLst>
              <a:ext uri="{FF2B5EF4-FFF2-40B4-BE49-F238E27FC236}">
                <a16:creationId xmlns:a16="http://schemas.microsoft.com/office/drawing/2014/main" id="{40484300-CE74-1ACA-8D91-622448A250A7}"/>
              </a:ext>
            </a:extLst>
          </xdr:cNvPr>
          <xdr:cNvCxnSpPr>
            <a:stCxn id="58" idx="6"/>
            <a:endCxn id="56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2103120</xdr:colOff>
      <xdr:row>109</xdr:row>
      <xdr:rowOff>83820</xdr:rowOff>
    </xdr:from>
    <xdr:to>
      <xdr:col>27</xdr:col>
      <xdr:colOff>99060</xdr:colOff>
      <xdr:row>111</xdr:row>
      <xdr:rowOff>152400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0E284A25-B3E3-437C-9A5E-2F592A097556}"/>
            </a:ext>
          </a:extLst>
        </xdr:cNvPr>
        <xdr:cNvGrpSpPr/>
      </xdr:nvGrpSpPr>
      <xdr:grpSpPr>
        <a:xfrm>
          <a:off x="24658320" y="22581870"/>
          <a:ext cx="5749290" cy="449580"/>
          <a:chOff x="16230227" y="28357759"/>
          <a:chExt cx="6391543" cy="672305"/>
        </a:xfrm>
      </xdr:grpSpPr>
      <xdr:cxnSp macro="">
        <xdr:nvCxnSpPr>
          <xdr:cNvPr id="67" name="Straight Arrow Connector 66">
            <a:extLst>
              <a:ext uri="{FF2B5EF4-FFF2-40B4-BE49-F238E27FC236}">
                <a16:creationId xmlns:a16="http://schemas.microsoft.com/office/drawing/2014/main" id="{6C7C7425-2D63-7A03-26C7-500FAFB05C5F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8" name="Oval 67">
            <a:extLst>
              <a:ext uri="{FF2B5EF4-FFF2-40B4-BE49-F238E27FC236}">
                <a16:creationId xmlns:a16="http://schemas.microsoft.com/office/drawing/2014/main" id="{372EDBBB-1C56-C8D6-A341-41F51523CE72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9" name="Oval 68">
            <a:extLst>
              <a:ext uri="{FF2B5EF4-FFF2-40B4-BE49-F238E27FC236}">
                <a16:creationId xmlns:a16="http://schemas.microsoft.com/office/drawing/2014/main" id="{56CC769F-2393-B760-F5AB-1924610692C1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70" name="Oval 69">
            <a:extLst>
              <a:ext uri="{FF2B5EF4-FFF2-40B4-BE49-F238E27FC236}">
                <a16:creationId xmlns:a16="http://schemas.microsoft.com/office/drawing/2014/main" id="{266358B5-9C46-68D2-FAAE-6DD3CB95D494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71" name="Oval 70">
            <a:extLst>
              <a:ext uri="{FF2B5EF4-FFF2-40B4-BE49-F238E27FC236}">
                <a16:creationId xmlns:a16="http://schemas.microsoft.com/office/drawing/2014/main" id="{97B0F404-2A3D-7E3C-D29C-42060B1B8AEB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72" name="Straight Arrow Connector 71">
            <a:extLst>
              <a:ext uri="{FF2B5EF4-FFF2-40B4-BE49-F238E27FC236}">
                <a16:creationId xmlns:a16="http://schemas.microsoft.com/office/drawing/2014/main" id="{C18345D2-6449-D1FB-5EB9-5D894A202463}"/>
              </a:ext>
            </a:extLst>
          </xdr:cNvPr>
          <xdr:cNvCxnSpPr>
            <a:stCxn id="68" idx="5"/>
            <a:endCxn id="70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Straight Arrow Connector 72">
            <a:extLst>
              <a:ext uri="{FF2B5EF4-FFF2-40B4-BE49-F238E27FC236}">
                <a16:creationId xmlns:a16="http://schemas.microsoft.com/office/drawing/2014/main" id="{83608F5E-EF15-0C39-3B0C-FB4015F4DF29}"/>
              </a:ext>
            </a:extLst>
          </xdr:cNvPr>
          <xdr:cNvCxnSpPr>
            <a:stCxn id="70" idx="6"/>
            <a:endCxn id="71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Straight Arrow Connector 73">
            <a:extLst>
              <a:ext uri="{FF2B5EF4-FFF2-40B4-BE49-F238E27FC236}">
                <a16:creationId xmlns:a16="http://schemas.microsoft.com/office/drawing/2014/main" id="{F7480CD1-5ABE-AE07-B677-50FFDF7363CD}"/>
              </a:ext>
            </a:extLst>
          </xdr:cNvPr>
          <xdr:cNvCxnSpPr>
            <a:stCxn id="71" idx="6"/>
            <a:endCxn id="69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2164080</xdr:colOff>
      <xdr:row>130</xdr:row>
      <xdr:rowOff>83820</xdr:rowOff>
    </xdr:from>
    <xdr:to>
      <xdr:col>27</xdr:col>
      <xdr:colOff>160020</xdr:colOff>
      <xdr:row>132</xdr:row>
      <xdr:rowOff>152400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E01F3EB5-B155-4889-B352-3331CACC9460}"/>
            </a:ext>
          </a:extLst>
        </xdr:cNvPr>
        <xdr:cNvGrpSpPr/>
      </xdr:nvGrpSpPr>
      <xdr:grpSpPr>
        <a:xfrm>
          <a:off x="24719280" y="27496770"/>
          <a:ext cx="5749290" cy="449580"/>
          <a:chOff x="16230227" y="28357759"/>
          <a:chExt cx="6391543" cy="672305"/>
        </a:xfrm>
      </xdr:grpSpPr>
      <xdr:cxnSp macro="">
        <xdr:nvCxnSpPr>
          <xdr:cNvPr id="76" name="Straight Arrow Connector 75">
            <a:extLst>
              <a:ext uri="{FF2B5EF4-FFF2-40B4-BE49-F238E27FC236}">
                <a16:creationId xmlns:a16="http://schemas.microsoft.com/office/drawing/2014/main" id="{DB42A38F-CD52-C9FE-0236-87B4798512C6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" name="Oval 76">
            <a:extLst>
              <a:ext uri="{FF2B5EF4-FFF2-40B4-BE49-F238E27FC236}">
                <a16:creationId xmlns:a16="http://schemas.microsoft.com/office/drawing/2014/main" id="{448AC666-E7D8-1CCE-C61D-1E26A27BAC17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78" name="Oval 77">
            <a:extLst>
              <a:ext uri="{FF2B5EF4-FFF2-40B4-BE49-F238E27FC236}">
                <a16:creationId xmlns:a16="http://schemas.microsoft.com/office/drawing/2014/main" id="{933786D6-0ACE-1249-36DF-700256AD2A2E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79" name="Oval 78">
            <a:extLst>
              <a:ext uri="{FF2B5EF4-FFF2-40B4-BE49-F238E27FC236}">
                <a16:creationId xmlns:a16="http://schemas.microsoft.com/office/drawing/2014/main" id="{A101C284-227A-4A9C-D2CF-298948CFC07F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0" name="Oval 79">
            <a:extLst>
              <a:ext uri="{FF2B5EF4-FFF2-40B4-BE49-F238E27FC236}">
                <a16:creationId xmlns:a16="http://schemas.microsoft.com/office/drawing/2014/main" id="{330128F7-5397-289F-6968-10FA7EAC97F1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81" name="Straight Arrow Connector 80">
            <a:extLst>
              <a:ext uri="{FF2B5EF4-FFF2-40B4-BE49-F238E27FC236}">
                <a16:creationId xmlns:a16="http://schemas.microsoft.com/office/drawing/2014/main" id="{542379D7-2578-5F0D-1103-904D14F99E76}"/>
              </a:ext>
            </a:extLst>
          </xdr:cNvPr>
          <xdr:cNvCxnSpPr>
            <a:stCxn id="77" idx="5"/>
            <a:endCxn id="79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Straight Arrow Connector 81">
            <a:extLst>
              <a:ext uri="{FF2B5EF4-FFF2-40B4-BE49-F238E27FC236}">
                <a16:creationId xmlns:a16="http://schemas.microsoft.com/office/drawing/2014/main" id="{040BCAD2-EF38-2162-3F24-5381AA111250}"/>
              </a:ext>
            </a:extLst>
          </xdr:cNvPr>
          <xdr:cNvCxnSpPr>
            <a:stCxn id="79" idx="6"/>
            <a:endCxn id="80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F2857E9A-7E4D-D29D-BE7B-39F53F0D43F8}"/>
              </a:ext>
            </a:extLst>
          </xdr:cNvPr>
          <xdr:cNvCxnSpPr>
            <a:stCxn id="80" idx="6"/>
            <a:endCxn id="78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2125980</xdr:colOff>
      <xdr:row>172</xdr:row>
      <xdr:rowOff>83820</xdr:rowOff>
    </xdr:from>
    <xdr:to>
      <xdr:col>27</xdr:col>
      <xdr:colOff>121920</xdr:colOff>
      <xdr:row>174</xdr:row>
      <xdr:rowOff>152400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34295056-012E-4F59-A0BA-700F72661E68}"/>
            </a:ext>
          </a:extLst>
        </xdr:cNvPr>
        <xdr:cNvGrpSpPr/>
      </xdr:nvGrpSpPr>
      <xdr:grpSpPr>
        <a:xfrm>
          <a:off x="24681180" y="37250370"/>
          <a:ext cx="5749290" cy="449580"/>
          <a:chOff x="16230227" y="28357759"/>
          <a:chExt cx="6391543" cy="672305"/>
        </a:xfrm>
      </xdr:grpSpPr>
      <xdr:cxnSp macro="">
        <xdr:nvCxnSpPr>
          <xdr:cNvPr id="85" name="Straight Arrow Connector 84">
            <a:extLst>
              <a:ext uri="{FF2B5EF4-FFF2-40B4-BE49-F238E27FC236}">
                <a16:creationId xmlns:a16="http://schemas.microsoft.com/office/drawing/2014/main" id="{2870D382-7CB8-C4EA-AA3D-C199FCE4FABA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6" name="Oval 85">
            <a:extLst>
              <a:ext uri="{FF2B5EF4-FFF2-40B4-BE49-F238E27FC236}">
                <a16:creationId xmlns:a16="http://schemas.microsoft.com/office/drawing/2014/main" id="{8ECBBB1F-1EAB-4715-4C4B-72C90495D042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7" name="Oval 86">
            <a:extLst>
              <a:ext uri="{FF2B5EF4-FFF2-40B4-BE49-F238E27FC236}">
                <a16:creationId xmlns:a16="http://schemas.microsoft.com/office/drawing/2014/main" id="{36017EA5-6C3B-30D2-CDC1-C35EAC0BA0C6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8" name="Oval 87">
            <a:extLst>
              <a:ext uri="{FF2B5EF4-FFF2-40B4-BE49-F238E27FC236}">
                <a16:creationId xmlns:a16="http://schemas.microsoft.com/office/drawing/2014/main" id="{35D261BA-4D09-FDD8-879A-7BF7564AD225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9" name="Oval 88">
            <a:extLst>
              <a:ext uri="{FF2B5EF4-FFF2-40B4-BE49-F238E27FC236}">
                <a16:creationId xmlns:a16="http://schemas.microsoft.com/office/drawing/2014/main" id="{62CF5A93-799B-684A-6B62-67B7B306BB00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90" name="Straight Arrow Connector 89">
            <a:extLst>
              <a:ext uri="{FF2B5EF4-FFF2-40B4-BE49-F238E27FC236}">
                <a16:creationId xmlns:a16="http://schemas.microsoft.com/office/drawing/2014/main" id="{0270B82B-C8CE-634B-AEAD-FA53F8E3B88B}"/>
              </a:ext>
            </a:extLst>
          </xdr:cNvPr>
          <xdr:cNvCxnSpPr>
            <a:stCxn id="86" idx="5"/>
            <a:endCxn id="88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Straight Arrow Connector 90">
            <a:extLst>
              <a:ext uri="{FF2B5EF4-FFF2-40B4-BE49-F238E27FC236}">
                <a16:creationId xmlns:a16="http://schemas.microsoft.com/office/drawing/2014/main" id="{C79A0C5E-C4A6-E8F5-2EAA-6EACF49A9D78}"/>
              </a:ext>
            </a:extLst>
          </xdr:cNvPr>
          <xdr:cNvCxnSpPr>
            <a:stCxn id="88" idx="6"/>
            <a:endCxn id="89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Straight Arrow Connector 91">
            <a:extLst>
              <a:ext uri="{FF2B5EF4-FFF2-40B4-BE49-F238E27FC236}">
                <a16:creationId xmlns:a16="http://schemas.microsoft.com/office/drawing/2014/main" id="{61E2B70E-2032-3EA8-15AD-AB540BC32400}"/>
              </a:ext>
            </a:extLst>
          </xdr:cNvPr>
          <xdr:cNvCxnSpPr>
            <a:stCxn id="89" idx="6"/>
            <a:endCxn id="87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2141220</xdr:colOff>
      <xdr:row>151</xdr:row>
      <xdr:rowOff>68580</xdr:rowOff>
    </xdr:from>
    <xdr:to>
      <xdr:col>27</xdr:col>
      <xdr:colOff>137160</xdr:colOff>
      <xdr:row>153</xdr:row>
      <xdr:rowOff>137160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FB82D537-F07F-4EBD-BB88-4F8DA9F5A451}"/>
            </a:ext>
          </a:extLst>
        </xdr:cNvPr>
        <xdr:cNvGrpSpPr/>
      </xdr:nvGrpSpPr>
      <xdr:grpSpPr>
        <a:xfrm>
          <a:off x="24696420" y="32301180"/>
          <a:ext cx="5749290" cy="449580"/>
          <a:chOff x="16230227" y="28357759"/>
          <a:chExt cx="6391543" cy="672305"/>
        </a:xfrm>
      </xdr:grpSpPr>
      <xdr:cxnSp macro="">
        <xdr:nvCxnSpPr>
          <xdr:cNvPr id="94" name="Straight Arrow Connector 93">
            <a:extLst>
              <a:ext uri="{FF2B5EF4-FFF2-40B4-BE49-F238E27FC236}">
                <a16:creationId xmlns:a16="http://schemas.microsoft.com/office/drawing/2014/main" id="{7418AB6F-0D0D-A8F0-3D2A-4DD58DCC2464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5" name="Oval 94">
            <a:extLst>
              <a:ext uri="{FF2B5EF4-FFF2-40B4-BE49-F238E27FC236}">
                <a16:creationId xmlns:a16="http://schemas.microsoft.com/office/drawing/2014/main" id="{3C484CEF-F6F6-48F6-D667-E5E97E348016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96" name="Oval 95">
            <a:extLst>
              <a:ext uri="{FF2B5EF4-FFF2-40B4-BE49-F238E27FC236}">
                <a16:creationId xmlns:a16="http://schemas.microsoft.com/office/drawing/2014/main" id="{8822B13C-FA74-4934-79E3-83C9FF5CF842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97" name="Oval 96">
            <a:extLst>
              <a:ext uri="{FF2B5EF4-FFF2-40B4-BE49-F238E27FC236}">
                <a16:creationId xmlns:a16="http://schemas.microsoft.com/office/drawing/2014/main" id="{49BDA5E2-6F64-AD0F-79D6-29ADB29F1663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98" name="Oval 97">
            <a:extLst>
              <a:ext uri="{FF2B5EF4-FFF2-40B4-BE49-F238E27FC236}">
                <a16:creationId xmlns:a16="http://schemas.microsoft.com/office/drawing/2014/main" id="{C70A726F-1683-B031-41E3-503A2EAD5BD7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99" name="Straight Arrow Connector 98">
            <a:extLst>
              <a:ext uri="{FF2B5EF4-FFF2-40B4-BE49-F238E27FC236}">
                <a16:creationId xmlns:a16="http://schemas.microsoft.com/office/drawing/2014/main" id="{7BC10E72-B2AB-B29C-AED8-47D392E37F42}"/>
              </a:ext>
            </a:extLst>
          </xdr:cNvPr>
          <xdr:cNvCxnSpPr>
            <a:stCxn id="95" idx="5"/>
            <a:endCxn id="97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Straight Arrow Connector 99">
            <a:extLst>
              <a:ext uri="{FF2B5EF4-FFF2-40B4-BE49-F238E27FC236}">
                <a16:creationId xmlns:a16="http://schemas.microsoft.com/office/drawing/2014/main" id="{98A8FE06-4780-FA20-9C95-BB571A14F698}"/>
              </a:ext>
            </a:extLst>
          </xdr:cNvPr>
          <xdr:cNvCxnSpPr>
            <a:stCxn id="97" idx="6"/>
            <a:endCxn id="98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Straight Arrow Connector 100">
            <a:extLst>
              <a:ext uri="{FF2B5EF4-FFF2-40B4-BE49-F238E27FC236}">
                <a16:creationId xmlns:a16="http://schemas.microsoft.com/office/drawing/2014/main" id="{EF0F8274-4DCD-00A9-2E3C-3D24B025E4CE}"/>
              </a:ext>
            </a:extLst>
          </xdr:cNvPr>
          <xdr:cNvCxnSpPr>
            <a:stCxn id="98" idx="6"/>
            <a:endCxn id="96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2141220</xdr:colOff>
      <xdr:row>214</xdr:row>
      <xdr:rowOff>91440</xdr:rowOff>
    </xdr:from>
    <xdr:to>
      <xdr:col>27</xdr:col>
      <xdr:colOff>137160</xdr:colOff>
      <xdr:row>216</xdr:row>
      <xdr:rowOff>160020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8E854EF0-45D4-4425-B56E-E9BF954F78D1}"/>
            </a:ext>
          </a:extLst>
        </xdr:cNvPr>
        <xdr:cNvGrpSpPr/>
      </xdr:nvGrpSpPr>
      <xdr:grpSpPr>
        <a:xfrm>
          <a:off x="24696420" y="47087790"/>
          <a:ext cx="5749290" cy="449580"/>
          <a:chOff x="16230227" y="28357759"/>
          <a:chExt cx="6391543" cy="672305"/>
        </a:xfrm>
      </xdr:grpSpPr>
      <xdr:cxnSp macro="">
        <xdr:nvCxnSpPr>
          <xdr:cNvPr id="103" name="Straight Arrow Connector 102">
            <a:extLst>
              <a:ext uri="{FF2B5EF4-FFF2-40B4-BE49-F238E27FC236}">
                <a16:creationId xmlns:a16="http://schemas.microsoft.com/office/drawing/2014/main" id="{2B74C7B4-8822-2775-0C8B-1A2D630CC239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4" name="Oval 103">
            <a:extLst>
              <a:ext uri="{FF2B5EF4-FFF2-40B4-BE49-F238E27FC236}">
                <a16:creationId xmlns:a16="http://schemas.microsoft.com/office/drawing/2014/main" id="{4E329E38-D6EE-98AA-707E-0590836CCF89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05" name="Oval 104">
            <a:extLst>
              <a:ext uri="{FF2B5EF4-FFF2-40B4-BE49-F238E27FC236}">
                <a16:creationId xmlns:a16="http://schemas.microsoft.com/office/drawing/2014/main" id="{8BF63D40-2BEC-AB3C-0A86-8A016F6B277C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06" name="Oval 105">
            <a:extLst>
              <a:ext uri="{FF2B5EF4-FFF2-40B4-BE49-F238E27FC236}">
                <a16:creationId xmlns:a16="http://schemas.microsoft.com/office/drawing/2014/main" id="{FEF0644B-1397-1F4B-99F5-20236BF8B761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07" name="Oval 106">
            <a:extLst>
              <a:ext uri="{FF2B5EF4-FFF2-40B4-BE49-F238E27FC236}">
                <a16:creationId xmlns:a16="http://schemas.microsoft.com/office/drawing/2014/main" id="{0E9A93AB-43B4-590C-35CD-C2B373B637BA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108" name="Straight Arrow Connector 107">
            <a:extLst>
              <a:ext uri="{FF2B5EF4-FFF2-40B4-BE49-F238E27FC236}">
                <a16:creationId xmlns:a16="http://schemas.microsoft.com/office/drawing/2014/main" id="{2AC94234-4238-0783-F888-5874FC5C39F2}"/>
              </a:ext>
            </a:extLst>
          </xdr:cNvPr>
          <xdr:cNvCxnSpPr>
            <a:stCxn id="104" idx="5"/>
            <a:endCxn id="106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Straight Arrow Connector 108">
            <a:extLst>
              <a:ext uri="{FF2B5EF4-FFF2-40B4-BE49-F238E27FC236}">
                <a16:creationId xmlns:a16="http://schemas.microsoft.com/office/drawing/2014/main" id="{F9E13FA1-363F-D432-CABB-3ECD685A62A4}"/>
              </a:ext>
            </a:extLst>
          </xdr:cNvPr>
          <xdr:cNvCxnSpPr>
            <a:stCxn id="106" idx="6"/>
            <a:endCxn id="107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Arrow Connector 109">
            <a:extLst>
              <a:ext uri="{FF2B5EF4-FFF2-40B4-BE49-F238E27FC236}">
                <a16:creationId xmlns:a16="http://schemas.microsoft.com/office/drawing/2014/main" id="{E044699C-0038-3758-4F33-DED3339502C6}"/>
              </a:ext>
            </a:extLst>
          </xdr:cNvPr>
          <xdr:cNvCxnSpPr>
            <a:stCxn id="107" idx="6"/>
            <a:endCxn id="105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2141220</xdr:colOff>
      <xdr:row>193</xdr:row>
      <xdr:rowOff>68580</xdr:rowOff>
    </xdr:from>
    <xdr:to>
      <xdr:col>27</xdr:col>
      <xdr:colOff>137160</xdr:colOff>
      <xdr:row>195</xdr:row>
      <xdr:rowOff>137160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3465A499-9BE0-4F8F-A1CD-2E9D78140851}"/>
            </a:ext>
          </a:extLst>
        </xdr:cNvPr>
        <xdr:cNvGrpSpPr/>
      </xdr:nvGrpSpPr>
      <xdr:grpSpPr>
        <a:xfrm>
          <a:off x="24696420" y="42207180"/>
          <a:ext cx="5749290" cy="449580"/>
          <a:chOff x="16230227" y="28357759"/>
          <a:chExt cx="6391543" cy="672305"/>
        </a:xfrm>
      </xdr:grpSpPr>
      <xdr:cxnSp macro="">
        <xdr:nvCxnSpPr>
          <xdr:cNvPr id="112" name="Straight Arrow Connector 111">
            <a:extLst>
              <a:ext uri="{FF2B5EF4-FFF2-40B4-BE49-F238E27FC236}">
                <a16:creationId xmlns:a16="http://schemas.microsoft.com/office/drawing/2014/main" id="{3DE79A29-C3A7-AD70-5DB4-05F6C731F407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" name="Oval 112">
            <a:extLst>
              <a:ext uri="{FF2B5EF4-FFF2-40B4-BE49-F238E27FC236}">
                <a16:creationId xmlns:a16="http://schemas.microsoft.com/office/drawing/2014/main" id="{5C49B774-2772-5F06-3BA2-DFF1ED8D5422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4" name="Oval 113">
            <a:extLst>
              <a:ext uri="{FF2B5EF4-FFF2-40B4-BE49-F238E27FC236}">
                <a16:creationId xmlns:a16="http://schemas.microsoft.com/office/drawing/2014/main" id="{1C538844-1839-7947-777B-FB0D7BE1ED9E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5" name="Oval 114">
            <a:extLst>
              <a:ext uri="{FF2B5EF4-FFF2-40B4-BE49-F238E27FC236}">
                <a16:creationId xmlns:a16="http://schemas.microsoft.com/office/drawing/2014/main" id="{CDBD6C82-FE2B-28C0-72B9-50B9DFA35CCA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6" name="Oval 115">
            <a:extLst>
              <a:ext uri="{FF2B5EF4-FFF2-40B4-BE49-F238E27FC236}">
                <a16:creationId xmlns:a16="http://schemas.microsoft.com/office/drawing/2014/main" id="{429EA245-A204-72E4-65BD-C395DC8EF096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117" name="Straight Arrow Connector 116">
            <a:extLst>
              <a:ext uri="{FF2B5EF4-FFF2-40B4-BE49-F238E27FC236}">
                <a16:creationId xmlns:a16="http://schemas.microsoft.com/office/drawing/2014/main" id="{85364808-033F-3308-A7AA-ED1E61C2E3B2}"/>
              </a:ext>
            </a:extLst>
          </xdr:cNvPr>
          <xdr:cNvCxnSpPr>
            <a:stCxn id="113" idx="5"/>
            <a:endCxn id="115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Straight Arrow Connector 117">
            <a:extLst>
              <a:ext uri="{FF2B5EF4-FFF2-40B4-BE49-F238E27FC236}">
                <a16:creationId xmlns:a16="http://schemas.microsoft.com/office/drawing/2014/main" id="{FBB9DAAC-0E36-22D6-335A-61748EEBB5DC}"/>
              </a:ext>
            </a:extLst>
          </xdr:cNvPr>
          <xdr:cNvCxnSpPr>
            <a:stCxn id="115" idx="6"/>
            <a:endCxn id="116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Straight Arrow Connector 118">
            <a:extLst>
              <a:ext uri="{FF2B5EF4-FFF2-40B4-BE49-F238E27FC236}">
                <a16:creationId xmlns:a16="http://schemas.microsoft.com/office/drawing/2014/main" id="{DE8B244A-02AC-2DFE-A8A5-1FA4E1ABBD9D}"/>
              </a:ext>
            </a:extLst>
          </xdr:cNvPr>
          <xdr:cNvCxnSpPr>
            <a:stCxn id="116" idx="6"/>
            <a:endCxn id="114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25</xdr:col>
      <xdr:colOff>88898</xdr:colOff>
      <xdr:row>73</xdr:row>
      <xdr:rowOff>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CA3A7BB6-CF73-4EFF-B95B-A36D3FAA80B8}"/>
                </a:ext>
              </a:extLst>
            </xdr:cNvPr>
            <xdr:cNvSpPr txBox="1"/>
          </xdr:nvSpPr>
          <xdr:spPr>
            <a:xfrm>
              <a:off x="26515058" y="144932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CA3A7BB6-CF73-4EFF-B95B-A36D3FAA80B8}"/>
                </a:ext>
              </a:extLst>
            </xdr:cNvPr>
            <xdr:cNvSpPr txBox="1"/>
          </xdr:nvSpPr>
          <xdr:spPr>
            <a:xfrm>
              <a:off x="26515058" y="144932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298.15𝐾^444.15𝐾▒〖−0.555+3.7003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25</xdr:col>
      <xdr:colOff>273472</xdr:colOff>
      <xdr:row>81</xdr:row>
      <xdr:rowOff>4233</xdr:rowOff>
    </xdr:from>
    <xdr:ext cx="550926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83BEEA4-E006-4711-8F01-D8D83AE7F711}"/>
                </a:ext>
              </a:extLst>
            </xdr:cNvPr>
            <xdr:cNvSpPr txBox="1"/>
          </xdr:nvSpPr>
          <xdr:spPr>
            <a:xfrm>
              <a:off x="26699632" y="1650153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23.111+1.2283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−3.1218×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+3.0714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83BEEA4-E006-4711-8F01-D8D83AE7F711}"/>
                </a:ext>
              </a:extLst>
            </xdr:cNvPr>
            <xdr:cNvSpPr txBox="1"/>
          </xdr:nvSpPr>
          <xdr:spPr>
            <a:xfrm>
              <a:off x="26699632" y="1650153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444.15𝐾^523.15𝐾▒〖23.111+1.2283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𝑇−3.1218×10^(−3)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+3.0714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25</xdr:col>
      <xdr:colOff>0</xdr:colOff>
      <xdr:row>94</xdr:row>
      <xdr:rowOff>33020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2F5A00D5-53BE-42E4-B27E-B02F3C3C485B}"/>
                </a:ext>
              </a:extLst>
            </xdr:cNvPr>
            <xdr:cNvSpPr txBox="1"/>
          </xdr:nvSpPr>
          <xdr:spPr>
            <a:xfrm>
              <a:off x="26426160" y="195402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2F5A00D5-53BE-42E4-B27E-B02F3C3C485B}"/>
                </a:ext>
              </a:extLst>
            </xdr:cNvPr>
            <xdr:cNvSpPr txBox="1"/>
          </xdr:nvSpPr>
          <xdr:spPr>
            <a:xfrm>
              <a:off x="26426160" y="195402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298.15𝐾^542.04𝐾▒〖−5.264+6.1929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25</xdr:col>
      <xdr:colOff>198967</xdr:colOff>
      <xdr:row>102</xdr:row>
      <xdr:rowOff>5927</xdr:rowOff>
    </xdr:from>
    <xdr:ext cx="5481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42328CCB-85EF-4B85-A1DA-B3E219FDC704}"/>
                </a:ext>
              </a:extLst>
            </xdr:cNvPr>
            <xdr:cNvSpPr txBox="1"/>
          </xdr:nvSpPr>
          <xdr:spPr>
            <a:xfrm>
              <a:off x="26625127" y="2150956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76.703+1.0821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−2.4860×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+2.2497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42328CCB-85EF-4B85-A1DA-B3E219FDC704}"/>
                </a:ext>
              </a:extLst>
            </xdr:cNvPr>
            <xdr:cNvSpPr txBox="1"/>
          </xdr:nvSpPr>
          <xdr:spPr>
            <a:xfrm>
              <a:off x="26625127" y="2150956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542.04𝐾^523.15𝐾▒〖76.703+1.0821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𝑇−2.4860×10^(−3)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+2.2497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25</xdr:col>
      <xdr:colOff>111760</xdr:colOff>
      <xdr:row>115</xdr:row>
      <xdr:rowOff>12701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4B86125C-76F1-4574-8698-347DB72EC1FA}"/>
                </a:ext>
              </a:extLst>
            </xdr:cNvPr>
            <xdr:cNvSpPr txBox="1"/>
          </xdr:nvSpPr>
          <xdr:spPr>
            <a:xfrm>
              <a:off x="26537920" y="2451100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37.730+4.9155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+3.5952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−8.2287×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+3.5374×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−10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4B86125C-76F1-4574-8698-347DB72EC1FA}"/>
                </a:ext>
              </a:extLst>
            </xdr:cNvPr>
            <xdr:cNvSpPr txBox="1"/>
          </xdr:nvSpPr>
          <xdr:spPr>
            <a:xfrm>
              <a:off x="26537920" y="2451100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298.15𝐾^608.55𝐾▒〖37.730+4.9155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+3.5952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𝑇^2−8.2287×10^(−7) 𝑇^3+3.5374×10^(−10)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25</xdr:col>
      <xdr:colOff>208279</xdr:colOff>
      <xdr:row>123</xdr:row>
      <xdr:rowOff>19473</xdr:rowOff>
    </xdr:from>
    <xdr:ext cx="5621867" cy="559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1502EF16-B978-40F0-9144-9951F22541A7}"/>
                </a:ext>
              </a:extLst>
            </xdr:cNvPr>
            <xdr:cNvSpPr txBox="1"/>
          </xdr:nvSpPr>
          <xdr:spPr>
            <a:xfrm>
              <a:off x="26634439" y="26552313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179.047+1.2436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−2.6631×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+2.3379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1502EF16-B978-40F0-9144-9951F22541A7}"/>
                </a:ext>
              </a:extLst>
            </xdr:cNvPr>
            <xdr:cNvSpPr txBox="1"/>
          </xdr:nvSpPr>
          <xdr:spPr>
            <a:xfrm>
              <a:off x="26634439" y="26552313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608.55𝐾^523.15𝐾▒〖179.047+1.2436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𝑇−2.6631×10^(−3)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+2.3379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25</xdr:col>
      <xdr:colOff>88898</xdr:colOff>
      <xdr:row>136</xdr:row>
      <xdr:rowOff>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48626D68-3811-4343-B365-A352CD1FA1A5}"/>
                </a:ext>
              </a:extLst>
            </xdr:cNvPr>
            <xdr:cNvSpPr txBox="1"/>
          </xdr:nvSpPr>
          <xdr:spPr>
            <a:xfrm>
              <a:off x="26515058" y="295656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48626D68-3811-4343-B365-A352CD1FA1A5}"/>
                </a:ext>
              </a:extLst>
            </xdr:cNvPr>
            <xdr:cNvSpPr txBox="1"/>
          </xdr:nvSpPr>
          <xdr:spPr>
            <a:xfrm>
              <a:off x="26515058" y="295656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298.15𝐾^444.15𝐾▒〖−0.555+3.7003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25</xdr:col>
      <xdr:colOff>273472</xdr:colOff>
      <xdr:row>144</xdr:row>
      <xdr:rowOff>42333</xdr:rowOff>
    </xdr:from>
    <xdr:ext cx="550926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D5F8BC67-AB4D-41B1-B74B-E26D96180FD9}"/>
                </a:ext>
              </a:extLst>
            </xdr:cNvPr>
            <xdr:cNvSpPr txBox="1"/>
          </xdr:nvSpPr>
          <xdr:spPr>
            <a:xfrm>
              <a:off x="26699632" y="3157389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23.111+1.2283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−3.1218×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+3.0714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D5F8BC67-AB4D-41B1-B74B-E26D96180FD9}"/>
                </a:ext>
              </a:extLst>
            </xdr:cNvPr>
            <xdr:cNvSpPr txBox="1"/>
          </xdr:nvSpPr>
          <xdr:spPr>
            <a:xfrm>
              <a:off x="26699632" y="3157389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444.15𝐾^542.15𝐾▒〖23.111+1.2283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𝑇−3.1218×10^(−3)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+3.0714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25</xdr:col>
      <xdr:colOff>30480</xdr:colOff>
      <xdr:row>157</xdr:row>
      <xdr:rowOff>25400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FBACBDE4-8151-4AF0-A6D2-7A86CA9F5C34}"/>
                </a:ext>
              </a:extLst>
            </xdr:cNvPr>
            <xdr:cNvSpPr txBox="1"/>
          </xdr:nvSpPr>
          <xdr:spPr>
            <a:xfrm>
              <a:off x="26456640" y="345668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FBACBDE4-8151-4AF0-A6D2-7A86CA9F5C34}"/>
                </a:ext>
              </a:extLst>
            </xdr:cNvPr>
            <xdr:cNvSpPr txBox="1"/>
          </xdr:nvSpPr>
          <xdr:spPr>
            <a:xfrm>
              <a:off x="26456640" y="345668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298.15𝐾^542.04𝐾▒〖−5.264+6.1929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25</xdr:col>
      <xdr:colOff>168487</xdr:colOff>
      <xdr:row>165</xdr:row>
      <xdr:rowOff>36407</xdr:rowOff>
    </xdr:from>
    <xdr:ext cx="5481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885D1148-88CA-48C3-A48C-F21C16F1E05A}"/>
                </a:ext>
              </a:extLst>
            </xdr:cNvPr>
            <xdr:cNvSpPr txBox="1"/>
          </xdr:nvSpPr>
          <xdr:spPr>
            <a:xfrm>
              <a:off x="26594647" y="3662002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76.703+1.0821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−2.4860×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+2.2497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885D1148-88CA-48C3-A48C-F21C16F1E05A}"/>
                </a:ext>
              </a:extLst>
            </xdr:cNvPr>
            <xdr:cNvSpPr txBox="1"/>
          </xdr:nvSpPr>
          <xdr:spPr>
            <a:xfrm>
              <a:off x="26594647" y="3662002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542.04𝐾^542.15𝐾▒〖76.703+1.0821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𝑇−2.4860×10^(−3)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+2.2497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25</xdr:col>
      <xdr:colOff>104140</xdr:colOff>
      <xdr:row>178</xdr:row>
      <xdr:rowOff>27941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212958AE-A25D-480C-99E1-EC1D47328E9E}"/>
                </a:ext>
              </a:extLst>
            </xdr:cNvPr>
            <xdr:cNvSpPr txBox="1"/>
          </xdr:nvSpPr>
          <xdr:spPr>
            <a:xfrm>
              <a:off x="26530300" y="3965194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37.730+4.9155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+3.5952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−8.2287×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+3.5374×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−10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212958AE-A25D-480C-99E1-EC1D47328E9E}"/>
                </a:ext>
              </a:extLst>
            </xdr:cNvPr>
            <xdr:cNvSpPr txBox="1"/>
          </xdr:nvSpPr>
          <xdr:spPr>
            <a:xfrm>
              <a:off x="26530300" y="3965194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298.15𝐾^608.55𝐾▒〖37.730+4.9155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+3.5952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𝑇^2−8.2287×10^(−7) 𝑇^3+3.5374×10^(−10)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25</xdr:col>
      <xdr:colOff>200659</xdr:colOff>
      <xdr:row>186</xdr:row>
      <xdr:rowOff>49953</xdr:rowOff>
    </xdr:from>
    <xdr:ext cx="5621867" cy="559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92BCAC65-2FB3-4A08-9219-B6F7FF7927CC}"/>
                </a:ext>
              </a:extLst>
            </xdr:cNvPr>
            <xdr:cNvSpPr txBox="1"/>
          </xdr:nvSpPr>
          <xdr:spPr>
            <a:xfrm>
              <a:off x="26626819" y="41693253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179.047+1.2436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−2.6631×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+2.3379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92BCAC65-2FB3-4A08-9219-B6F7FF7927CC}"/>
                </a:ext>
              </a:extLst>
            </xdr:cNvPr>
            <xdr:cNvSpPr txBox="1"/>
          </xdr:nvSpPr>
          <xdr:spPr>
            <a:xfrm>
              <a:off x="26626819" y="41693253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608.55𝐾^542.15𝐾▒〖179.047+1.2436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𝑇−2.6631×10^(−3)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+2.3379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25</xdr:col>
      <xdr:colOff>0</xdr:colOff>
      <xdr:row>199</xdr:row>
      <xdr:rowOff>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5F506E75-22AC-4A62-BB58-E98EDB7B6B3F}"/>
                </a:ext>
              </a:extLst>
            </xdr:cNvPr>
            <xdr:cNvSpPr txBox="1"/>
          </xdr:nvSpPr>
          <xdr:spPr>
            <a:xfrm>
              <a:off x="26426160" y="447370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5F506E75-22AC-4A62-BB58-E98EDB7B6B3F}"/>
                </a:ext>
              </a:extLst>
            </xdr:cNvPr>
            <xdr:cNvSpPr txBox="1"/>
          </xdr:nvSpPr>
          <xdr:spPr>
            <a:xfrm>
              <a:off x="26426160" y="447370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298.15𝐾^542.04𝐾▒〖−5.264+6.1929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25</xdr:col>
      <xdr:colOff>138007</xdr:colOff>
      <xdr:row>207</xdr:row>
      <xdr:rowOff>26247</xdr:rowOff>
    </xdr:from>
    <xdr:ext cx="5481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61C9F1C4-743D-4E58-A5DD-64EFF439C62B}"/>
                </a:ext>
              </a:extLst>
            </xdr:cNvPr>
            <xdr:cNvSpPr txBox="1"/>
          </xdr:nvSpPr>
          <xdr:spPr>
            <a:xfrm>
              <a:off x="26564167" y="4675970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608.15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76.703+1.0821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−2.4860×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+2.2497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61C9F1C4-743D-4E58-A5DD-64EFF439C62B}"/>
                </a:ext>
              </a:extLst>
            </xdr:cNvPr>
            <xdr:cNvSpPr txBox="1"/>
          </xdr:nvSpPr>
          <xdr:spPr>
            <a:xfrm>
              <a:off x="26564167" y="4675970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542.04𝐾^608.15𝐾▒〖76.703+1.0821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𝑇−2.4860×10^(−3)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+2.2497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25</xdr:col>
      <xdr:colOff>66040</xdr:colOff>
      <xdr:row>220</xdr:row>
      <xdr:rowOff>17781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381C449D-EB45-4EFE-8699-4966C4AD73EF}"/>
                </a:ext>
              </a:extLst>
            </xdr:cNvPr>
            <xdr:cNvSpPr txBox="1"/>
          </xdr:nvSpPr>
          <xdr:spPr>
            <a:xfrm>
              <a:off x="26492200" y="4976114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37.730+4.9155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+3.5952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−8.2287×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+3.5374×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−10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381C449D-EB45-4EFE-8699-4966C4AD73EF}"/>
                </a:ext>
              </a:extLst>
            </xdr:cNvPr>
            <xdr:cNvSpPr txBox="1"/>
          </xdr:nvSpPr>
          <xdr:spPr>
            <a:xfrm>
              <a:off x="26492200" y="49761141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298.15𝐾^608.55𝐾▒〖37.730+4.9155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+3.5952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𝑇^2−8.2287×10^(−7) 𝑇^3+3.5374×10^(−10)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25</xdr:col>
      <xdr:colOff>154939</xdr:colOff>
      <xdr:row>228</xdr:row>
      <xdr:rowOff>24553</xdr:rowOff>
    </xdr:from>
    <xdr:ext cx="5621867" cy="559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40A3BCFB-05F5-4D80-90B2-108D8ACB3661}"/>
                </a:ext>
              </a:extLst>
            </xdr:cNvPr>
            <xdr:cNvSpPr txBox="1"/>
          </xdr:nvSpPr>
          <xdr:spPr>
            <a:xfrm>
              <a:off x="26581099" y="51802453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08.55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608.15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179.047+1.2436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−2.6631×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+2.3379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40A3BCFB-05F5-4D80-90B2-108D8ACB3661}"/>
                </a:ext>
              </a:extLst>
            </xdr:cNvPr>
            <xdr:cNvSpPr txBox="1"/>
          </xdr:nvSpPr>
          <xdr:spPr>
            <a:xfrm>
              <a:off x="26581099" y="51802453"/>
              <a:ext cx="5621867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608.55𝐾^608.15𝐾▒〖179.047+1.2436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𝑇−2.6631×10^(−3)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+2.3379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20</xdr:row>
      <xdr:rowOff>106680</xdr:rowOff>
    </xdr:from>
    <xdr:ext cx="3305175" cy="1743075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FA04A355-2AAD-44BD-874F-D35D597E19FF}"/>
            </a:ext>
          </a:extLst>
        </xdr:cNvPr>
        <xdr:cNvSpPr/>
      </xdr:nvSpPr>
      <xdr:spPr>
        <a:xfrm>
          <a:off x="5433060" y="4069080"/>
          <a:ext cx="3305175" cy="174307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300" b="1">
              <a:latin typeface="Times New Roman"/>
              <a:ea typeface="Times New Roman"/>
              <a:cs typeface="Times New Roman"/>
              <a:sym typeface="Times New Roman"/>
            </a:rPr>
            <a:t>Cooler 2</a:t>
          </a:r>
          <a:endParaRPr sz="23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twoCellAnchor>
    <xdr:from>
      <xdr:col>9</xdr:col>
      <xdr:colOff>699135</xdr:colOff>
      <xdr:row>24</xdr:row>
      <xdr:rowOff>180975</xdr:rowOff>
    </xdr:from>
    <xdr:to>
      <xdr:col>15</xdr:col>
      <xdr:colOff>160020</xdr:colOff>
      <xdr:row>24</xdr:row>
      <xdr:rowOff>185738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837396C-6751-44AF-86C3-32AF57347990}"/>
            </a:ext>
          </a:extLst>
        </xdr:cNvPr>
        <xdr:cNvCxnSpPr>
          <a:stCxn id="20" idx="3"/>
        </xdr:cNvCxnSpPr>
      </xdr:nvCxnSpPr>
      <xdr:spPr>
        <a:xfrm flipV="1">
          <a:off x="8738235" y="4935855"/>
          <a:ext cx="4947285" cy="4763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708660</xdr:colOff>
      <xdr:row>24</xdr:row>
      <xdr:rowOff>173355</xdr:rowOff>
    </xdr:from>
    <xdr:to>
      <xdr:col>6</xdr:col>
      <xdr:colOff>0</xdr:colOff>
      <xdr:row>24</xdr:row>
      <xdr:rowOff>185738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7B663CF-9003-4B7B-A30D-AE23EB3EFF51}"/>
            </a:ext>
          </a:extLst>
        </xdr:cNvPr>
        <xdr:cNvCxnSpPr>
          <a:endCxn id="20" idx="1"/>
        </xdr:cNvCxnSpPr>
      </xdr:nvCxnSpPr>
      <xdr:spPr>
        <a:xfrm>
          <a:off x="708660" y="4928235"/>
          <a:ext cx="4724400" cy="12383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2080260</xdr:colOff>
      <xdr:row>45</xdr:row>
      <xdr:rowOff>83820</xdr:rowOff>
    </xdr:from>
    <xdr:to>
      <xdr:col>22</xdr:col>
      <xdr:colOff>83820</xdr:colOff>
      <xdr:row>45</xdr:row>
      <xdr:rowOff>137160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BB6CDD17-D71B-41EA-8095-C17FE8528D83}"/>
            </a:ext>
          </a:extLst>
        </xdr:cNvPr>
        <xdr:cNvGrpSpPr/>
      </xdr:nvGrpSpPr>
      <xdr:grpSpPr>
        <a:xfrm>
          <a:off x="20698460" y="9227820"/>
          <a:ext cx="3909060" cy="53340"/>
          <a:chOff x="19791381" y="19457893"/>
          <a:chExt cx="2970025" cy="71719"/>
        </a:xfrm>
      </xdr:grpSpPr>
      <xdr:cxnSp macro="">
        <xdr:nvCxnSpPr>
          <xdr:cNvPr id="28" name="Straight Arrow Connector 27">
            <a:extLst>
              <a:ext uri="{FF2B5EF4-FFF2-40B4-BE49-F238E27FC236}">
                <a16:creationId xmlns:a16="http://schemas.microsoft.com/office/drawing/2014/main" id="{B7AF4472-FB16-788E-377F-E8E623ECCA79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8DDBA3E2-1C24-5267-92B9-D18F16CC40A6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7C4726DE-FA89-ACFA-B9B5-6C53DCCF6AB2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19</xdr:col>
      <xdr:colOff>2072640</xdr:colOff>
      <xdr:row>52</xdr:row>
      <xdr:rowOff>76200</xdr:rowOff>
    </xdr:from>
    <xdr:to>
      <xdr:col>22</xdr:col>
      <xdr:colOff>160020</xdr:colOff>
      <xdr:row>52</xdr:row>
      <xdr:rowOff>167640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5D1031E-739C-4E0A-BD68-97C7CE27FC22}"/>
            </a:ext>
          </a:extLst>
        </xdr:cNvPr>
        <xdr:cNvGrpSpPr/>
      </xdr:nvGrpSpPr>
      <xdr:grpSpPr>
        <a:xfrm>
          <a:off x="20690840" y="11112500"/>
          <a:ext cx="3992880" cy="91440"/>
          <a:chOff x="19791381" y="19457893"/>
          <a:chExt cx="2970025" cy="71719"/>
        </a:xfrm>
      </xdr:grpSpPr>
      <xdr:cxnSp macro="">
        <xdr:nvCxnSpPr>
          <xdr:cNvPr id="32" name="Straight Arrow Connector 31">
            <a:extLst>
              <a:ext uri="{FF2B5EF4-FFF2-40B4-BE49-F238E27FC236}">
                <a16:creationId xmlns:a16="http://schemas.microsoft.com/office/drawing/2014/main" id="{2A14127C-A57D-15BC-68E8-34F7B33049B2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" name="Oval 32">
            <a:extLst>
              <a:ext uri="{FF2B5EF4-FFF2-40B4-BE49-F238E27FC236}">
                <a16:creationId xmlns:a16="http://schemas.microsoft.com/office/drawing/2014/main" id="{3D8F92BC-1D67-95FF-98C8-4FE95DB5324A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F840166C-AA65-CF72-435C-1AD436889C10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19</xdr:col>
      <xdr:colOff>2186940</xdr:colOff>
      <xdr:row>59</xdr:row>
      <xdr:rowOff>91440</xdr:rowOff>
    </xdr:from>
    <xdr:to>
      <xdr:col>22</xdr:col>
      <xdr:colOff>60960</xdr:colOff>
      <xdr:row>59</xdr:row>
      <xdr:rowOff>137160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2A76F6BE-345A-4846-BF4C-688A7554C2DF}"/>
            </a:ext>
          </a:extLst>
        </xdr:cNvPr>
        <xdr:cNvGrpSpPr/>
      </xdr:nvGrpSpPr>
      <xdr:grpSpPr>
        <a:xfrm>
          <a:off x="20805140" y="13020040"/>
          <a:ext cx="3779520" cy="45720"/>
          <a:chOff x="19791381" y="19457893"/>
          <a:chExt cx="2970025" cy="71719"/>
        </a:xfrm>
      </xdr:grpSpPr>
      <xdr:cxnSp macro="">
        <xdr:nvCxnSpPr>
          <xdr:cNvPr id="36" name="Straight Arrow Connector 35">
            <a:extLst>
              <a:ext uri="{FF2B5EF4-FFF2-40B4-BE49-F238E27FC236}">
                <a16:creationId xmlns:a16="http://schemas.microsoft.com/office/drawing/2014/main" id="{03EA625C-3E22-AF3F-7E75-7A965B6D57F5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55ABCC7E-5479-4DC5-CBDE-12842DCEF764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83AC3F-6E6E-A8E4-94EC-740A9497FEFD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19</xdr:col>
      <xdr:colOff>2026920</xdr:colOff>
      <xdr:row>66</xdr:row>
      <xdr:rowOff>76200</xdr:rowOff>
    </xdr:from>
    <xdr:to>
      <xdr:col>23</xdr:col>
      <xdr:colOff>228600</xdr:colOff>
      <xdr:row>68</xdr:row>
      <xdr:rowOff>144780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143073E1-1D55-4C79-BF7D-CCC4A0FD1506}"/>
            </a:ext>
          </a:extLst>
        </xdr:cNvPr>
        <xdr:cNvGrpSpPr/>
      </xdr:nvGrpSpPr>
      <xdr:grpSpPr>
        <a:xfrm>
          <a:off x="20645120" y="14897100"/>
          <a:ext cx="5961380" cy="474980"/>
          <a:chOff x="16230227" y="28357759"/>
          <a:chExt cx="6391543" cy="672305"/>
        </a:xfrm>
      </xdr:grpSpPr>
      <xdr:cxnSp macro="">
        <xdr:nvCxnSpPr>
          <xdr:cNvPr id="40" name="Straight Arrow Connector 39">
            <a:extLst>
              <a:ext uri="{FF2B5EF4-FFF2-40B4-BE49-F238E27FC236}">
                <a16:creationId xmlns:a16="http://schemas.microsoft.com/office/drawing/2014/main" id="{A6E3EF02-8765-06A6-3EF6-4BB3CC8A397E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C13F6A20-C669-497A-4BE5-5D7F344E67A3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2" name="Oval 41">
            <a:extLst>
              <a:ext uri="{FF2B5EF4-FFF2-40B4-BE49-F238E27FC236}">
                <a16:creationId xmlns:a16="http://schemas.microsoft.com/office/drawing/2014/main" id="{8DCAC617-B9B1-6E19-51C4-1599C0214EB5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3" name="Oval 42">
            <a:extLst>
              <a:ext uri="{FF2B5EF4-FFF2-40B4-BE49-F238E27FC236}">
                <a16:creationId xmlns:a16="http://schemas.microsoft.com/office/drawing/2014/main" id="{F3D1D8FE-6E91-4D00-A865-050D51033F14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4" name="Oval 43">
            <a:extLst>
              <a:ext uri="{FF2B5EF4-FFF2-40B4-BE49-F238E27FC236}">
                <a16:creationId xmlns:a16="http://schemas.microsoft.com/office/drawing/2014/main" id="{42CA63E8-1EC6-7E36-F206-C009FEFA8359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45" name="Straight Arrow Connector 44">
            <a:extLst>
              <a:ext uri="{FF2B5EF4-FFF2-40B4-BE49-F238E27FC236}">
                <a16:creationId xmlns:a16="http://schemas.microsoft.com/office/drawing/2014/main" id="{6DAC33B9-C196-7C85-BD26-A4981779DBF9}"/>
              </a:ext>
            </a:extLst>
          </xdr:cNvPr>
          <xdr:cNvCxnSpPr>
            <a:stCxn id="41" idx="5"/>
            <a:endCxn id="43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Straight Arrow Connector 45">
            <a:extLst>
              <a:ext uri="{FF2B5EF4-FFF2-40B4-BE49-F238E27FC236}">
                <a16:creationId xmlns:a16="http://schemas.microsoft.com/office/drawing/2014/main" id="{822B022E-0544-2D01-549E-0AF67A9A00FA}"/>
              </a:ext>
            </a:extLst>
          </xdr:cNvPr>
          <xdr:cNvCxnSpPr>
            <a:stCxn id="43" idx="6"/>
            <a:endCxn id="44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Straight Arrow Connector 46">
            <a:extLst>
              <a:ext uri="{FF2B5EF4-FFF2-40B4-BE49-F238E27FC236}">
                <a16:creationId xmlns:a16="http://schemas.microsoft.com/office/drawing/2014/main" id="{10703DA8-B319-2E78-C8FC-B91801A11914}"/>
              </a:ext>
            </a:extLst>
          </xdr:cNvPr>
          <xdr:cNvCxnSpPr>
            <a:stCxn id="44" idx="6"/>
            <a:endCxn id="42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2133600</xdr:colOff>
      <xdr:row>108</xdr:row>
      <xdr:rowOff>68580</xdr:rowOff>
    </xdr:from>
    <xdr:to>
      <xdr:col>23</xdr:col>
      <xdr:colOff>144780</xdr:colOff>
      <xdr:row>110</xdr:row>
      <xdr:rowOff>137160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9D24EB5C-DDB4-4C34-8ADE-C8BE438FDA5E}"/>
            </a:ext>
          </a:extLst>
        </xdr:cNvPr>
        <xdr:cNvGrpSpPr/>
      </xdr:nvGrpSpPr>
      <xdr:grpSpPr>
        <a:xfrm>
          <a:off x="20751800" y="25265380"/>
          <a:ext cx="5770880" cy="474980"/>
          <a:chOff x="16230227" y="28357759"/>
          <a:chExt cx="6391543" cy="672305"/>
        </a:xfrm>
      </xdr:grpSpPr>
      <xdr:cxnSp macro="">
        <xdr:nvCxnSpPr>
          <xdr:cNvPr id="49" name="Straight Arrow Connector 48">
            <a:extLst>
              <a:ext uri="{FF2B5EF4-FFF2-40B4-BE49-F238E27FC236}">
                <a16:creationId xmlns:a16="http://schemas.microsoft.com/office/drawing/2014/main" id="{3C6AD0DC-F135-EBFA-5BBC-35C3B5053617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" name="Oval 49">
            <a:extLst>
              <a:ext uri="{FF2B5EF4-FFF2-40B4-BE49-F238E27FC236}">
                <a16:creationId xmlns:a16="http://schemas.microsoft.com/office/drawing/2014/main" id="{9CD79E4A-50DB-4A0F-6921-C063A28896AC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1" name="Oval 50">
            <a:extLst>
              <a:ext uri="{FF2B5EF4-FFF2-40B4-BE49-F238E27FC236}">
                <a16:creationId xmlns:a16="http://schemas.microsoft.com/office/drawing/2014/main" id="{C57F7049-3124-FAEE-64AF-64CBD5C1AED4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2" name="Oval 51">
            <a:extLst>
              <a:ext uri="{FF2B5EF4-FFF2-40B4-BE49-F238E27FC236}">
                <a16:creationId xmlns:a16="http://schemas.microsoft.com/office/drawing/2014/main" id="{D97EC9E0-E0EE-56C2-0802-1F38094A2FC5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3" name="Oval 52">
            <a:extLst>
              <a:ext uri="{FF2B5EF4-FFF2-40B4-BE49-F238E27FC236}">
                <a16:creationId xmlns:a16="http://schemas.microsoft.com/office/drawing/2014/main" id="{7CC6D4FF-C651-D541-FC91-F87717AFB7C6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54" name="Straight Arrow Connector 53">
            <a:extLst>
              <a:ext uri="{FF2B5EF4-FFF2-40B4-BE49-F238E27FC236}">
                <a16:creationId xmlns:a16="http://schemas.microsoft.com/office/drawing/2014/main" id="{3A70E297-7FB9-43C4-BFEA-F99BDC0C7E90}"/>
              </a:ext>
            </a:extLst>
          </xdr:cNvPr>
          <xdr:cNvCxnSpPr>
            <a:stCxn id="50" idx="5"/>
            <a:endCxn id="52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Straight Arrow Connector 54">
            <a:extLst>
              <a:ext uri="{FF2B5EF4-FFF2-40B4-BE49-F238E27FC236}">
                <a16:creationId xmlns:a16="http://schemas.microsoft.com/office/drawing/2014/main" id="{F2E3D40D-EE6E-DC98-1766-07138F825CCF}"/>
              </a:ext>
            </a:extLst>
          </xdr:cNvPr>
          <xdr:cNvCxnSpPr>
            <a:stCxn id="52" idx="6"/>
            <a:endCxn id="53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Straight Arrow Connector 55">
            <a:extLst>
              <a:ext uri="{FF2B5EF4-FFF2-40B4-BE49-F238E27FC236}">
                <a16:creationId xmlns:a16="http://schemas.microsoft.com/office/drawing/2014/main" id="{3217A3D5-3719-E80E-F4D2-2B1C014285D2}"/>
              </a:ext>
            </a:extLst>
          </xdr:cNvPr>
          <xdr:cNvCxnSpPr>
            <a:stCxn id="53" idx="6"/>
            <a:endCxn id="51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2186940</xdr:colOff>
      <xdr:row>87</xdr:row>
      <xdr:rowOff>83820</xdr:rowOff>
    </xdr:from>
    <xdr:to>
      <xdr:col>23</xdr:col>
      <xdr:colOff>198120</xdr:colOff>
      <xdr:row>89</xdr:row>
      <xdr:rowOff>152400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78C3D6A6-07DE-4B04-919B-F8DB6CFCFF09}"/>
            </a:ext>
          </a:extLst>
        </xdr:cNvPr>
        <xdr:cNvGrpSpPr/>
      </xdr:nvGrpSpPr>
      <xdr:grpSpPr>
        <a:xfrm>
          <a:off x="20805140" y="20060920"/>
          <a:ext cx="5770880" cy="474980"/>
          <a:chOff x="16230227" y="28357759"/>
          <a:chExt cx="6391543" cy="672305"/>
        </a:xfrm>
      </xdr:grpSpPr>
      <xdr:cxnSp macro="">
        <xdr:nvCxnSpPr>
          <xdr:cNvPr id="59" name="Straight Arrow Connector 58">
            <a:extLst>
              <a:ext uri="{FF2B5EF4-FFF2-40B4-BE49-F238E27FC236}">
                <a16:creationId xmlns:a16="http://schemas.microsoft.com/office/drawing/2014/main" id="{D9404868-8E52-717D-1465-2D51FFEEACE9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0" name="Oval 59">
            <a:extLst>
              <a:ext uri="{FF2B5EF4-FFF2-40B4-BE49-F238E27FC236}">
                <a16:creationId xmlns:a16="http://schemas.microsoft.com/office/drawing/2014/main" id="{EDD55D7D-A586-BEE0-D6E7-91722BB5F44C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1" name="Oval 60">
            <a:extLst>
              <a:ext uri="{FF2B5EF4-FFF2-40B4-BE49-F238E27FC236}">
                <a16:creationId xmlns:a16="http://schemas.microsoft.com/office/drawing/2014/main" id="{32DE33C9-A37A-8F2C-CA1F-C4F3E195464B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2" name="Oval 61">
            <a:extLst>
              <a:ext uri="{FF2B5EF4-FFF2-40B4-BE49-F238E27FC236}">
                <a16:creationId xmlns:a16="http://schemas.microsoft.com/office/drawing/2014/main" id="{B95A6703-B1EB-23F7-6CD0-D009241D6EA3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3" name="Oval 62">
            <a:extLst>
              <a:ext uri="{FF2B5EF4-FFF2-40B4-BE49-F238E27FC236}">
                <a16:creationId xmlns:a16="http://schemas.microsoft.com/office/drawing/2014/main" id="{97ECBA52-5A5C-C4BC-6419-4B5F2C52453F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64" name="Straight Arrow Connector 63">
            <a:extLst>
              <a:ext uri="{FF2B5EF4-FFF2-40B4-BE49-F238E27FC236}">
                <a16:creationId xmlns:a16="http://schemas.microsoft.com/office/drawing/2014/main" id="{FDF9F914-E889-2D52-E5E5-BD35A3F3332E}"/>
              </a:ext>
            </a:extLst>
          </xdr:cNvPr>
          <xdr:cNvCxnSpPr>
            <a:stCxn id="60" idx="5"/>
            <a:endCxn id="62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Straight Arrow Connector 64">
            <a:extLst>
              <a:ext uri="{FF2B5EF4-FFF2-40B4-BE49-F238E27FC236}">
                <a16:creationId xmlns:a16="http://schemas.microsoft.com/office/drawing/2014/main" id="{F93BC21E-D71F-8A9C-C308-503C6A1064C3}"/>
              </a:ext>
            </a:extLst>
          </xdr:cNvPr>
          <xdr:cNvCxnSpPr>
            <a:stCxn id="62" idx="6"/>
            <a:endCxn id="63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Straight Arrow Connector 65">
            <a:extLst>
              <a:ext uri="{FF2B5EF4-FFF2-40B4-BE49-F238E27FC236}">
                <a16:creationId xmlns:a16="http://schemas.microsoft.com/office/drawing/2014/main" id="{EEDE04E3-16A2-50A9-A150-404D8DFD73F1}"/>
              </a:ext>
            </a:extLst>
          </xdr:cNvPr>
          <xdr:cNvCxnSpPr>
            <a:stCxn id="63" idx="6"/>
            <a:endCxn id="61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20</xdr:col>
      <xdr:colOff>1797473</xdr:colOff>
      <xdr:row>48</xdr:row>
      <xdr:rowOff>45720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EA6830AA-0499-41AA-B1C8-BA960F0F844C}"/>
                </a:ext>
              </a:extLst>
            </xdr:cNvPr>
            <xdr:cNvSpPr txBox="1"/>
          </xdr:nvSpPr>
          <xdr:spPr>
            <a:xfrm>
              <a:off x="22478153" y="95554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EA6830AA-0499-41AA-B1C8-BA960F0F844C}"/>
                </a:ext>
              </a:extLst>
            </xdr:cNvPr>
            <xdr:cNvSpPr txBox="1"/>
          </xdr:nvSpPr>
          <xdr:spPr>
            <a:xfrm>
              <a:off x="22478153" y="95554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298.15𝐾^443.15𝐾▒〖30.827−7.6041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67733</xdr:colOff>
      <xdr:row>55</xdr:row>
      <xdr:rowOff>38100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419EAD49-E19E-4A41-BF19-310A6915826A}"/>
                </a:ext>
              </a:extLst>
            </xdr:cNvPr>
            <xdr:cNvSpPr txBox="1"/>
          </xdr:nvSpPr>
          <xdr:spPr>
            <a:xfrm>
              <a:off x="22569593" y="114071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419EAD49-E19E-4A41-BF19-310A6915826A}"/>
                </a:ext>
              </a:extLst>
            </xdr:cNvPr>
            <xdr:cNvSpPr txBox="1"/>
          </xdr:nvSpPr>
          <xdr:spPr>
            <a:xfrm>
              <a:off x="22569593" y="114071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298.15𝐾^443.15𝐾▒〖−0.555+3.7003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123615</xdr:colOff>
      <xdr:row>62</xdr:row>
      <xdr:rowOff>33020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E5437141-FB41-4E5B-B6E3-3D59539DA2B1}"/>
                </a:ext>
              </a:extLst>
            </xdr:cNvPr>
            <xdr:cNvSpPr txBox="1"/>
          </xdr:nvSpPr>
          <xdr:spPr>
            <a:xfrm>
              <a:off x="22625475" y="132613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E5437141-FB41-4E5B-B6E3-3D59539DA2B1}"/>
                </a:ext>
              </a:extLst>
            </xdr:cNvPr>
            <xdr:cNvSpPr txBox="1"/>
          </xdr:nvSpPr>
          <xdr:spPr>
            <a:xfrm>
              <a:off x="22625475" y="132613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298.15𝐾^443.15𝐾▒〖−5.264+6.1929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113453</xdr:colOff>
      <xdr:row>72</xdr:row>
      <xdr:rowOff>15240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E1FFBCBF-72D3-47B1-8CAD-60FA82782621}"/>
                </a:ext>
              </a:extLst>
            </xdr:cNvPr>
            <xdr:cNvSpPr txBox="1"/>
          </xdr:nvSpPr>
          <xdr:spPr>
            <a:xfrm>
              <a:off x="22615313" y="157048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E1FFBCBF-72D3-47B1-8CAD-60FA82782621}"/>
                </a:ext>
              </a:extLst>
            </xdr:cNvPr>
            <xdr:cNvSpPr txBox="1"/>
          </xdr:nvSpPr>
          <xdr:spPr>
            <a:xfrm>
              <a:off x="22615313" y="157048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298.15𝐾^283.85𝐾▒〖30.827−7.6041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243840</xdr:colOff>
      <xdr:row>80</xdr:row>
      <xdr:rowOff>39793</xdr:rowOff>
    </xdr:from>
    <xdr:ext cx="56845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D8FB4F48-B5A3-4524-9618-C7875E2B4A6B}"/>
                </a:ext>
              </a:extLst>
            </xdr:cNvPr>
            <xdr:cNvSpPr txBox="1"/>
          </xdr:nvSpPr>
          <xdr:spPr>
            <a:xfrm>
              <a:off x="22745700" y="17748673"/>
              <a:ext cx="56845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35.72+4.2908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−1.5473×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+2.4070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D8FB4F48-B5A3-4524-9618-C7875E2B4A6B}"/>
                </a:ext>
              </a:extLst>
            </xdr:cNvPr>
            <xdr:cNvSpPr txBox="1"/>
          </xdr:nvSpPr>
          <xdr:spPr>
            <a:xfrm>
              <a:off x="22745700" y="17748673"/>
              <a:ext cx="56845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283.85𝐾^279.15𝐾▒〖35.72+4.2908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𝑇−1.5473×10^(−3)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+2.4070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98213</xdr:colOff>
      <xdr:row>93</xdr:row>
      <xdr:rowOff>7620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1FE3CB8A-6A87-4BB4-9244-2DD8AD09160B}"/>
                </a:ext>
              </a:extLst>
            </xdr:cNvPr>
            <xdr:cNvSpPr txBox="1"/>
          </xdr:nvSpPr>
          <xdr:spPr>
            <a:xfrm>
              <a:off x="22600073" y="207568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1FE3CB8A-6A87-4BB4-9244-2DD8AD09160B}"/>
                </a:ext>
              </a:extLst>
            </xdr:cNvPr>
            <xdr:cNvSpPr txBox="1"/>
          </xdr:nvSpPr>
          <xdr:spPr>
            <a:xfrm>
              <a:off x="22600073" y="207568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298.15𝐾^444.15𝐾▒〖−0.555+3.7003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290407</xdr:colOff>
      <xdr:row>101</xdr:row>
      <xdr:rowOff>72813</xdr:rowOff>
    </xdr:from>
    <xdr:ext cx="550926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FFA77509-A03F-4A27-A918-D38BBFF2CD4A}"/>
                </a:ext>
              </a:extLst>
            </xdr:cNvPr>
            <xdr:cNvSpPr txBox="1"/>
          </xdr:nvSpPr>
          <xdr:spPr>
            <a:xfrm>
              <a:off x="22792267" y="2286423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23.111+1.2283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−3.1218×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+3.0714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FFA77509-A03F-4A27-A918-D38BBFF2CD4A}"/>
                </a:ext>
              </a:extLst>
            </xdr:cNvPr>
            <xdr:cNvSpPr txBox="1"/>
          </xdr:nvSpPr>
          <xdr:spPr>
            <a:xfrm>
              <a:off x="22792267" y="2286423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444.15𝐾^279.15𝐾▒〖23.111+1.2283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𝑇−3.1218×10^(−3)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+3.0714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108375</xdr:colOff>
      <xdr:row>114</xdr:row>
      <xdr:rowOff>33020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41435E3B-4588-4758-BE0E-F6100ED7A2EF}"/>
                </a:ext>
              </a:extLst>
            </xdr:cNvPr>
            <xdr:cNvSpPr txBox="1"/>
          </xdr:nvSpPr>
          <xdr:spPr>
            <a:xfrm>
              <a:off x="22610235" y="258953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41435E3B-4588-4758-BE0E-F6100ED7A2EF}"/>
                </a:ext>
              </a:extLst>
            </xdr:cNvPr>
            <xdr:cNvSpPr txBox="1"/>
          </xdr:nvSpPr>
          <xdr:spPr>
            <a:xfrm>
              <a:off x="22610235" y="258953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298.15𝐾^542.04𝐾▒〖−5.264+6.1929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21</xdr:col>
      <xdr:colOff>261622</xdr:colOff>
      <xdr:row>122</xdr:row>
      <xdr:rowOff>21167</xdr:rowOff>
    </xdr:from>
    <xdr:ext cx="5481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DD1A2BF5-4EA3-4B13-BED7-A37A828494D8}"/>
                </a:ext>
              </a:extLst>
            </xdr:cNvPr>
            <xdr:cNvSpPr txBox="1"/>
          </xdr:nvSpPr>
          <xdr:spPr>
            <a:xfrm>
              <a:off x="22763482" y="2792560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76.703+1.0821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−2.4860×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+2.2497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DD1A2BF5-4EA3-4B13-BED7-A37A828494D8}"/>
                </a:ext>
              </a:extLst>
            </xdr:cNvPr>
            <xdr:cNvSpPr txBox="1"/>
          </xdr:nvSpPr>
          <xdr:spPr>
            <a:xfrm>
              <a:off x="22763482" y="2792560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542.04𝐾^279.15𝐾▒〖76.703+1.0821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𝑇−2.4860×10^(−3)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+2.2497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963930</xdr:colOff>
      <xdr:row>34</xdr:row>
      <xdr:rowOff>7620</xdr:rowOff>
    </xdr:from>
    <xdr:ext cx="3076575" cy="1704975"/>
    <xdr:sp macro="" textlink="">
      <xdr:nvSpPr>
        <xdr:cNvPr id="42" name="Shape 66">
          <a:extLst>
            <a:ext uri="{FF2B5EF4-FFF2-40B4-BE49-F238E27FC236}">
              <a16:creationId xmlns:a16="http://schemas.microsoft.com/office/drawing/2014/main" id="{163C59B5-1E1A-4DE5-9138-DAF4BC9C5D27}"/>
            </a:ext>
          </a:extLst>
        </xdr:cNvPr>
        <xdr:cNvSpPr/>
      </xdr:nvSpPr>
      <xdr:spPr>
        <a:xfrm>
          <a:off x="6229350" y="4960620"/>
          <a:ext cx="3076575" cy="170497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Times New Roman"/>
              <a:ea typeface="Times New Roman"/>
              <a:cs typeface="Times New Roman"/>
              <a:sym typeface="Times New Roman"/>
            </a:rPr>
            <a:t>Liquid-liquid Extractor</a:t>
          </a:r>
          <a:endParaRPr sz="20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twoCellAnchor>
    <xdr:from>
      <xdr:col>0</xdr:col>
      <xdr:colOff>350520</xdr:colOff>
      <xdr:row>38</xdr:row>
      <xdr:rowOff>67628</xdr:rowOff>
    </xdr:from>
    <xdr:to>
      <xdr:col>6</xdr:col>
      <xdr:colOff>963930</xdr:colOff>
      <xdr:row>38</xdr:row>
      <xdr:rowOff>68580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624F8DDC-7E20-40A9-8FEB-5D4101B2242A}"/>
            </a:ext>
          </a:extLst>
        </xdr:cNvPr>
        <xdr:cNvCxnSpPr>
          <a:endCxn id="42" idx="1"/>
        </xdr:cNvCxnSpPr>
      </xdr:nvCxnSpPr>
      <xdr:spPr>
        <a:xfrm flipV="1">
          <a:off x="350520" y="5813108"/>
          <a:ext cx="5878830" cy="95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200025</xdr:colOff>
      <xdr:row>38</xdr:row>
      <xdr:rowOff>67628</xdr:rowOff>
    </xdr:from>
    <xdr:to>
      <xdr:col>16</xdr:col>
      <xdr:colOff>434340</xdr:colOff>
      <xdr:row>38</xdr:row>
      <xdr:rowOff>68580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72C2CCC5-2BC7-4EBA-AA19-A35BF2F8AD84}"/>
            </a:ext>
          </a:extLst>
        </xdr:cNvPr>
        <xdr:cNvCxnSpPr>
          <a:stCxn id="42" idx="3"/>
        </xdr:cNvCxnSpPr>
      </xdr:nvCxnSpPr>
      <xdr:spPr>
        <a:xfrm>
          <a:off x="9808845" y="5813108"/>
          <a:ext cx="6749415" cy="95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399098</xdr:colOff>
      <xdr:row>9</xdr:row>
      <xdr:rowOff>182881</xdr:rowOff>
    </xdr:from>
    <xdr:to>
      <xdr:col>8</xdr:col>
      <xdr:colOff>424816</xdr:colOff>
      <xdr:row>34</xdr:row>
      <xdr:rowOff>7620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A3911096-5776-445D-B3C1-2513753082CD}"/>
            </a:ext>
          </a:extLst>
        </xdr:cNvPr>
        <xdr:cNvCxnSpPr>
          <a:stCxn id="9" idx="2"/>
          <a:endCxn id="42" idx="0"/>
        </xdr:cNvCxnSpPr>
      </xdr:nvCxnSpPr>
      <xdr:spPr>
        <a:xfrm flipH="1">
          <a:off x="8270558" y="1965961"/>
          <a:ext cx="25718" cy="4777739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399098</xdr:colOff>
      <xdr:row>42</xdr:row>
      <xdr:rowOff>127635</xdr:rowOff>
    </xdr:from>
    <xdr:to>
      <xdr:col>8</xdr:col>
      <xdr:colOff>426720</xdr:colOff>
      <xdr:row>70</xdr:row>
      <xdr:rowOff>30480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E76B2080-EC18-43FC-A54F-3B26AC8512B2}"/>
            </a:ext>
          </a:extLst>
        </xdr:cNvPr>
        <xdr:cNvCxnSpPr>
          <a:stCxn id="42" idx="2"/>
        </xdr:cNvCxnSpPr>
      </xdr:nvCxnSpPr>
      <xdr:spPr>
        <a:xfrm>
          <a:off x="8270558" y="8448675"/>
          <a:ext cx="27622" cy="545020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2057400</xdr:colOff>
      <xdr:row>71</xdr:row>
      <xdr:rowOff>83820</xdr:rowOff>
    </xdr:from>
    <xdr:to>
      <xdr:col>22</xdr:col>
      <xdr:colOff>220980</xdr:colOff>
      <xdr:row>73</xdr:row>
      <xdr:rowOff>144780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8F8E622C-695B-4DE1-B828-03D6283B564F}"/>
            </a:ext>
          </a:extLst>
        </xdr:cNvPr>
        <xdr:cNvGrpSpPr/>
      </xdr:nvGrpSpPr>
      <xdr:grpSpPr>
        <a:xfrm>
          <a:off x="20621413" y="13909887"/>
          <a:ext cx="3560234" cy="450426"/>
          <a:chOff x="16230227" y="28357759"/>
          <a:chExt cx="6391543" cy="672305"/>
        </a:xfrm>
      </xdr:grpSpPr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EF70795B-3D59-409E-E0C5-AAE3DF2A26C9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9" name="Oval 48">
            <a:extLst>
              <a:ext uri="{FF2B5EF4-FFF2-40B4-BE49-F238E27FC236}">
                <a16:creationId xmlns:a16="http://schemas.microsoft.com/office/drawing/2014/main" id="{7F487BE9-21EC-A3DF-2E24-699A66BDBD0F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0" name="Oval 49">
            <a:extLst>
              <a:ext uri="{FF2B5EF4-FFF2-40B4-BE49-F238E27FC236}">
                <a16:creationId xmlns:a16="http://schemas.microsoft.com/office/drawing/2014/main" id="{FEC52737-F0B9-F246-35B1-5B83E17DFE76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1" name="Oval 50">
            <a:extLst>
              <a:ext uri="{FF2B5EF4-FFF2-40B4-BE49-F238E27FC236}">
                <a16:creationId xmlns:a16="http://schemas.microsoft.com/office/drawing/2014/main" id="{3313F957-3002-D4B8-8E6D-FC1241BD1635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2" name="Oval 51">
            <a:extLst>
              <a:ext uri="{FF2B5EF4-FFF2-40B4-BE49-F238E27FC236}">
                <a16:creationId xmlns:a16="http://schemas.microsoft.com/office/drawing/2014/main" id="{22221E28-CD0B-D79A-61CE-7543D93BE033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53" name="Straight Arrow Connector 52">
            <a:extLst>
              <a:ext uri="{FF2B5EF4-FFF2-40B4-BE49-F238E27FC236}">
                <a16:creationId xmlns:a16="http://schemas.microsoft.com/office/drawing/2014/main" id="{19802D30-6580-A7E7-292A-FA219B3C79EB}"/>
              </a:ext>
            </a:extLst>
          </xdr:cNvPr>
          <xdr:cNvCxnSpPr>
            <a:stCxn id="49" idx="5"/>
            <a:endCxn id="51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Straight Arrow Connector 53">
            <a:extLst>
              <a:ext uri="{FF2B5EF4-FFF2-40B4-BE49-F238E27FC236}">
                <a16:creationId xmlns:a16="http://schemas.microsoft.com/office/drawing/2014/main" id="{1BE129F5-2C5F-51EC-9264-00B1F4BDD6DC}"/>
              </a:ext>
            </a:extLst>
          </xdr:cNvPr>
          <xdr:cNvCxnSpPr>
            <a:stCxn id="51" idx="6"/>
            <a:endCxn id="52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Straight Arrow Connector 54">
            <a:extLst>
              <a:ext uri="{FF2B5EF4-FFF2-40B4-BE49-F238E27FC236}">
                <a16:creationId xmlns:a16="http://schemas.microsoft.com/office/drawing/2014/main" id="{2DDF637A-618D-EC7F-7DAB-EB0F5B7CAAE7}"/>
              </a:ext>
            </a:extLst>
          </xdr:cNvPr>
          <xdr:cNvCxnSpPr>
            <a:stCxn id="52" idx="6"/>
            <a:endCxn id="50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2156460</xdr:colOff>
      <xdr:row>113</xdr:row>
      <xdr:rowOff>99060</xdr:rowOff>
    </xdr:from>
    <xdr:to>
      <xdr:col>22</xdr:col>
      <xdr:colOff>243840</xdr:colOff>
      <xdr:row>115</xdr:row>
      <xdr:rowOff>160020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17267A0D-576D-4CCA-B855-17B1D8DD9FC0}"/>
            </a:ext>
          </a:extLst>
        </xdr:cNvPr>
        <xdr:cNvGrpSpPr/>
      </xdr:nvGrpSpPr>
      <xdr:grpSpPr>
        <a:xfrm>
          <a:off x="20621413" y="23797260"/>
          <a:ext cx="3583094" cy="450427"/>
          <a:chOff x="16230227" y="28357759"/>
          <a:chExt cx="6391543" cy="672305"/>
        </a:xfrm>
      </xdr:grpSpPr>
      <xdr:cxnSp macro="">
        <xdr:nvCxnSpPr>
          <xdr:cNvPr id="57" name="Straight Arrow Connector 56">
            <a:extLst>
              <a:ext uri="{FF2B5EF4-FFF2-40B4-BE49-F238E27FC236}">
                <a16:creationId xmlns:a16="http://schemas.microsoft.com/office/drawing/2014/main" id="{344C8595-E52E-3412-9DA8-510DE5818ECF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8" name="Oval 57">
            <a:extLst>
              <a:ext uri="{FF2B5EF4-FFF2-40B4-BE49-F238E27FC236}">
                <a16:creationId xmlns:a16="http://schemas.microsoft.com/office/drawing/2014/main" id="{8A2CBA6C-155E-D119-52A6-8E636E532F3A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9" name="Oval 58">
            <a:extLst>
              <a:ext uri="{FF2B5EF4-FFF2-40B4-BE49-F238E27FC236}">
                <a16:creationId xmlns:a16="http://schemas.microsoft.com/office/drawing/2014/main" id="{AE93B9BD-702E-4488-6C65-A3F5995EB91E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0" name="Oval 59">
            <a:extLst>
              <a:ext uri="{FF2B5EF4-FFF2-40B4-BE49-F238E27FC236}">
                <a16:creationId xmlns:a16="http://schemas.microsoft.com/office/drawing/2014/main" id="{2B6DBDA2-D507-DCA7-8A8B-9D283E2C5305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1" name="Oval 60">
            <a:extLst>
              <a:ext uri="{FF2B5EF4-FFF2-40B4-BE49-F238E27FC236}">
                <a16:creationId xmlns:a16="http://schemas.microsoft.com/office/drawing/2014/main" id="{68FF05CE-D63A-DFEA-9A8E-F712BCC84034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62" name="Straight Arrow Connector 61">
            <a:extLst>
              <a:ext uri="{FF2B5EF4-FFF2-40B4-BE49-F238E27FC236}">
                <a16:creationId xmlns:a16="http://schemas.microsoft.com/office/drawing/2014/main" id="{0D8AC7EE-6094-C7BD-4833-001849B3634D}"/>
              </a:ext>
            </a:extLst>
          </xdr:cNvPr>
          <xdr:cNvCxnSpPr>
            <a:stCxn id="58" idx="5"/>
            <a:endCxn id="60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Straight Arrow Connector 62">
            <a:extLst>
              <a:ext uri="{FF2B5EF4-FFF2-40B4-BE49-F238E27FC236}">
                <a16:creationId xmlns:a16="http://schemas.microsoft.com/office/drawing/2014/main" id="{6591F831-D4DC-0436-6320-DF03544703F5}"/>
              </a:ext>
            </a:extLst>
          </xdr:cNvPr>
          <xdr:cNvCxnSpPr>
            <a:stCxn id="60" idx="6"/>
            <a:endCxn id="61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Straight Arrow Connector 63">
            <a:extLst>
              <a:ext uri="{FF2B5EF4-FFF2-40B4-BE49-F238E27FC236}">
                <a16:creationId xmlns:a16="http://schemas.microsoft.com/office/drawing/2014/main" id="{3EB6BD61-C6D3-AF46-A064-FEF29DE7BE87}"/>
              </a:ext>
            </a:extLst>
          </xdr:cNvPr>
          <xdr:cNvCxnSpPr>
            <a:stCxn id="61" idx="6"/>
            <a:endCxn id="59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2148840</xdr:colOff>
      <xdr:row>92</xdr:row>
      <xdr:rowOff>83820</xdr:rowOff>
    </xdr:from>
    <xdr:to>
      <xdr:col>22</xdr:col>
      <xdr:colOff>312420</xdr:colOff>
      <xdr:row>94</xdr:row>
      <xdr:rowOff>144780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DE293C09-6FE5-4EF3-8031-D9DA53BEF207}"/>
            </a:ext>
          </a:extLst>
        </xdr:cNvPr>
        <xdr:cNvGrpSpPr/>
      </xdr:nvGrpSpPr>
      <xdr:grpSpPr>
        <a:xfrm>
          <a:off x="20621413" y="18820553"/>
          <a:ext cx="3651674" cy="450427"/>
          <a:chOff x="16230227" y="28357759"/>
          <a:chExt cx="6391543" cy="672305"/>
        </a:xfrm>
      </xdr:grpSpPr>
      <xdr:cxnSp macro="">
        <xdr:nvCxnSpPr>
          <xdr:cNvPr id="67" name="Straight Arrow Connector 66">
            <a:extLst>
              <a:ext uri="{FF2B5EF4-FFF2-40B4-BE49-F238E27FC236}">
                <a16:creationId xmlns:a16="http://schemas.microsoft.com/office/drawing/2014/main" id="{EE19D8A7-8DCA-DF7B-DB45-331A7374361C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8" name="Oval 67">
            <a:extLst>
              <a:ext uri="{FF2B5EF4-FFF2-40B4-BE49-F238E27FC236}">
                <a16:creationId xmlns:a16="http://schemas.microsoft.com/office/drawing/2014/main" id="{3C8DF503-D6FD-4DDC-34E3-06EC00E38735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9" name="Oval 68">
            <a:extLst>
              <a:ext uri="{FF2B5EF4-FFF2-40B4-BE49-F238E27FC236}">
                <a16:creationId xmlns:a16="http://schemas.microsoft.com/office/drawing/2014/main" id="{AEE955CC-72A8-235C-9FA5-9CDAD4C5B723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70" name="Oval 69">
            <a:extLst>
              <a:ext uri="{FF2B5EF4-FFF2-40B4-BE49-F238E27FC236}">
                <a16:creationId xmlns:a16="http://schemas.microsoft.com/office/drawing/2014/main" id="{933E9B3F-8CF6-1717-BC92-6AC8F6C08AB5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71" name="Oval 70">
            <a:extLst>
              <a:ext uri="{FF2B5EF4-FFF2-40B4-BE49-F238E27FC236}">
                <a16:creationId xmlns:a16="http://schemas.microsoft.com/office/drawing/2014/main" id="{3E9F9790-08DF-2BD8-4D96-EFBB85270F27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72" name="Straight Arrow Connector 71">
            <a:extLst>
              <a:ext uri="{FF2B5EF4-FFF2-40B4-BE49-F238E27FC236}">
                <a16:creationId xmlns:a16="http://schemas.microsoft.com/office/drawing/2014/main" id="{97B0EC0F-E7B2-534A-52E4-AB47B48B8E8A}"/>
              </a:ext>
            </a:extLst>
          </xdr:cNvPr>
          <xdr:cNvCxnSpPr>
            <a:stCxn id="68" idx="5"/>
            <a:endCxn id="70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Straight Arrow Connector 72">
            <a:extLst>
              <a:ext uri="{FF2B5EF4-FFF2-40B4-BE49-F238E27FC236}">
                <a16:creationId xmlns:a16="http://schemas.microsoft.com/office/drawing/2014/main" id="{443BD40A-946A-CDA7-F7D9-C75EED78194A}"/>
              </a:ext>
            </a:extLst>
          </xdr:cNvPr>
          <xdr:cNvCxnSpPr>
            <a:stCxn id="70" idx="6"/>
            <a:endCxn id="71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Straight Arrow Connector 73">
            <a:extLst>
              <a:ext uri="{FF2B5EF4-FFF2-40B4-BE49-F238E27FC236}">
                <a16:creationId xmlns:a16="http://schemas.microsoft.com/office/drawing/2014/main" id="{95618092-F69D-B748-1C50-8D0E7681646E}"/>
              </a:ext>
            </a:extLst>
          </xdr:cNvPr>
          <xdr:cNvCxnSpPr>
            <a:stCxn id="71" idx="6"/>
            <a:endCxn id="69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2255520</xdr:colOff>
      <xdr:row>134</xdr:row>
      <xdr:rowOff>99060</xdr:rowOff>
    </xdr:from>
    <xdr:to>
      <xdr:col>22</xdr:col>
      <xdr:colOff>342900</xdr:colOff>
      <xdr:row>136</xdr:row>
      <xdr:rowOff>160020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D810B84C-1B49-4C55-A136-6B85A86A71A0}"/>
            </a:ext>
          </a:extLst>
        </xdr:cNvPr>
        <xdr:cNvGrpSpPr/>
      </xdr:nvGrpSpPr>
      <xdr:grpSpPr>
        <a:xfrm>
          <a:off x="20621413" y="28885727"/>
          <a:ext cx="3682154" cy="450426"/>
          <a:chOff x="16230227" y="28357759"/>
          <a:chExt cx="6391543" cy="672305"/>
        </a:xfrm>
      </xdr:grpSpPr>
      <xdr:cxnSp macro="">
        <xdr:nvCxnSpPr>
          <xdr:cNvPr id="76" name="Straight Arrow Connector 75">
            <a:extLst>
              <a:ext uri="{FF2B5EF4-FFF2-40B4-BE49-F238E27FC236}">
                <a16:creationId xmlns:a16="http://schemas.microsoft.com/office/drawing/2014/main" id="{16DBBE3E-93EF-7558-61A4-0F5A66A6DDC2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" name="Oval 76">
            <a:extLst>
              <a:ext uri="{FF2B5EF4-FFF2-40B4-BE49-F238E27FC236}">
                <a16:creationId xmlns:a16="http://schemas.microsoft.com/office/drawing/2014/main" id="{7F6494C6-2165-2230-5176-FE1FD98F69FD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78" name="Oval 77">
            <a:extLst>
              <a:ext uri="{FF2B5EF4-FFF2-40B4-BE49-F238E27FC236}">
                <a16:creationId xmlns:a16="http://schemas.microsoft.com/office/drawing/2014/main" id="{156CD3BB-CD29-741C-31DA-0279B6F18842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79" name="Oval 78">
            <a:extLst>
              <a:ext uri="{FF2B5EF4-FFF2-40B4-BE49-F238E27FC236}">
                <a16:creationId xmlns:a16="http://schemas.microsoft.com/office/drawing/2014/main" id="{9C7E9290-20DE-0CCA-D3F8-6FE5B5213815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0" name="Oval 79">
            <a:extLst>
              <a:ext uri="{FF2B5EF4-FFF2-40B4-BE49-F238E27FC236}">
                <a16:creationId xmlns:a16="http://schemas.microsoft.com/office/drawing/2014/main" id="{99258CF6-7245-70FC-6E4E-971B503A4589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81" name="Straight Arrow Connector 80">
            <a:extLst>
              <a:ext uri="{FF2B5EF4-FFF2-40B4-BE49-F238E27FC236}">
                <a16:creationId xmlns:a16="http://schemas.microsoft.com/office/drawing/2014/main" id="{08166778-DD65-D2E8-67E1-405F16F98E83}"/>
              </a:ext>
            </a:extLst>
          </xdr:cNvPr>
          <xdr:cNvCxnSpPr>
            <a:stCxn id="77" idx="5"/>
            <a:endCxn id="79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Straight Arrow Connector 81">
            <a:extLst>
              <a:ext uri="{FF2B5EF4-FFF2-40B4-BE49-F238E27FC236}">
                <a16:creationId xmlns:a16="http://schemas.microsoft.com/office/drawing/2014/main" id="{C57529D9-C34E-4B4C-AC1F-2E39888BE931}"/>
              </a:ext>
            </a:extLst>
          </xdr:cNvPr>
          <xdr:cNvCxnSpPr>
            <a:stCxn id="79" idx="6"/>
            <a:endCxn id="80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E92DA0C9-8708-C346-A900-E0974D62AC5F}"/>
              </a:ext>
            </a:extLst>
          </xdr:cNvPr>
          <xdr:cNvCxnSpPr>
            <a:stCxn id="80" idx="6"/>
            <a:endCxn id="78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2156460</xdr:colOff>
      <xdr:row>155</xdr:row>
      <xdr:rowOff>91440</xdr:rowOff>
    </xdr:from>
    <xdr:to>
      <xdr:col>22</xdr:col>
      <xdr:colOff>243840</xdr:colOff>
      <xdr:row>157</xdr:row>
      <xdr:rowOff>152400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F4A0749A-9902-46F0-97C7-FDB3A8081F2B}"/>
            </a:ext>
          </a:extLst>
        </xdr:cNvPr>
        <xdr:cNvGrpSpPr/>
      </xdr:nvGrpSpPr>
      <xdr:grpSpPr>
        <a:xfrm>
          <a:off x="20621413" y="33839573"/>
          <a:ext cx="3583094" cy="450427"/>
          <a:chOff x="16230227" y="28357759"/>
          <a:chExt cx="6391543" cy="672305"/>
        </a:xfrm>
      </xdr:grpSpPr>
      <xdr:cxnSp macro="">
        <xdr:nvCxnSpPr>
          <xdr:cNvPr id="85" name="Straight Arrow Connector 84">
            <a:extLst>
              <a:ext uri="{FF2B5EF4-FFF2-40B4-BE49-F238E27FC236}">
                <a16:creationId xmlns:a16="http://schemas.microsoft.com/office/drawing/2014/main" id="{A25B6729-1315-2B9F-4C06-CE7A32B1EA75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6" name="Oval 85">
            <a:extLst>
              <a:ext uri="{FF2B5EF4-FFF2-40B4-BE49-F238E27FC236}">
                <a16:creationId xmlns:a16="http://schemas.microsoft.com/office/drawing/2014/main" id="{82FD2E20-9416-0EBA-ECA3-896AC6B861B9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7" name="Oval 86">
            <a:extLst>
              <a:ext uri="{FF2B5EF4-FFF2-40B4-BE49-F238E27FC236}">
                <a16:creationId xmlns:a16="http://schemas.microsoft.com/office/drawing/2014/main" id="{59544B3A-CFA6-602E-0D2A-77F18D848F65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8" name="Oval 87">
            <a:extLst>
              <a:ext uri="{FF2B5EF4-FFF2-40B4-BE49-F238E27FC236}">
                <a16:creationId xmlns:a16="http://schemas.microsoft.com/office/drawing/2014/main" id="{FCF0B459-1978-5E8C-ED05-D9DEE76F3523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9" name="Oval 88">
            <a:extLst>
              <a:ext uri="{FF2B5EF4-FFF2-40B4-BE49-F238E27FC236}">
                <a16:creationId xmlns:a16="http://schemas.microsoft.com/office/drawing/2014/main" id="{1EEC29B0-96C1-4366-4574-D5402AD76326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90" name="Straight Arrow Connector 89">
            <a:extLst>
              <a:ext uri="{FF2B5EF4-FFF2-40B4-BE49-F238E27FC236}">
                <a16:creationId xmlns:a16="http://schemas.microsoft.com/office/drawing/2014/main" id="{86B1443E-44C0-5DB6-4375-061206BF4D85}"/>
              </a:ext>
            </a:extLst>
          </xdr:cNvPr>
          <xdr:cNvCxnSpPr>
            <a:stCxn id="86" idx="5"/>
            <a:endCxn id="88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Straight Arrow Connector 90">
            <a:extLst>
              <a:ext uri="{FF2B5EF4-FFF2-40B4-BE49-F238E27FC236}">
                <a16:creationId xmlns:a16="http://schemas.microsoft.com/office/drawing/2014/main" id="{F3773065-551D-71F8-3CC6-6BE834C1538E}"/>
              </a:ext>
            </a:extLst>
          </xdr:cNvPr>
          <xdr:cNvCxnSpPr>
            <a:stCxn id="88" idx="6"/>
            <a:endCxn id="89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Straight Arrow Connector 91">
            <a:extLst>
              <a:ext uri="{FF2B5EF4-FFF2-40B4-BE49-F238E27FC236}">
                <a16:creationId xmlns:a16="http://schemas.microsoft.com/office/drawing/2014/main" id="{6D026585-366A-BA0A-C57B-5A061CD0CD19}"/>
              </a:ext>
            </a:extLst>
          </xdr:cNvPr>
          <xdr:cNvCxnSpPr>
            <a:stCxn id="89" idx="6"/>
            <a:endCxn id="87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2148840</xdr:colOff>
      <xdr:row>176</xdr:row>
      <xdr:rowOff>83820</xdr:rowOff>
    </xdr:from>
    <xdr:to>
      <xdr:col>22</xdr:col>
      <xdr:colOff>236220</xdr:colOff>
      <xdr:row>178</xdr:row>
      <xdr:rowOff>144780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E2A11783-EA6A-4752-B187-97764751CB76}"/>
            </a:ext>
          </a:extLst>
        </xdr:cNvPr>
        <xdr:cNvGrpSpPr/>
      </xdr:nvGrpSpPr>
      <xdr:grpSpPr>
        <a:xfrm>
          <a:off x="20621413" y="38751087"/>
          <a:ext cx="3575474" cy="450426"/>
          <a:chOff x="16230227" y="28357759"/>
          <a:chExt cx="6391543" cy="672305"/>
        </a:xfrm>
      </xdr:grpSpPr>
      <xdr:cxnSp macro="">
        <xdr:nvCxnSpPr>
          <xdr:cNvPr id="94" name="Straight Arrow Connector 93">
            <a:extLst>
              <a:ext uri="{FF2B5EF4-FFF2-40B4-BE49-F238E27FC236}">
                <a16:creationId xmlns:a16="http://schemas.microsoft.com/office/drawing/2014/main" id="{E09EAE11-9C02-D32B-FAAD-1869DA1ADD53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5" name="Oval 94">
            <a:extLst>
              <a:ext uri="{FF2B5EF4-FFF2-40B4-BE49-F238E27FC236}">
                <a16:creationId xmlns:a16="http://schemas.microsoft.com/office/drawing/2014/main" id="{7D67316B-8509-71D4-A549-EC5DC552B0B3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96" name="Oval 95">
            <a:extLst>
              <a:ext uri="{FF2B5EF4-FFF2-40B4-BE49-F238E27FC236}">
                <a16:creationId xmlns:a16="http://schemas.microsoft.com/office/drawing/2014/main" id="{392E9A8A-4B04-D7AC-25AB-CDA659179DEC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97" name="Oval 96">
            <a:extLst>
              <a:ext uri="{FF2B5EF4-FFF2-40B4-BE49-F238E27FC236}">
                <a16:creationId xmlns:a16="http://schemas.microsoft.com/office/drawing/2014/main" id="{FB57D4C2-E003-5C88-1557-EDA011F2EDC5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98" name="Oval 97">
            <a:extLst>
              <a:ext uri="{FF2B5EF4-FFF2-40B4-BE49-F238E27FC236}">
                <a16:creationId xmlns:a16="http://schemas.microsoft.com/office/drawing/2014/main" id="{560F6FF4-FCF9-D17A-022A-CC95AF23E66C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99" name="Straight Arrow Connector 98">
            <a:extLst>
              <a:ext uri="{FF2B5EF4-FFF2-40B4-BE49-F238E27FC236}">
                <a16:creationId xmlns:a16="http://schemas.microsoft.com/office/drawing/2014/main" id="{0029F673-2ECC-CC91-5DFE-053C4ED3A6ED}"/>
              </a:ext>
            </a:extLst>
          </xdr:cNvPr>
          <xdr:cNvCxnSpPr>
            <a:stCxn id="95" idx="5"/>
            <a:endCxn id="97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Straight Arrow Connector 99">
            <a:extLst>
              <a:ext uri="{FF2B5EF4-FFF2-40B4-BE49-F238E27FC236}">
                <a16:creationId xmlns:a16="http://schemas.microsoft.com/office/drawing/2014/main" id="{54867809-90CE-52D4-6560-D2F0AC9F0A77}"/>
              </a:ext>
            </a:extLst>
          </xdr:cNvPr>
          <xdr:cNvCxnSpPr>
            <a:stCxn id="97" idx="6"/>
            <a:endCxn id="98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Straight Arrow Connector 100">
            <a:extLst>
              <a:ext uri="{FF2B5EF4-FFF2-40B4-BE49-F238E27FC236}">
                <a16:creationId xmlns:a16="http://schemas.microsoft.com/office/drawing/2014/main" id="{A173E993-18B0-AA58-217D-CBC6DD52EE74}"/>
              </a:ext>
            </a:extLst>
          </xdr:cNvPr>
          <xdr:cNvCxnSpPr>
            <a:stCxn id="98" idx="6"/>
            <a:endCxn id="96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2202180</xdr:colOff>
      <xdr:row>197</xdr:row>
      <xdr:rowOff>76200</xdr:rowOff>
    </xdr:from>
    <xdr:to>
      <xdr:col>22</xdr:col>
      <xdr:colOff>289560</xdr:colOff>
      <xdr:row>199</xdr:row>
      <xdr:rowOff>137160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DC93D21B-D7DA-4F70-AD74-20A60138BF88}"/>
            </a:ext>
          </a:extLst>
        </xdr:cNvPr>
        <xdr:cNvGrpSpPr/>
      </xdr:nvGrpSpPr>
      <xdr:grpSpPr>
        <a:xfrm>
          <a:off x="20621413" y="43654133"/>
          <a:ext cx="3628814" cy="450427"/>
          <a:chOff x="16230227" y="28357759"/>
          <a:chExt cx="6391543" cy="672305"/>
        </a:xfrm>
      </xdr:grpSpPr>
      <xdr:cxnSp macro="">
        <xdr:nvCxnSpPr>
          <xdr:cNvPr id="103" name="Straight Arrow Connector 102">
            <a:extLst>
              <a:ext uri="{FF2B5EF4-FFF2-40B4-BE49-F238E27FC236}">
                <a16:creationId xmlns:a16="http://schemas.microsoft.com/office/drawing/2014/main" id="{C6894298-6375-B853-CA85-25858CB68384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4" name="Oval 103">
            <a:extLst>
              <a:ext uri="{FF2B5EF4-FFF2-40B4-BE49-F238E27FC236}">
                <a16:creationId xmlns:a16="http://schemas.microsoft.com/office/drawing/2014/main" id="{A73369F7-AF05-2383-859C-D022040414EF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05" name="Oval 104">
            <a:extLst>
              <a:ext uri="{FF2B5EF4-FFF2-40B4-BE49-F238E27FC236}">
                <a16:creationId xmlns:a16="http://schemas.microsoft.com/office/drawing/2014/main" id="{39F9477D-461E-C952-07C5-679D84265901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06" name="Oval 105">
            <a:extLst>
              <a:ext uri="{FF2B5EF4-FFF2-40B4-BE49-F238E27FC236}">
                <a16:creationId xmlns:a16="http://schemas.microsoft.com/office/drawing/2014/main" id="{1CF82677-6AC2-4FB5-5028-EAF599BD74A6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07" name="Oval 106">
            <a:extLst>
              <a:ext uri="{FF2B5EF4-FFF2-40B4-BE49-F238E27FC236}">
                <a16:creationId xmlns:a16="http://schemas.microsoft.com/office/drawing/2014/main" id="{ACB87BC2-BFF9-2B87-6B55-8B6C2B4A0EFB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108" name="Straight Arrow Connector 107">
            <a:extLst>
              <a:ext uri="{FF2B5EF4-FFF2-40B4-BE49-F238E27FC236}">
                <a16:creationId xmlns:a16="http://schemas.microsoft.com/office/drawing/2014/main" id="{46E7994E-2EEA-7FA4-BB86-227CEAF9944E}"/>
              </a:ext>
            </a:extLst>
          </xdr:cNvPr>
          <xdr:cNvCxnSpPr>
            <a:stCxn id="104" idx="5"/>
            <a:endCxn id="106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Straight Arrow Connector 108">
            <a:extLst>
              <a:ext uri="{FF2B5EF4-FFF2-40B4-BE49-F238E27FC236}">
                <a16:creationId xmlns:a16="http://schemas.microsoft.com/office/drawing/2014/main" id="{75FB2B4F-8365-8BD4-B3F8-90FCA977CF0A}"/>
              </a:ext>
            </a:extLst>
          </xdr:cNvPr>
          <xdr:cNvCxnSpPr>
            <a:stCxn id="106" idx="6"/>
            <a:endCxn id="107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Arrow Connector 109">
            <a:extLst>
              <a:ext uri="{FF2B5EF4-FFF2-40B4-BE49-F238E27FC236}">
                <a16:creationId xmlns:a16="http://schemas.microsoft.com/office/drawing/2014/main" id="{B651D3FC-C074-A89C-9AE1-3D34CB90ACE0}"/>
              </a:ext>
            </a:extLst>
          </xdr:cNvPr>
          <xdr:cNvCxnSpPr>
            <a:stCxn id="107" idx="6"/>
            <a:endCxn id="105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2133600</xdr:colOff>
      <xdr:row>218</xdr:row>
      <xdr:rowOff>83820</xdr:rowOff>
    </xdr:from>
    <xdr:to>
      <xdr:col>22</xdr:col>
      <xdr:colOff>220980</xdr:colOff>
      <xdr:row>220</xdr:row>
      <xdr:rowOff>144780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CED056A4-3BB6-4E29-B240-34E9FD9A597D}"/>
            </a:ext>
          </a:extLst>
        </xdr:cNvPr>
        <xdr:cNvGrpSpPr/>
      </xdr:nvGrpSpPr>
      <xdr:grpSpPr>
        <a:xfrm>
          <a:off x="20621413" y="48597820"/>
          <a:ext cx="3560234" cy="450427"/>
          <a:chOff x="16230227" y="28357759"/>
          <a:chExt cx="6391543" cy="672305"/>
        </a:xfrm>
      </xdr:grpSpPr>
      <xdr:cxnSp macro="">
        <xdr:nvCxnSpPr>
          <xdr:cNvPr id="112" name="Straight Arrow Connector 111">
            <a:extLst>
              <a:ext uri="{FF2B5EF4-FFF2-40B4-BE49-F238E27FC236}">
                <a16:creationId xmlns:a16="http://schemas.microsoft.com/office/drawing/2014/main" id="{80B187DC-6CFC-448F-A575-E05F571F740F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" name="Oval 112">
            <a:extLst>
              <a:ext uri="{FF2B5EF4-FFF2-40B4-BE49-F238E27FC236}">
                <a16:creationId xmlns:a16="http://schemas.microsoft.com/office/drawing/2014/main" id="{CF8D878C-3FFC-599E-36FE-61AECC4A83EB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4" name="Oval 113">
            <a:extLst>
              <a:ext uri="{FF2B5EF4-FFF2-40B4-BE49-F238E27FC236}">
                <a16:creationId xmlns:a16="http://schemas.microsoft.com/office/drawing/2014/main" id="{A6407B6E-DBC5-35EE-0FDE-B7818918DEAC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5" name="Oval 114">
            <a:extLst>
              <a:ext uri="{FF2B5EF4-FFF2-40B4-BE49-F238E27FC236}">
                <a16:creationId xmlns:a16="http://schemas.microsoft.com/office/drawing/2014/main" id="{26C3CD3D-9688-DBA7-AEBE-4722B82C7B0D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16" name="Oval 115">
            <a:extLst>
              <a:ext uri="{FF2B5EF4-FFF2-40B4-BE49-F238E27FC236}">
                <a16:creationId xmlns:a16="http://schemas.microsoft.com/office/drawing/2014/main" id="{0BBA40FC-8283-2E53-8A29-0B8CE04C4E7A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117" name="Straight Arrow Connector 116">
            <a:extLst>
              <a:ext uri="{FF2B5EF4-FFF2-40B4-BE49-F238E27FC236}">
                <a16:creationId xmlns:a16="http://schemas.microsoft.com/office/drawing/2014/main" id="{E24F1632-425E-8D81-0881-4A4F9B549A91}"/>
              </a:ext>
            </a:extLst>
          </xdr:cNvPr>
          <xdr:cNvCxnSpPr>
            <a:stCxn id="113" idx="5"/>
            <a:endCxn id="115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Straight Arrow Connector 117">
            <a:extLst>
              <a:ext uri="{FF2B5EF4-FFF2-40B4-BE49-F238E27FC236}">
                <a16:creationId xmlns:a16="http://schemas.microsoft.com/office/drawing/2014/main" id="{A5356CE9-DBF9-6C99-6D12-9B3AF47FA5D8}"/>
              </a:ext>
            </a:extLst>
          </xdr:cNvPr>
          <xdr:cNvCxnSpPr>
            <a:stCxn id="115" idx="6"/>
            <a:endCxn id="116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Straight Arrow Connector 118">
            <a:extLst>
              <a:ext uri="{FF2B5EF4-FFF2-40B4-BE49-F238E27FC236}">
                <a16:creationId xmlns:a16="http://schemas.microsoft.com/office/drawing/2014/main" id="{B3FE7C9E-E2D7-11CF-B11D-75E32DD471C3}"/>
              </a:ext>
            </a:extLst>
          </xdr:cNvPr>
          <xdr:cNvCxnSpPr>
            <a:stCxn id="116" idx="6"/>
            <a:endCxn id="114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2141220</xdr:colOff>
      <xdr:row>239</xdr:row>
      <xdr:rowOff>91440</xdr:rowOff>
    </xdr:from>
    <xdr:to>
      <xdr:col>22</xdr:col>
      <xdr:colOff>228600</xdr:colOff>
      <xdr:row>241</xdr:row>
      <xdr:rowOff>152400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A029E6D8-CFF8-46EE-92C5-C776EBBF18B4}"/>
            </a:ext>
          </a:extLst>
        </xdr:cNvPr>
        <xdr:cNvGrpSpPr/>
      </xdr:nvGrpSpPr>
      <xdr:grpSpPr>
        <a:xfrm>
          <a:off x="20621413" y="53524573"/>
          <a:ext cx="3567854" cy="450427"/>
          <a:chOff x="16230227" y="28357759"/>
          <a:chExt cx="6391543" cy="672305"/>
        </a:xfrm>
      </xdr:grpSpPr>
      <xdr:cxnSp macro="">
        <xdr:nvCxnSpPr>
          <xdr:cNvPr id="121" name="Straight Arrow Connector 120">
            <a:extLst>
              <a:ext uri="{FF2B5EF4-FFF2-40B4-BE49-F238E27FC236}">
                <a16:creationId xmlns:a16="http://schemas.microsoft.com/office/drawing/2014/main" id="{38A45706-D92F-14D5-BD92-0FB1E510BDB1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2" name="Oval 121">
            <a:extLst>
              <a:ext uri="{FF2B5EF4-FFF2-40B4-BE49-F238E27FC236}">
                <a16:creationId xmlns:a16="http://schemas.microsoft.com/office/drawing/2014/main" id="{50EDB2D3-4557-EC9D-AE23-910A141B93C6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23" name="Oval 122">
            <a:extLst>
              <a:ext uri="{FF2B5EF4-FFF2-40B4-BE49-F238E27FC236}">
                <a16:creationId xmlns:a16="http://schemas.microsoft.com/office/drawing/2014/main" id="{61B52846-E257-EACD-49B8-E7FBC7449BA4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24" name="Oval 123">
            <a:extLst>
              <a:ext uri="{FF2B5EF4-FFF2-40B4-BE49-F238E27FC236}">
                <a16:creationId xmlns:a16="http://schemas.microsoft.com/office/drawing/2014/main" id="{C0BA3BC0-2EA6-A423-C1C0-2F0EF03A43F7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25" name="Oval 124">
            <a:extLst>
              <a:ext uri="{FF2B5EF4-FFF2-40B4-BE49-F238E27FC236}">
                <a16:creationId xmlns:a16="http://schemas.microsoft.com/office/drawing/2014/main" id="{77CB4FB0-C375-1526-64AC-19DA1D0831CC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126" name="Straight Arrow Connector 125">
            <a:extLst>
              <a:ext uri="{FF2B5EF4-FFF2-40B4-BE49-F238E27FC236}">
                <a16:creationId xmlns:a16="http://schemas.microsoft.com/office/drawing/2014/main" id="{DD0B3FCC-F8AA-7E46-E237-2105826273DA}"/>
              </a:ext>
            </a:extLst>
          </xdr:cNvPr>
          <xdr:cNvCxnSpPr>
            <a:stCxn id="122" idx="5"/>
            <a:endCxn id="124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7" name="Straight Arrow Connector 126">
            <a:extLst>
              <a:ext uri="{FF2B5EF4-FFF2-40B4-BE49-F238E27FC236}">
                <a16:creationId xmlns:a16="http://schemas.microsoft.com/office/drawing/2014/main" id="{FA43D021-D896-6141-5F11-E4FA43E17246}"/>
              </a:ext>
            </a:extLst>
          </xdr:cNvPr>
          <xdr:cNvCxnSpPr>
            <a:stCxn id="124" idx="6"/>
            <a:endCxn id="125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" name="Straight Arrow Connector 127">
            <a:extLst>
              <a:ext uri="{FF2B5EF4-FFF2-40B4-BE49-F238E27FC236}">
                <a16:creationId xmlns:a16="http://schemas.microsoft.com/office/drawing/2014/main" id="{3EC01BCC-3BCE-2BEB-C0C9-5F97FAF283EB}"/>
              </a:ext>
            </a:extLst>
          </xdr:cNvPr>
          <xdr:cNvCxnSpPr>
            <a:stCxn id="125" idx="6"/>
            <a:endCxn id="123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20</xdr:col>
      <xdr:colOff>15240</xdr:colOff>
      <xdr:row>77</xdr:row>
      <xdr:rowOff>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B66FFA73-46AF-48E9-BE91-51E310A880FD}"/>
                </a:ext>
              </a:extLst>
            </xdr:cNvPr>
            <xdr:cNvSpPr txBox="1"/>
          </xdr:nvSpPr>
          <xdr:spPr>
            <a:xfrm>
              <a:off x="22296120" y="134721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B66FFA73-46AF-48E9-BE91-51E310A880FD}"/>
                </a:ext>
              </a:extLst>
            </xdr:cNvPr>
            <xdr:cNvSpPr txBox="1"/>
          </xdr:nvSpPr>
          <xdr:spPr>
            <a:xfrm>
              <a:off x="22296120" y="134721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298.15𝐾^283.85𝐾▒〖30.827−7.6041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153247</xdr:colOff>
      <xdr:row>85</xdr:row>
      <xdr:rowOff>16933</xdr:rowOff>
    </xdr:from>
    <xdr:ext cx="56845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7A218150-F9F2-4932-BAF7-6A4C4637D4CF}"/>
                </a:ext>
              </a:extLst>
            </xdr:cNvPr>
            <xdr:cNvSpPr txBox="1"/>
          </xdr:nvSpPr>
          <xdr:spPr>
            <a:xfrm>
              <a:off x="22434127" y="15470293"/>
              <a:ext cx="56845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35.72+4.2908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−1.5473×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+2.4070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7A218150-F9F2-4932-BAF7-6A4C4637D4CF}"/>
                </a:ext>
              </a:extLst>
            </xdr:cNvPr>
            <xdr:cNvSpPr txBox="1"/>
          </xdr:nvSpPr>
          <xdr:spPr>
            <a:xfrm>
              <a:off x="22434127" y="15470293"/>
              <a:ext cx="56845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283.85𝐾^279.15𝐾▒〖35.72+4.2908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𝑇−1.5473×10^(−3)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+2.4070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68580</xdr:colOff>
      <xdr:row>98</xdr:row>
      <xdr:rowOff>38100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244DDC22-90E0-448E-8AA7-76987ABEAA71}"/>
                </a:ext>
              </a:extLst>
            </xdr:cNvPr>
            <xdr:cNvSpPr txBox="1"/>
          </xdr:nvSpPr>
          <xdr:spPr>
            <a:xfrm>
              <a:off x="22349460" y="184861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244DDC22-90E0-448E-8AA7-76987ABEAA71}"/>
                </a:ext>
              </a:extLst>
            </xdr:cNvPr>
            <xdr:cNvSpPr txBox="1"/>
          </xdr:nvSpPr>
          <xdr:spPr>
            <a:xfrm>
              <a:off x="22349460" y="184861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298.15𝐾^444.15𝐾▒〖−0.555+3.7003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276014</xdr:colOff>
      <xdr:row>106</xdr:row>
      <xdr:rowOff>11853</xdr:rowOff>
    </xdr:from>
    <xdr:ext cx="550926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A7AE854A-2BF3-467C-A6F3-950CEECA90CF}"/>
                </a:ext>
              </a:extLst>
            </xdr:cNvPr>
            <xdr:cNvSpPr txBox="1"/>
          </xdr:nvSpPr>
          <xdr:spPr>
            <a:xfrm>
              <a:off x="22556894" y="2050203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23.111+1.2283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−3.1218×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+3.0714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A7AE854A-2BF3-467C-A6F3-950CEECA90CF}"/>
                </a:ext>
              </a:extLst>
            </xdr:cNvPr>
            <xdr:cNvSpPr txBox="1"/>
          </xdr:nvSpPr>
          <xdr:spPr>
            <a:xfrm>
              <a:off x="22556894" y="2050203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444.15𝐾^279.15𝐾▒〖23.111+1.2283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𝑇−3.1218×10^(−3)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+3.0714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78742</xdr:colOff>
      <xdr:row>119</xdr:row>
      <xdr:rowOff>78740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CCB473FC-02FC-4390-80F1-64313CBF5901}"/>
                </a:ext>
              </a:extLst>
            </xdr:cNvPr>
            <xdr:cNvSpPr txBox="1"/>
          </xdr:nvSpPr>
          <xdr:spPr>
            <a:xfrm>
              <a:off x="22359622" y="235559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CCB473FC-02FC-4390-80F1-64313CBF5901}"/>
                </a:ext>
              </a:extLst>
            </xdr:cNvPr>
            <xdr:cNvSpPr txBox="1"/>
          </xdr:nvSpPr>
          <xdr:spPr>
            <a:xfrm>
              <a:off x="22359622" y="235559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298.15𝐾^542.04𝐾▒〖−5.264+6.1929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277709</xdr:colOff>
      <xdr:row>127</xdr:row>
      <xdr:rowOff>59267</xdr:rowOff>
    </xdr:from>
    <xdr:ext cx="5481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00789D31-C13E-4898-B5D4-5441A98DE20A}"/>
                </a:ext>
              </a:extLst>
            </xdr:cNvPr>
            <xdr:cNvSpPr txBox="1"/>
          </xdr:nvSpPr>
          <xdr:spPr>
            <a:xfrm>
              <a:off x="22558589" y="2562436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76.703+1.0821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−2.4860×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+2.2497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00789D31-C13E-4898-B5D4-5441A98DE20A}"/>
                </a:ext>
              </a:extLst>
            </xdr:cNvPr>
            <xdr:cNvSpPr txBox="1"/>
          </xdr:nvSpPr>
          <xdr:spPr>
            <a:xfrm>
              <a:off x="22558589" y="2562436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542.04𝐾^279.15𝐾▒〖76.703+1.0821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𝑇−2.4860×10^(−3)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+2.2497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167640</xdr:colOff>
      <xdr:row>140</xdr:row>
      <xdr:rowOff>30480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AE018437-35F8-4482-BBFB-55BB12D19F19}"/>
                </a:ext>
              </a:extLst>
            </xdr:cNvPr>
            <xdr:cNvSpPr txBox="1"/>
          </xdr:nvSpPr>
          <xdr:spPr>
            <a:xfrm>
              <a:off x="22448520" y="286588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470.35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48.218+1.9073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−6.6117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−1.8834×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−8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+1.2555×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AE018437-35F8-4482-BBFB-55BB12D19F19}"/>
                </a:ext>
              </a:extLst>
            </xdr:cNvPr>
            <xdr:cNvSpPr txBox="1"/>
          </xdr:nvSpPr>
          <xdr:spPr>
            <a:xfrm>
              <a:off x="22448520" y="286588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298.15𝐾^470.35𝐾▒〖48.218+1.9073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−6.6117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×10^(−5) 𝑇^2−1.8834×10^(−8) 𝑇^3+1.2555×10^(−11)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190500</xdr:colOff>
      <xdr:row>148</xdr:row>
      <xdr:rowOff>22860</xdr:rowOff>
    </xdr:from>
    <xdr:ext cx="5836920" cy="559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D83F1887-FA37-47F2-AF61-EBC923E1FF03}"/>
                </a:ext>
              </a:extLst>
            </xdr:cNvPr>
            <xdr:cNvSpPr txBox="1"/>
          </xdr:nvSpPr>
          <xdr:spPr>
            <a:xfrm>
              <a:off x="22471380" y="30662880"/>
              <a:ext cx="5836920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70.35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75.878+6.41820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−1.6493×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+1.6937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D83F1887-FA37-47F2-AF61-EBC923E1FF03}"/>
                </a:ext>
              </a:extLst>
            </xdr:cNvPr>
            <xdr:cNvSpPr txBox="1"/>
          </xdr:nvSpPr>
          <xdr:spPr>
            <a:xfrm>
              <a:off x="22471380" y="30662880"/>
              <a:ext cx="5836920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470.35𝐾^279.15𝐾▒〖75.878+6.41820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𝑇−1.6493×10^(−3)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+1.6937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22860</xdr:colOff>
      <xdr:row>161</xdr:row>
      <xdr:rowOff>15240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C4F58FD9-34F7-49EF-A29D-36F14E2101D1}"/>
                </a:ext>
              </a:extLst>
            </xdr:cNvPr>
            <xdr:cNvSpPr txBox="1"/>
          </xdr:nvSpPr>
          <xdr:spPr>
            <a:xfrm>
              <a:off x="22303740" y="336651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C4F58FD9-34F7-49EF-A29D-36F14E2101D1}"/>
                </a:ext>
              </a:extLst>
            </xdr:cNvPr>
            <xdr:cNvSpPr txBox="1"/>
          </xdr:nvSpPr>
          <xdr:spPr>
            <a:xfrm>
              <a:off x="22303740" y="336651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298.15𝐾^283.85𝐾▒〖30.827−7.6041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138007</xdr:colOff>
      <xdr:row>169</xdr:row>
      <xdr:rowOff>1693</xdr:rowOff>
    </xdr:from>
    <xdr:ext cx="56845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D71054ED-BD57-4618-AE58-6249AB419B52}"/>
                </a:ext>
              </a:extLst>
            </xdr:cNvPr>
            <xdr:cNvSpPr txBox="1"/>
          </xdr:nvSpPr>
          <xdr:spPr>
            <a:xfrm>
              <a:off x="22418887" y="35648053"/>
              <a:ext cx="56845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35.72+4.2908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−1.5473×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+2.4070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D71054ED-BD57-4618-AE58-6249AB419B52}"/>
                </a:ext>
              </a:extLst>
            </xdr:cNvPr>
            <xdr:cNvSpPr txBox="1"/>
          </xdr:nvSpPr>
          <xdr:spPr>
            <a:xfrm>
              <a:off x="22418887" y="35648053"/>
              <a:ext cx="56845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283.85𝐾^279.15𝐾▒〖35.72+4.2908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𝑇−1.5473×10^(−3)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+2.4070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22860</xdr:colOff>
      <xdr:row>182</xdr:row>
      <xdr:rowOff>22860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C5BA98B0-3E7C-4947-9AC6-48804E4F1522}"/>
                </a:ext>
              </a:extLst>
            </xdr:cNvPr>
            <xdr:cNvSpPr txBox="1"/>
          </xdr:nvSpPr>
          <xdr:spPr>
            <a:xfrm>
              <a:off x="22303740" y="386562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C5BA98B0-3E7C-4947-9AC6-48804E4F1522}"/>
                </a:ext>
              </a:extLst>
            </xdr:cNvPr>
            <xdr:cNvSpPr txBox="1"/>
          </xdr:nvSpPr>
          <xdr:spPr>
            <a:xfrm>
              <a:off x="22303740" y="386562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298.15𝐾^283.85𝐾▒〖30.827−7.6041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138007</xdr:colOff>
      <xdr:row>190</xdr:row>
      <xdr:rowOff>9313</xdr:rowOff>
    </xdr:from>
    <xdr:ext cx="56845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83DCEB00-8D67-4EDB-9F0D-19382E41F541}"/>
                </a:ext>
              </a:extLst>
            </xdr:cNvPr>
            <xdr:cNvSpPr txBox="1"/>
          </xdr:nvSpPr>
          <xdr:spPr>
            <a:xfrm>
              <a:off x="22418887" y="40639153"/>
              <a:ext cx="56845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35.72+4.2908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−1.5473×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+2.4070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83DCEB00-8D67-4EDB-9F0D-19382E41F541}"/>
                </a:ext>
              </a:extLst>
            </xdr:cNvPr>
            <xdr:cNvSpPr txBox="1"/>
          </xdr:nvSpPr>
          <xdr:spPr>
            <a:xfrm>
              <a:off x="22418887" y="40639153"/>
              <a:ext cx="56845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283.85𝐾^279.15𝐾▒〖35.72+4.2908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𝑇−1.5473×10^(−3)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+2.4070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0</xdr:colOff>
      <xdr:row>203</xdr:row>
      <xdr:rowOff>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E848379F-6850-450C-B5C9-9EAC6153A7B1}"/>
                </a:ext>
              </a:extLst>
            </xdr:cNvPr>
            <xdr:cNvSpPr txBox="1"/>
          </xdr:nvSpPr>
          <xdr:spPr>
            <a:xfrm>
              <a:off x="22280880" y="436092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E848379F-6850-450C-B5C9-9EAC6153A7B1}"/>
                </a:ext>
              </a:extLst>
            </xdr:cNvPr>
            <xdr:cNvSpPr txBox="1"/>
          </xdr:nvSpPr>
          <xdr:spPr>
            <a:xfrm>
              <a:off x="22280880" y="436092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298.15𝐾^444.15𝐾▒〖−0.555+3.7003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207434</xdr:colOff>
      <xdr:row>211</xdr:row>
      <xdr:rowOff>4233</xdr:rowOff>
    </xdr:from>
    <xdr:ext cx="550926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653421B9-BF2E-4F1F-B3B1-273220AC6C4F}"/>
                </a:ext>
              </a:extLst>
            </xdr:cNvPr>
            <xdr:cNvSpPr txBox="1"/>
          </xdr:nvSpPr>
          <xdr:spPr>
            <a:xfrm>
              <a:off x="22488314" y="4562517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23.111+1.2283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−3.1218×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+3.0714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653421B9-BF2E-4F1F-B3B1-273220AC6C4F}"/>
                </a:ext>
              </a:extLst>
            </xdr:cNvPr>
            <xdr:cNvSpPr txBox="1"/>
          </xdr:nvSpPr>
          <xdr:spPr>
            <a:xfrm>
              <a:off x="22488314" y="4562517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444.15𝐾^279.15𝐾▒〖23.111+1.2283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𝑇−3.1218×10^(−3)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+3.0714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17782</xdr:colOff>
      <xdr:row>224</xdr:row>
      <xdr:rowOff>2540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0D348BDC-B30D-4F75-B0FB-D53DF6DAF777}"/>
                </a:ext>
              </a:extLst>
            </xdr:cNvPr>
            <xdr:cNvSpPr txBox="1"/>
          </xdr:nvSpPr>
          <xdr:spPr>
            <a:xfrm>
              <a:off x="22298662" y="486105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0D348BDC-B30D-4F75-B0FB-D53DF6DAF777}"/>
                </a:ext>
              </a:extLst>
            </xdr:cNvPr>
            <xdr:cNvSpPr txBox="1"/>
          </xdr:nvSpPr>
          <xdr:spPr>
            <a:xfrm>
              <a:off x="22298662" y="486105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298.15𝐾^542.04𝐾▒〖−5.264+6.1929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178649</xdr:colOff>
      <xdr:row>232</xdr:row>
      <xdr:rowOff>21167</xdr:rowOff>
    </xdr:from>
    <xdr:ext cx="5481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24965F57-4CA9-4CCA-8D6C-27AEF76169DC}"/>
                </a:ext>
              </a:extLst>
            </xdr:cNvPr>
            <xdr:cNvSpPr txBox="1"/>
          </xdr:nvSpPr>
          <xdr:spPr>
            <a:xfrm>
              <a:off x="22459529" y="5060272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76.703+1.0821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−2.4860×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+2.2497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24965F57-4CA9-4CCA-8D6C-27AEF76169DC}"/>
                </a:ext>
              </a:extLst>
            </xdr:cNvPr>
            <xdr:cNvSpPr txBox="1"/>
          </xdr:nvSpPr>
          <xdr:spPr>
            <a:xfrm>
              <a:off x="22459529" y="5060272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542.04𝐾^279.15𝐾▒〖76.703+1.0821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𝑇−2.4860×10^(−3)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+2.2497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60960</xdr:colOff>
      <xdr:row>245</xdr:row>
      <xdr:rowOff>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882726DF-C54B-4752-B9FB-0DF03556B12B}"/>
                </a:ext>
              </a:extLst>
            </xdr:cNvPr>
            <xdr:cNvSpPr txBox="1"/>
          </xdr:nvSpPr>
          <xdr:spPr>
            <a:xfrm>
              <a:off x="22341840" y="535914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470.35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48.218+1.9073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−6.6117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−1.8834×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−8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+1.2555×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882726DF-C54B-4752-B9FB-0DF03556B12B}"/>
                </a:ext>
              </a:extLst>
            </xdr:cNvPr>
            <xdr:cNvSpPr txBox="1"/>
          </xdr:nvSpPr>
          <xdr:spPr>
            <a:xfrm>
              <a:off x="22341840" y="535914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298.15𝐾^470.35𝐾▒〖48.218+1.9073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−6.6117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×10^(−5) 𝑇^2−1.8834×10^(−8) 𝑇^3+1.2555×10^(−11)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175260</xdr:colOff>
      <xdr:row>253</xdr:row>
      <xdr:rowOff>22860</xdr:rowOff>
    </xdr:from>
    <xdr:ext cx="5836920" cy="559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7837518C-F00E-4E92-889B-559736E3A6E8}"/>
                </a:ext>
              </a:extLst>
            </xdr:cNvPr>
            <xdr:cNvSpPr txBox="1"/>
          </xdr:nvSpPr>
          <xdr:spPr>
            <a:xfrm>
              <a:off x="22456140" y="55603140"/>
              <a:ext cx="5836920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70.35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75.878+6.41820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−1.6493×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+1.6937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7837518C-F00E-4E92-889B-559736E3A6E8}"/>
                </a:ext>
              </a:extLst>
            </xdr:cNvPr>
            <xdr:cNvSpPr txBox="1"/>
          </xdr:nvSpPr>
          <xdr:spPr>
            <a:xfrm>
              <a:off x="22456140" y="55603140"/>
              <a:ext cx="5836920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470.35𝐾^279.15𝐾▒〖75.878+6.41820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𝑇−1.6493×10^(−3)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+1.6937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7</xdr:col>
      <xdr:colOff>179071</xdr:colOff>
      <xdr:row>3</xdr:row>
      <xdr:rowOff>152401</xdr:rowOff>
    </xdr:from>
    <xdr:ext cx="2503170" cy="1219200"/>
    <xdr:sp macro="" textlink="">
      <xdr:nvSpPr>
        <xdr:cNvPr id="9" name="Shape 66">
          <a:extLst>
            <a:ext uri="{FF2B5EF4-FFF2-40B4-BE49-F238E27FC236}">
              <a16:creationId xmlns:a16="http://schemas.microsoft.com/office/drawing/2014/main" id="{EF3EA6B5-A44A-4246-9F8A-851523BCEEFC}"/>
            </a:ext>
          </a:extLst>
        </xdr:cNvPr>
        <xdr:cNvSpPr/>
      </xdr:nvSpPr>
      <xdr:spPr>
        <a:xfrm>
          <a:off x="7044691" y="746761"/>
          <a:ext cx="2503170" cy="12192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Times New Roman"/>
              <a:ea typeface="Times New Roman"/>
              <a:cs typeface="Times New Roman"/>
              <a:sym typeface="Times New Roman"/>
            </a:rPr>
            <a:t>Storage Tank Solvent</a:t>
          </a:r>
          <a:endParaRPr sz="20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2225040</xdr:colOff>
      <xdr:row>60</xdr:row>
      <xdr:rowOff>76200</xdr:rowOff>
    </xdr:from>
    <xdr:to>
      <xdr:col>25</xdr:col>
      <xdr:colOff>228600</xdr:colOff>
      <xdr:row>62</xdr:row>
      <xdr:rowOff>137160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0071258-FCFE-4D4A-913C-F0D919795FB4}"/>
            </a:ext>
          </a:extLst>
        </xdr:cNvPr>
        <xdr:cNvGrpSpPr/>
      </xdr:nvGrpSpPr>
      <xdr:grpSpPr>
        <a:xfrm>
          <a:off x="23490484" y="11943644"/>
          <a:ext cx="5595338" cy="456072"/>
          <a:chOff x="16230227" y="28357759"/>
          <a:chExt cx="6391543" cy="672305"/>
        </a:xfrm>
      </xdr:grpSpPr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BB5E4CF2-FAA1-282B-3C00-386255856DC2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E5BB72C5-54BE-D94D-AB17-5FB824AA3509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B77B1F70-9C0D-6C94-2E8D-73919BE2B3B2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6EA1A446-D333-C356-9F30-7C4DF16FEDC6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C36F1F98-782A-D4B1-5644-A264CF0ACC1C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C03DC713-DE70-4AE8-B34C-F7AC9C4DAF1C}"/>
              </a:ext>
            </a:extLst>
          </xdr:cNvPr>
          <xdr:cNvCxnSpPr>
            <a:stCxn id="7" idx="5"/>
            <a:endCxn id="9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C78E9B4-1D0A-4416-0EFF-770497F41221}"/>
              </a:ext>
            </a:extLst>
          </xdr:cNvPr>
          <xdr:cNvCxnSpPr>
            <a:stCxn id="9" idx="6"/>
            <a:endCxn id="10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2D22058A-B6BD-0675-810F-3E36326A31AF}"/>
              </a:ext>
            </a:extLst>
          </xdr:cNvPr>
          <xdr:cNvCxnSpPr>
            <a:stCxn id="10" idx="6"/>
            <a:endCxn id="8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2308860</xdr:colOff>
      <xdr:row>123</xdr:row>
      <xdr:rowOff>83820</xdr:rowOff>
    </xdr:from>
    <xdr:to>
      <xdr:col>25</xdr:col>
      <xdr:colOff>228600</xdr:colOff>
      <xdr:row>125</xdr:row>
      <xdr:rowOff>144780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4807946-EF1F-4A89-8D09-477C7665D797}"/>
            </a:ext>
          </a:extLst>
        </xdr:cNvPr>
        <xdr:cNvGrpSpPr/>
      </xdr:nvGrpSpPr>
      <xdr:grpSpPr>
        <a:xfrm>
          <a:off x="23574304" y="26838487"/>
          <a:ext cx="5511518" cy="456071"/>
          <a:chOff x="16230227" y="28357759"/>
          <a:chExt cx="6391543" cy="672305"/>
        </a:xfrm>
      </xdr:grpSpPr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A6DD8F0C-7057-1AC5-7732-6D5689C5DD7A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D41685B5-D0D7-A75A-4B31-214AFCC337E4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BCFE256B-5624-9BB5-4F1D-2041ACF9F8C4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7F528222-A24D-E95A-B6DA-5A0B06CC7873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8C1C61F1-6428-ED76-3750-25071472AC4E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930F4DD8-5B35-4785-2831-EAAFC7950DD6}"/>
              </a:ext>
            </a:extLst>
          </xdr:cNvPr>
          <xdr:cNvCxnSpPr>
            <a:stCxn id="16" idx="5"/>
            <a:endCxn id="18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Straight Arrow Connector 20">
            <a:extLst>
              <a:ext uri="{FF2B5EF4-FFF2-40B4-BE49-F238E27FC236}">
                <a16:creationId xmlns:a16="http://schemas.microsoft.com/office/drawing/2014/main" id="{52A2F348-D960-5795-4B07-BFCD522258B1}"/>
              </a:ext>
            </a:extLst>
          </xdr:cNvPr>
          <xdr:cNvCxnSpPr>
            <a:stCxn id="18" idx="6"/>
            <a:endCxn id="19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Straight Arrow Connector 21">
            <a:extLst>
              <a:ext uri="{FF2B5EF4-FFF2-40B4-BE49-F238E27FC236}">
                <a16:creationId xmlns:a16="http://schemas.microsoft.com/office/drawing/2014/main" id="{97B05460-3EC3-8D77-C4BC-3D7765D3F441}"/>
              </a:ext>
            </a:extLst>
          </xdr:cNvPr>
          <xdr:cNvCxnSpPr>
            <a:stCxn id="19" idx="6"/>
            <a:endCxn id="17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2209800</xdr:colOff>
      <xdr:row>81</xdr:row>
      <xdr:rowOff>76200</xdr:rowOff>
    </xdr:from>
    <xdr:to>
      <xdr:col>25</xdr:col>
      <xdr:colOff>213360</xdr:colOff>
      <xdr:row>83</xdr:row>
      <xdr:rowOff>137160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44122762-195C-442B-80EA-F47C058824D0}"/>
            </a:ext>
          </a:extLst>
        </xdr:cNvPr>
        <xdr:cNvGrpSpPr/>
      </xdr:nvGrpSpPr>
      <xdr:grpSpPr>
        <a:xfrm>
          <a:off x="23475244" y="16868422"/>
          <a:ext cx="5595338" cy="456071"/>
          <a:chOff x="16230227" y="28357759"/>
          <a:chExt cx="6391543" cy="672305"/>
        </a:xfrm>
      </xdr:grpSpPr>
      <xdr:cxnSp macro="">
        <xdr:nvCxnSpPr>
          <xdr:cNvPr id="24" name="Straight Arrow Connector 23">
            <a:extLst>
              <a:ext uri="{FF2B5EF4-FFF2-40B4-BE49-F238E27FC236}">
                <a16:creationId xmlns:a16="http://schemas.microsoft.com/office/drawing/2014/main" id="{858EBC3E-F60D-CCD0-69D2-295A2C70DD47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77358563-321B-3EAD-7969-D38073F889A9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E8D89DD6-D924-B116-1618-8E79BF3740B4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FD3DA00A-E038-C6A5-50EA-27F5DE2BBA24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A93698D3-28C7-2924-C468-BE367B7FCBA8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4FC9624D-F830-A6BA-03C9-459EB469BD2B}"/>
              </a:ext>
            </a:extLst>
          </xdr:cNvPr>
          <xdr:cNvCxnSpPr>
            <a:stCxn id="25" idx="5"/>
            <a:endCxn id="27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175226DC-4AB7-9945-B57A-04C0DF9E37DA}"/>
              </a:ext>
            </a:extLst>
          </xdr:cNvPr>
          <xdr:cNvCxnSpPr>
            <a:stCxn id="27" idx="6"/>
            <a:endCxn id="28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Arrow Connector 30">
            <a:extLst>
              <a:ext uri="{FF2B5EF4-FFF2-40B4-BE49-F238E27FC236}">
                <a16:creationId xmlns:a16="http://schemas.microsoft.com/office/drawing/2014/main" id="{AF047EDE-7334-3706-FFE7-252330CDC0FF}"/>
              </a:ext>
            </a:extLst>
          </xdr:cNvPr>
          <xdr:cNvCxnSpPr>
            <a:stCxn id="28" idx="6"/>
            <a:endCxn id="26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2232660</xdr:colOff>
      <xdr:row>102</xdr:row>
      <xdr:rowOff>76200</xdr:rowOff>
    </xdr:from>
    <xdr:to>
      <xdr:col>25</xdr:col>
      <xdr:colOff>152400</xdr:colOff>
      <xdr:row>104</xdr:row>
      <xdr:rowOff>137160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1D2E14CA-30FF-49B0-8D03-9AB428F3E9CE}"/>
            </a:ext>
          </a:extLst>
        </xdr:cNvPr>
        <xdr:cNvGrpSpPr/>
      </xdr:nvGrpSpPr>
      <xdr:grpSpPr>
        <a:xfrm>
          <a:off x="23498104" y="21849644"/>
          <a:ext cx="5511518" cy="456072"/>
          <a:chOff x="16230227" y="28357759"/>
          <a:chExt cx="6391543" cy="672305"/>
        </a:xfrm>
      </xdr:grpSpPr>
      <xdr:cxnSp macro="">
        <xdr:nvCxnSpPr>
          <xdr:cNvPr id="33" name="Straight Arrow Connector 32">
            <a:extLst>
              <a:ext uri="{FF2B5EF4-FFF2-40B4-BE49-F238E27FC236}">
                <a16:creationId xmlns:a16="http://schemas.microsoft.com/office/drawing/2014/main" id="{0BDC754D-C1B1-C973-B47A-703721FB240D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65B74EDE-B9C7-3972-621C-9944B1A123F5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A33EBB3B-4868-C7F9-6231-198B112963D8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C1CADF-F512-421F-B50F-40A5F24C11A0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17543316-C31C-CB65-C25F-BBFBD4B26108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38" name="Straight Arrow Connector 37">
            <a:extLst>
              <a:ext uri="{FF2B5EF4-FFF2-40B4-BE49-F238E27FC236}">
                <a16:creationId xmlns:a16="http://schemas.microsoft.com/office/drawing/2014/main" id="{7027798E-A80A-058C-1DF3-FD44B1B19717}"/>
              </a:ext>
            </a:extLst>
          </xdr:cNvPr>
          <xdr:cNvCxnSpPr>
            <a:stCxn id="34" idx="5"/>
            <a:endCxn id="36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Straight Arrow Connector 38">
            <a:extLst>
              <a:ext uri="{FF2B5EF4-FFF2-40B4-BE49-F238E27FC236}">
                <a16:creationId xmlns:a16="http://schemas.microsoft.com/office/drawing/2014/main" id="{FC90F9DF-C881-B9D0-758E-DD1CBCA0801E}"/>
              </a:ext>
            </a:extLst>
          </xdr:cNvPr>
          <xdr:cNvCxnSpPr>
            <a:stCxn id="36" idx="6"/>
            <a:endCxn id="37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Straight Arrow Connector 39">
            <a:extLst>
              <a:ext uri="{FF2B5EF4-FFF2-40B4-BE49-F238E27FC236}">
                <a16:creationId xmlns:a16="http://schemas.microsoft.com/office/drawing/2014/main" id="{8254F5A3-B54C-A93A-BFEE-15AB73543F50}"/>
              </a:ext>
            </a:extLst>
          </xdr:cNvPr>
          <xdr:cNvCxnSpPr>
            <a:stCxn id="37" idx="6"/>
            <a:endCxn id="35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2202180</xdr:colOff>
      <xdr:row>144</xdr:row>
      <xdr:rowOff>83820</xdr:rowOff>
    </xdr:from>
    <xdr:to>
      <xdr:col>25</xdr:col>
      <xdr:colOff>121920</xdr:colOff>
      <xdr:row>146</xdr:row>
      <xdr:rowOff>144780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F224A563-EB26-42FE-BA02-2BA65A0FF6FA}"/>
            </a:ext>
          </a:extLst>
        </xdr:cNvPr>
        <xdr:cNvGrpSpPr/>
      </xdr:nvGrpSpPr>
      <xdr:grpSpPr>
        <a:xfrm>
          <a:off x="23467624" y="31791487"/>
          <a:ext cx="5511518" cy="456071"/>
          <a:chOff x="16230227" y="28357759"/>
          <a:chExt cx="6391543" cy="672305"/>
        </a:xfrm>
      </xdr:grpSpPr>
      <xdr:cxnSp macro="">
        <xdr:nvCxnSpPr>
          <xdr:cNvPr id="42" name="Straight Arrow Connector 41">
            <a:extLst>
              <a:ext uri="{FF2B5EF4-FFF2-40B4-BE49-F238E27FC236}">
                <a16:creationId xmlns:a16="http://schemas.microsoft.com/office/drawing/2014/main" id="{4E21A5C3-519C-6AC6-E9D3-025D08039771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Oval 42">
            <a:extLst>
              <a:ext uri="{FF2B5EF4-FFF2-40B4-BE49-F238E27FC236}">
                <a16:creationId xmlns:a16="http://schemas.microsoft.com/office/drawing/2014/main" id="{A1D3DFB8-65A4-0632-383A-15F8FEB97048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4" name="Oval 43">
            <a:extLst>
              <a:ext uri="{FF2B5EF4-FFF2-40B4-BE49-F238E27FC236}">
                <a16:creationId xmlns:a16="http://schemas.microsoft.com/office/drawing/2014/main" id="{BA4365DC-55B5-F6C5-AB87-CE7EB1E5CC0A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5" name="Oval 44">
            <a:extLst>
              <a:ext uri="{FF2B5EF4-FFF2-40B4-BE49-F238E27FC236}">
                <a16:creationId xmlns:a16="http://schemas.microsoft.com/office/drawing/2014/main" id="{DEFC9ED1-0F35-1DB2-DE25-3644539D2DDD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46" name="Oval 45">
            <a:extLst>
              <a:ext uri="{FF2B5EF4-FFF2-40B4-BE49-F238E27FC236}">
                <a16:creationId xmlns:a16="http://schemas.microsoft.com/office/drawing/2014/main" id="{F411F764-65B6-DE11-A312-99B857B391F2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47" name="Straight Arrow Connector 46">
            <a:extLst>
              <a:ext uri="{FF2B5EF4-FFF2-40B4-BE49-F238E27FC236}">
                <a16:creationId xmlns:a16="http://schemas.microsoft.com/office/drawing/2014/main" id="{70FFABCA-8AEB-D842-6B79-03B1B6B8D85E}"/>
              </a:ext>
            </a:extLst>
          </xdr:cNvPr>
          <xdr:cNvCxnSpPr>
            <a:stCxn id="43" idx="5"/>
            <a:endCxn id="45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243ED254-8D9C-A096-8BFE-7E377BA820C6}"/>
              </a:ext>
            </a:extLst>
          </xdr:cNvPr>
          <xdr:cNvCxnSpPr>
            <a:stCxn id="45" idx="6"/>
            <a:endCxn id="46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Straight Arrow Connector 48">
            <a:extLst>
              <a:ext uri="{FF2B5EF4-FFF2-40B4-BE49-F238E27FC236}">
                <a16:creationId xmlns:a16="http://schemas.microsoft.com/office/drawing/2014/main" id="{EECA7F1F-D746-FB7D-3947-CE636FD3111A}"/>
              </a:ext>
            </a:extLst>
          </xdr:cNvPr>
          <xdr:cNvCxnSpPr>
            <a:stCxn id="46" idx="6"/>
            <a:endCxn id="44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2263140</xdr:colOff>
      <xdr:row>165</xdr:row>
      <xdr:rowOff>91440</xdr:rowOff>
    </xdr:from>
    <xdr:to>
      <xdr:col>25</xdr:col>
      <xdr:colOff>182880</xdr:colOff>
      <xdr:row>167</xdr:row>
      <xdr:rowOff>152400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D791BD46-85B3-4A37-951D-2E3F13FA2C1D}"/>
            </a:ext>
          </a:extLst>
        </xdr:cNvPr>
        <xdr:cNvGrpSpPr/>
      </xdr:nvGrpSpPr>
      <xdr:grpSpPr>
        <a:xfrm>
          <a:off x="23528584" y="36780329"/>
          <a:ext cx="5511518" cy="456071"/>
          <a:chOff x="16230227" y="28357759"/>
          <a:chExt cx="6391543" cy="672305"/>
        </a:xfrm>
      </xdr:grpSpPr>
      <xdr:cxnSp macro="">
        <xdr:nvCxnSpPr>
          <xdr:cNvPr id="51" name="Straight Arrow Connector 50">
            <a:extLst>
              <a:ext uri="{FF2B5EF4-FFF2-40B4-BE49-F238E27FC236}">
                <a16:creationId xmlns:a16="http://schemas.microsoft.com/office/drawing/2014/main" id="{2EF1620C-F86B-DCE3-FE47-5399D80069A6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Oval 51">
            <a:extLst>
              <a:ext uri="{FF2B5EF4-FFF2-40B4-BE49-F238E27FC236}">
                <a16:creationId xmlns:a16="http://schemas.microsoft.com/office/drawing/2014/main" id="{24D39D4C-1BF0-7DF7-E6E0-F9712FFFEAC6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3" name="Oval 52">
            <a:extLst>
              <a:ext uri="{FF2B5EF4-FFF2-40B4-BE49-F238E27FC236}">
                <a16:creationId xmlns:a16="http://schemas.microsoft.com/office/drawing/2014/main" id="{3D3CF126-F672-7F3C-B166-7CD319AE29CF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4" name="Oval 53">
            <a:extLst>
              <a:ext uri="{FF2B5EF4-FFF2-40B4-BE49-F238E27FC236}">
                <a16:creationId xmlns:a16="http://schemas.microsoft.com/office/drawing/2014/main" id="{98F08C63-DCBC-51B3-377E-AFA5DA29D68B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55" name="Oval 54">
            <a:extLst>
              <a:ext uri="{FF2B5EF4-FFF2-40B4-BE49-F238E27FC236}">
                <a16:creationId xmlns:a16="http://schemas.microsoft.com/office/drawing/2014/main" id="{511D5AC1-40A7-BA89-0648-1DF0ADFA81FC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56" name="Straight Arrow Connector 55">
            <a:extLst>
              <a:ext uri="{FF2B5EF4-FFF2-40B4-BE49-F238E27FC236}">
                <a16:creationId xmlns:a16="http://schemas.microsoft.com/office/drawing/2014/main" id="{895E18D3-CC9B-8EEE-F11F-D66B24C16AE2}"/>
              </a:ext>
            </a:extLst>
          </xdr:cNvPr>
          <xdr:cNvCxnSpPr>
            <a:stCxn id="52" idx="5"/>
            <a:endCxn id="54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Straight Arrow Connector 56">
            <a:extLst>
              <a:ext uri="{FF2B5EF4-FFF2-40B4-BE49-F238E27FC236}">
                <a16:creationId xmlns:a16="http://schemas.microsoft.com/office/drawing/2014/main" id="{BA774238-5C0C-D6FB-28FB-8071430F955B}"/>
              </a:ext>
            </a:extLst>
          </xdr:cNvPr>
          <xdr:cNvCxnSpPr>
            <a:stCxn id="54" idx="6"/>
            <a:endCxn id="55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Straight Arrow Connector 57">
            <a:extLst>
              <a:ext uri="{FF2B5EF4-FFF2-40B4-BE49-F238E27FC236}">
                <a16:creationId xmlns:a16="http://schemas.microsoft.com/office/drawing/2014/main" id="{DC1A4B09-A272-EB3D-BDEE-76A214AA6031}"/>
              </a:ext>
            </a:extLst>
          </xdr:cNvPr>
          <xdr:cNvCxnSpPr>
            <a:stCxn id="55" idx="6"/>
            <a:endCxn id="53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2270760</xdr:colOff>
      <xdr:row>186</xdr:row>
      <xdr:rowOff>76200</xdr:rowOff>
    </xdr:from>
    <xdr:to>
      <xdr:col>25</xdr:col>
      <xdr:colOff>190500</xdr:colOff>
      <xdr:row>188</xdr:row>
      <xdr:rowOff>137160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F3C08AE3-0520-417C-A54B-63CE3E52A1DB}"/>
            </a:ext>
          </a:extLst>
        </xdr:cNvPr>
        <xdr:cNvGrpSpPr/>
      </xdr:nvGrpSpPr>
      <xdr:grpSpPr>
        <a:xfrm>
          <a:off x="23536204" y="41732200"/>
          <a:ext cx="5511518" cy="456071"/>
          <a:chOff x="16230227" y="28357759"/>
          <a:chExt cx="6391543" cy="672305"/>
        </a:xfrm>
      </xdr:grpSpPr>
      <xdr:cxnSp macro="">
        <xdr:nvCxnSpPr>
          <xdr:cNvPr id="60" name="Straight Arrow Connector 59">
            <a:extLst>
              <a:ext uri="{FF2B5EF4-FFF2-40B4-BE49-F238E27FC236}">
                <a16:creationId xmlns:a16="http://schemas.microsoft.com/office/drawing/2014/main" id="{DAF34119-04F2-0FAA-57EE-1DA65BAC96F7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1" name="Oval 60">
            <a:extLst>
              <a:ext uri="{FF2B5EF4-FFF2-40B4-BE49-F238E27FC236}">
                <a16:creationId xmlns:a16="http://schemas.microsoft.com/office/drawing/2014/main" id="{609488CC-D0CF-D2B7-EED1-A52A060BA214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2" name="Oval 61">
            <a:extLst>
              <a:ext uri="{FF2B5EF4-FFF2-40B4-BE49-F238E27FC236}">
                <a16:creationId xmlns:a16="http://schemas.microsoft.com/office/drawing/2014/main" id="{0934ACB2-75C9-CD8A-2510-BE900844BF29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3" name="Oval 62">
            <a:extLst>
              <a:ext uri="{FF2B5EF4-FFF2-40B4-BE49-F238E27FC236}">
                <a16:creationId xmlns:a16="http://schemas.microsoft.com/office/drawing/2014/main" id="{EBDAF821-EE90-BC7B-18BF-6BA69EEC9EE0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64" name="Oval 63">
            <a:extLst>
              <a:ext uri="{FF2B5EF4-FFF2-40B4-BE49-F238E27FC236}">
                <a16:creationId xmlns:a16="http://schemas.microsoft.com/office/drawing/2014/main" id="{ED2BF017-6AD5-AC50-3E00-1FC4C2DAABD9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65" name="Straight Arrow Connector 64">
            <a:extLst>
              <a:ext uri="{FF2B5EF4-FFF2-40B4-BE49-F238E27FC236}">
                <a16:creationId xmlns:a16="http://schemas.microsoft.com/office/drawing/2014/main" id="{DB8ED87A-F38F-8B14-2174-35066499901E}"/>
              </a:ext>
            </a:extLst>
          </xdr:cNvPr>
          <xdr:cNvCxnSpPr>
            <a:stCxn id="61" idx="5"/>
            <a:endCxn id="63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Straight Arrow Connector 65">
            <a:extLst>
              <a:ext uri="{FF2B5EF4-FFF2-40B4-BE49-F238E27FC236}">
                <a16:creationId xmlns:a16="http://schemas.microsoft.com/office/drawing/2014/main" id="{28E9AA85-9FC1-E36F-C734-446116C04802}"/>
              </a:ext>
            </a:extLst>
          </xdr:cNvPr>
          <xdr:cNvCxnSpPr>
            <a:stCxn id="63" idx="6"/>
            <a:endCxn id="64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Straight Arrow Connector 69">
            <a:extLst>
              <a:ext uri="{FF2B5EF4-FFF2-40B4-BE49-F238E27FC236}">
                <a16:creationId xmlns:a16="http://schemas.microsoft.com/office/drawing/2014/main" id="{7900D275-E524-9253-899B-EEC7451CD3E4}"/>
              </a:ext>
            </a:extLst>
          </xdr:cNvPr>
          <xdr:cNvCxnSpPr>
            <a:stCxn id="64" idx="6"/>
            <a:endCxn id="62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2194560</xdr:colOff>
      <xdr:row>207</xdr:row>
      <xdr:rowOff>91440</xdr:rowOff>
    </xdr:from>
    <xdr:to>
      <xdr:col>25</xdr:col>
      <xdr:colOff>114300</xdr:colOff>
      <xdr:row>209</xdr:row>
      <xdr:rowOff>152400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FD58FA91-7399-46AC-BB7F-6EE8E1F8B71E}"/>
            </a:ext>
          </a:extLst>
        </xdr:cNvPr>
        <xdr:cNvGrpSpPr/>
      </xdr:nvGrpSpPr>
      <xdr:grpSpPr>
        <a:xfrm>
          <a:off x="23460004" y="46714551"/>
          <a:ext cx="5511518" cy="456071"/>
          <a:chOff x="16230227" y="28357759"/>
          <a:chExt cx="6391543" cy="672305"/>
        </a:xfrm>
      </xdr:grpSpPr>
      <xdr:cxnSp macro="">
        <xdr:nvCxnSpPr>
          <xdr:cNvPr id="72" name="Straight Arrow Connector 71">
            <a:extLst>
              <a:ext uri="{FF2B5EF4-FFF2-40B4-BE49-F238E27FC236}">
                <a16:creationId xmlns:a16="http://schemas.microsoft.com/office/drawing/2014/main" id="{7E1DE4D3-358A-D359-699F-529B11E82D12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3" name="Oval 72">
            <a:extLst>
              <a:ext uri="{FF2B5EF4-FFF2-40B4-BE49-F238E27FC236}">
                <a16:creationId xmlns:a16="http://schemas.microsoft.com/office/drawing/2014/main" id="{B626C24D-70B8-7F08-A4FF-5BF0B61CF784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74" name="Oval 73">
            <a:extLst>
              <a:ext uri="{FF2B5EF4-FFF2-40B4-BE49-F238E27FC236}">
                <a16:creationId xmlns:a16="http://schemas.microsoft.com/office/drawing/2014/main" id="{F12BC866-4E4E-E370-A045-6FC00FE5D877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75" name="Oval 74">
            <a:extLst>
              <a:ext uri="{FF2B5EF4-FFF2-40B4-BE49-F238E27FC236}">
                <a16:creationId xmlns:a16="http://schemas.microsoft.com/office/drawing/2014/main" id="{657F07E6-4520-3807-8A4F-2B6ED3944668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76" name="Oval 75">
            <a:extLst>
              <a:ext uri="{FF2B5EF4-FFF2-40B4-BE49-F238E27FC236}">
                <a16:creationId xmlns:a16="http://schemas.microsoft.com/office/drawing/2014/main" id="{E4790553-C3E8-4AD7-8991-90BC34DE65F5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77" name="Straight Arrow Connector 76">
            <a:extLst>
              <a:ext uri="{FF2B5EF4-FFF2-40B4-BE49-F238E27FC236}">
                <a16:creationId xmlns:a16="http://schemas.microsoft.com/office/drawing/2014/main" id="{5C12AD88-015D-D099-9D55-899767241532}"/>
              </a:ext>
            </a:extLst>
          </xdr:cNvPr>
          <xdr:cNvCxnSpPr>
            <a:stCxn id="73" idx="5"/>
            <a:endCxn id="75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Straight Arrow Connector 77">
            <a:extLst>
              <a:ext uri="{FF2B5EF4-FFF2-40B4-BE49-F238E27FC236}">
                <a16:creationId xmlns:a16="http://schemas.microsoft.com/office/drawing/2014/main" id="{6B0E8B5E-400F-9709-DE89-31A05883B2CE}"/>
              </a:ext>
            </a:extLst>
          </xdr:cNvPr>
          <xdr:cNvCxnSpPr>
            <a:stCxn id="75" idx="6"/>
            <a:endCxn id="76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Straight Arrow Connector 78">
            <a:extLst>
              <a:ext uri="{FF2B5EF4-FFF2-40B4-BE49-F238E27FC236}">
                <a16:creationId xmlns:a16="http://schemas.microsoft.com/office/drawing/2014/main" id="{E94A41B9-DC11-C74C-0F29-6F37A43179A9}"/>
              </a:ext>
            </a:extLst>
          </xdr:cNvPr>
          <xdr:cNvCxnSpPr>
            <a:stCxn id="76" idx="6"/>
            <a:endCxn id="74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2316480</xdr:colOff>
      <xdr:row>228</xdr:row>
      <xdr:rowOff>76200</xdr:rowOff>
    </xdr:from>
    <xdr:to>
      <xdr:col>25</xdr:col>
      <xdr:colOff>236220</xdr:colOff>
      <xdr:row>230</xdr:row>
      <xdr:rowOff>137160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1C75D4AB-98A5-4891-AE5F-1CEF4BC39A07}"/>
            </a:ext>
          </a:extLst>
        </xdr:cNvPr>
        <xdr:cNvGrpSpPr/>
      </xdr:nvGrpSpPr>
      <xdr:grpSpPr>
        <a:xfrm>
          <a:off x="23581924" y="51680533"/>
          <a:ext cx="5511518" cy="456071"/>
          <a:chOff x="16230227" y="28357759"/>
          <a:chExt cx="6391543" cy="672305"/>
        </a:xfrm>
      </xdr:grpSpPr>
      <xdr:cxnSp macro="">
        <xdr:nvCxnSpPr>
          <xdr:cNvPr id="81" name="Straight Arrow Connector 80">
            <a:extLst>
              <a:ext uri="{FF2B5EF4-FFF2-40B4-BE49-F238E27FC236}">
                <a16:creationId xmlns:a16="http://schemas.microsoft.com/office/drawing/2014/main" id="{A031F8D3-331E-376F-8050-77C789AF4C8F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2" name="Oval 81">
            <a:extLst>
              <a:ext uri="{FF2B5EF4-FFF2-40B4-BE49-F238E27FC236}">
                <a16:creationId xmlns:a16="http://schemas.microsoft.com/office/drawing/2014/main" id="{A333AE5E-F811-5B10-D432-666A29F35013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3" name="Oval 82">
            <a:extLst>
              <a:ext uri="{FF2B5EF4-FFF2-40B4-BE49-F238E27FC236}">
                <a16:creationId xmlns:a16="http://schemas.microsoft.com/office/drawing/2014/main" id="{889636E5-C71D-AE7F-C4B2-CD6B0D02FCD2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4" name="Oval 83">
            <a:extLst>
              <a:ext uri="{FF2B5EF4-FFF2-40B4-BE49-F238E27FC236}">
                <a16:creationId xmlns:a16="http://schemas.microsoft.com/office/drawing/2014/main" id="{369F9543-10B9-75BB-06AF-0A1D90D64FC1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85" name="Oval 84">
            <a:extLst>
              <a:ext uri="{FF2B5EF4-FFF2-40B4-BE49-F238E27FC236}">
                <a16:creationId xmlns:a16="http://schemas.microsoft.com/office/drawing/2014/main" id="{DDC15C18-5A82-B84B-4C26-959B70E51C6C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86" name="Straight Arrow Connector 85">
            <a:extLst>
              <a:ext uri="{FF2B5EF4-FFF2-40B4-BE49-F238E27FC236}">
                <a16:creationId xmlns:a16="http://schemas.microsoft.com/office/drawing/2014/main" id="{3AF09588-DA63-02E7-D570-75ED22A0BFA5}"/>
              </a:ext>
            </a:extLst>
          </xdr:cNvPr>
          <xdr:cNvCxnSpPr>
            <a:stCxn id="82" idx="5"/>
            <a:endCxn id="84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Straight Arrow Connector 86">
            <a:extLst>
              <a:ext uri="{FF2B5EF4-FFF2-40B4-BE49-F238E27FC236}">
                <a16:creationId xmlns:a16="http://schemas.microsoft.com/office/drawing/2014/main" id="{D9FD78B8-C464-B7EF-86D5-3DDB0A3733EA}"/>
              </a:ext>
            </a:extLst>
          </xdr:cNvPr>
          <xdr:cNvCxnSpPr>
            <a:stCxn id="84" idx="6"/>
            <a:endCxn id="85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Straight Arrow Connector 87">
            <a:extLst>
              <a:ext uri="{FF2B5EF4-FFF2-40B4-BE49-F238E27FC236}">
                <a16:creationId xmlns:a16="http://schemas.microsoft.com/office/drawing/2014/main" id="{C79AE3F5-74BF-0C51-EF8C-1DA8A40219A4}"/>
              </a:ext>
            </a:extLst>
          </xdr:cNvPr>
          <xdr:cNvCxnSpPr>
            <a:stCxn id="85" idx="6"/>
            <a:endCxn id="83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11</xdr:col>
      <xdr:colOff>502747</xdr:colOff>
      <xdr:row>62</xdr:row>
      <xdr:rowOff>13335</xdr:rowOff>
    </xdr:from>
    <xdr:ext cx="3343275" cy="1962150"/>
    <xdr:sp macro="" textlink="">
      <xdr:nvSpPr>
        <xdr:cNvPr id="89" name="Shape 67">
          <a:extLst>
            <a:ext uri="{FF2B5EF4-FFF2-40B4-BE49-F238E27FC236}">
              <a16:creationId xmlns:a16="http://schemas.microsoft.com/office/drawing/2014/main" id="{C43193AF-D28C-44C9-9E3C-4FF970B700D2}"/>
            </a:ext>
          </a:extLst>
        </xdr:cNvPr>
        <xdr:cNvSpPr/>
      </xdr:nvSpPr>
      <xdr:spPr>
        <a:xfrm>
          <a:off x="10347787" y="12708255"/>
          <a:ext cx="3343275" cy="196215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Times New Roman"/>
              <a:ea typeface="Times New Roman"/>
              <a:cs typeface="Times New Roman"/>
              <a:sym typeface="Times New Roman"/>
            </a:rPr>
            <a:t>Main Product Tank</a:t>
          </a:r>
          <a:endParaRPr sz="20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185651</xdr:colOff>
      <xdr:row>2</xdr:row>
      <xdr:rowOff>91440</xdr:rowOff>
    </xdr:from>
    <xdr:ext cx="3400425" cy="1628775"/>
    <xdr:sp macro="" textlink="">
      <xdr:nvSpPr>
        <xdr:cNvPr id="90" name="Shape 68">
          <a:extLst>
            <a:ext uri="{FF2B5EF4-FFF2-40B4-BE49-F238E27FC236}">
              <a16:creationId xmlns:a16="http://schemas.microsoft.com/office/drawing/2014/main" id="{3D638BBF-5F53-454D-B1A1-F22622F1E710}"/>
            </a:ext>
          </a:extLst>
        </xdr:cNvPr>
        <xdr:cNvSpPr/>
      </xdr:nvSpPr>
      <xdr:spPr>
        <a:xfrm>
          <a:off x="11768051" y="487680"/>
          <a:ext cx="3400425" cy="162877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Times New Roman"/>
              <a:ea typeface="Times New Roman"/>
              <a:cs typeface="Times New Roman"/>
              <a:sym typeface="Times New Roman"/>
            </a:rPr>
            <a:t>Solvent Collection Tank</a:t>
          </a:r>
          <a:endParaRPr sz="20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391391</xdr:colOff>
      <xdr:row>29</xdr:row>
      <xdr:rowOff>117244</xdr:rowOff>
    </xdr:from>
    <xdr:ext cx="1990725" cy="3314700"/>
    <xdr:sp macro="" textlink="">
      <xdr:nvSpPr>
        <xdr:cNvPr id="91" name="Shape 69">
          <a:extLst>
            <a:ext uri="{FF2B5EF4-FFF2-40B4-BE49-F238E27FC236}">
              <a16:creationId xmlns:a16="http://schemas.microsoft.com/office/drawing/2014/main" id="{89434FA9-EF7A-446D-B743-59608653321B}"/>
            </a:ext>
          </a:extLst>
        </xdr:cNvPr>
        <xdr:cNvSpPr/>
      </xdr:nvSpPr>
      <xdr:spPr>
        <a:xfrm>
          <a:off x="6670271" y="5877964"/>
          <a:ext cx="1990725" cy="33147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Times New Roman"/>
              <a:ea typeface="Times New Roman"/>
              <a:cs typeface="Times New Roman"/>
              <a:sym typeface="Times New Roman"/>
            </a:rPr>
            <a:t>Distillation Column 3</a:t>
          </a:r>
          <a:endParaRPr sz="20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twoCellAnchor>
    <xdr:from>
      <xdr:col>0</xdr:col>
      <xdr:colOff>365760</xdr:colOff>
      <xdr:row>38</xdr:row>
      <xdr:rowOff>13681</xdr:rowOff>
    </xdr:from>
    <xdr:to>
      <xdr:col>7</xdr:col>
      <xdr:colOff>391391</xdr:colOff>
      <xdr:row>38</xdr:row>
      <xdr:rowOff>21301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7859DFAA-A7CE-4CD4-A148-9086BE45B10B}"/>
            </a:ext>
          </a:extLst>
        </xdr:cNvPr>
        <xdr:cNvCxnSpPr>
          <a:endCxn id="91" idx="1"/>
        </xdr:cNvCxnSpPr>
      </xdr:nvCxnSpPr>
      <xdr:spPr>
        <a:xfrm flipV="1">
          <a:off x="365760" y="7557481"/>
          <a:ext cx="6304511" cy="762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517208</xdr:colOff>
      <xdr:row>6</xdr:row>
      <xdr:rowOff>140623</xdr:rowOff>
    </xdr:from>
    <xdr:to>
      <xdr:col>8</xdr:col>
      <xdr:colOff>521970</xdr:colOff>
      <xdr:row>29</xdr:row>
      <xdr:rowOff>117244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2033AECA-05B6-4B2B-A98C-50BE2C4C3CAC}"/>
            </a:ext>
          </a:extLst>
        </xdr:cNvPr>
        <xdr:cNvCxnSpPr>
          <a:stCxn id="91" idx="0"/>
        </xdr:cNvCxnSpPr>
      </xdr:nvCxnSpPr>
      <xdr:spPr>
        <a:xfrm flipV="1">
          <a:off x="7664768" y="1329343"/>
          <a:ext cx="4762" cy="4548621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512445</xdr:colOff>
      <xdr:row>6</xdr:row>
      <xdr:rowOff>116811</xdr:rowOff>
    </xdr:from>
    <xdr:to>
      <xdr:col>13</xdr:col>
      <xdr:colOff>184785</xdr:colOff>
      <xdr:row>6</xdr:row>
      <xdr:rowOff>131098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89013A0F-2212-4214-8EC9-349592FE3813}"/>
            </a:ext>
          </a:extLst>
        </xdr:cNvPr>
        <xdr:cNvCxnSpPr>
          <a:endCxn id="90" idx="1"/>
        </xdr:cNvCxnSpPr>
      </xdr:nvCxnSpPr>
      <xdr:spPr>
        <a:xfrm flipV="1">
          <a:off x="7660005" y="1305531"/>
          <a:ext cx="4107180" cy="14287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495300</xdr:colOff>
      <xdr:row>46</xdr:row>
      <xdr:rowOff>63904</xdr:rowOff>
    </xdr:from>
    <xdr:to>
      <xdr:col>8</xdr:col>
      <xdr:colOff>518074</xdr:colOff>
      <xdr:row>66</xdr:row>
      <xdr:rowOff>190500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AEA6C1CD-D2BB-4AA8-B43B-F6580C4C6114}"/>
            </a:ext>
          </a:extLst>
        </xdr:cNvPr>
        <xdr:cNvCxnSpPr>
          <a:stCxn id="91" idx="2"/>
        </xdr:cNvCxnSpPr>
      </xdr:nvCxnSpPr>
      <xdr:spPr>
        <a:xfrm flipH="1">
          <a:off x="7901940" y="9192664"/>
          <a:ext cx="22774" cy="4088996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502920</xdr:colOff>
      <xdr:row>66</xdr:row>
      <xdr:rowOff>175260</xdr:rowOff>
    </xdr:from>
    <xdr:to>
      <xdr:col>11</xdr:col>
      <xdr:colOff>521797</xdr:colOff>
      <xdr:row>66</xdr:row>
      <xdr:rowOff>184785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4394F65B-95EF-4EB8-A37C-9D20F30B0573}"/>
            </a:ext>
          </a:extLst>
        </xdr:cNvPr>
        <xdr:cNvCxnSpPr/>
      </xdr:nvCxnSpPr>
      <xdr:spPr>
        <a:xfrm flipV="1">
          <a:off x="7650480" y="13662660"/>
          <a:ext cx="2716357" cy="952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22860</xdr:colOff>
      <xdr:row>66</xdr:row>
      <xdr:rowOff>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1E270FFB-6116-4CCE-B7DB-EFD85B0148A1}"/>
                </a:ext>
              </a:extLst>
            </xdr:cNvPr>
            <xdr:cNvSpPr txBox="1"/>
          </xdr:nvSpPr>
          <xdr:spPr>
            <a:xfrm>
              <a:off x="24742140" y="130911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1E270FFB-6116-4CCE-B7DB-EFD85B0148A1}"/>
                </a:ext>
              </a:extLst>
            </xdr:cNvPr>
            <xdr:cNvSpPr txBox="1"/>
          </xdr:nvSpPr>
          <xdr:spPr>
            <a:xfrm>
              <a:off x="24742140" y="130911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298.15𝐾^283.85𝐾▒〖30.827−7.6041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138007</xdr:colOff>
      <xdr:row>74</xdr:row>
      <xdr:rowOff>1693</xdr:rowOff>
    </xdr:from>
    <xdr:ext cx="56845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3C5D2A66-06E0-44FC-8891-8C172784FC4A}"/>
                </a:ext>
              </a:extLst>
            </xdr:cNvPr>
            <xdr:cNvSpPr txBox="1"/>
          </xdr:nvSpPr>
          <xdr:spPr>
            <a:xfrm>
              <a:off x="24857287" y="15074053"/>
              <a:ext cx="56845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35.72+4.2908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−1.5473×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+2.4070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3C5D2A66-06E0-44FC-8891-8C172784FC4A}"/>
                </a:ext>
              </a:extLst>
            </xdr:cNvPr>
            <xdr:cNvSpPr txBox="1"/>
          </xdr:nvSpPr>
          <xdr:spPr>
            <a:xfrm>
              <a:off x="24857287" y="15074053"/>
              <a:ext cx="56845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283.85𝐾^279.15𝐾▒〖35.72+4.2908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𝑇−1.5473×10^(−3)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+2.4070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0</xdr:colOff>
      <xdr:row>87</xdr:row>
      <xdr:rowOff>22860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A894A342-6BF6-4480-81E0-C61654935FBC}"/>
                </a:ext>
              </a:extLst>
            </xdr:cNvPr>
            <xdr:cNvSpPr txBox="1"/>
          </xdr:nvSpPr>
          <xdr:spPr>
            <a:xfrm>
              <a:off x="24719280" y="180441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A894A342-6BF6-4480-81E0-C61654935FBC}"/>
                </a:ext>
              </a:extLst>
            </xdr:cNvPr>
            <xdr:cNvSpPr txBox="1"/>
          </xdr:nvSpPr>
          <xdr:spPr>
            <a:xfrm>
              <a:off x="24719280" y="180441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298.15𝐾^444.15𝐾▒〖−0.555+3.7003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207434</xdr:colOff>
      <xdr:row>95</xdr:row>
      <xdr:rowOff>42333</xdr:rowOff>
    </xdr:from>
    <xdr:ext cx="550926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6D57A0C-1A24-4F23-A0D5-DD97D78472FA}"/>
                </a:ext>
              </a:extLst>
            </xdr:cNvPr>
            <xdr:cNvSpPr txBox="1"/>
          </xdr:nvSpPr>
          <xdr:spPr>
            <a:xfrm>
              <a:off x="24926714" y="2006007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23.111+1.2283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−3.1218×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+3.0714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6D57A0C-1A24-4F23-A0D5-DD97D78472FA}"/>
                </a:ext>
              </a:extLst>
            </xdr:cNvPr>
            <xdr:cNvSpPr txBox="1"/>
          </xdr:nvSpPr>
          <xdr:spPr>
            <a:xfrm>
              <a:off x="24926714" y="2006007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444.15𝐾^279.15𝐾▒〖23.111+1.2283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𝑇−3.1218×10^(−3)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+3.0714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17782</xdr:colOff>
      <xdr:row>108</xdr:row>
      <xdr:rowOff>33020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0E1CAD31-72E9-4E6C-AC9F-A58666487285}"/>
                </a:ext>
              </a:extLst>
            </xdr:cNvPr>
            <xdr:cNvSpPr txBox="1"/>
          </xdr:nvSpPr>
          <xdr:spPr>
            <a:xfrm>
              <a:off x="24737062" y="230454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0E1CAD31-72E9-4E6C-AC9F-A58666487285}"/>
                </a:ext>
              </a:extLst>
            </xdr:cNvPr>
            <xdr:cNvSpPr txBox="1"/>
          </xdr:nvSpPr>
          <xdr:spPr>
            <a:xfrm>
              <a:off x="24737062" y="230454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298.15𝐾^542.04𝐾▒〖−5.264+6.1929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178649</xdr:colOff>
      <xdr:row>116</xdr:row>
      <xdr:rowOff>5927</xdr:rowOff>
    </xdr:from>
    <xdr:ext cx="5481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A15EA48C-94A3-4656-A5F7-90498830FA05}"/>
                </a:ext>
              </a:extLst>
            </xdr:cNvPr>
            <xdr:cNvSpPr txBox="1"/>
          </xdr:nvSpPr>
          <xdr:spPr>
            <a:xfrm>
              <a:off x="24897929" y="2503762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76.703+1.0821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−2.4860×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+2.2497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A15EA48C-94A3-4656-A5F7-90498830FA05}"/>
                </a:ext>
              </a:extLst>
            </xdr:cNvPr>
            <xdr:cNvSpPr txBox="1"/>
          </xdr:nvSpPr>
          <xdr:spPr>
            <a:xfrm>
              <a:off x="24897929" y="2503762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542.04𝐾^279.15𝐾▒〖76.703+1.0821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𝑇−2.4860×10^(−3)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+2.2497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60960</xdr:colOff>
      <xdr:row>129</xdr:row>
      <xdr:rowOff>22860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DA5B8D43-E57C-4D19-83EF-8C3662B7A5EB}"/>
                </a:ext>
              </a:extLst>
            </xdr:cNvPr>
            <xdr:cNvSpPr txBox="1"/>
          </xdr:nvSpPr>
          <xdr:spPr>
            <a:xfrm>
              <a:off x="24780240" y="280263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470.35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48.218+1.9073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−6.6117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−1.8834×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−8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+1.2555×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DA5B8D43-E57C-4D19-83EF-8C3662B7A5EB}"/>
                </a:ext>
              </a:extLst>
            </xdr:cNvPr>
            <xdr:cNvSpPr txBox="1"/>
          </xdr:nvSpPr>
          <xdr:spPr>
            <a:xfrm>
              <a:off x="24780240" y="280263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298.15𝐾^470.35𝐾▒〖48.218+1.9073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−6.6117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×10^(−5) 𝑇^2−1.8834×10^(−8) 𝑇^3+1.2555×10^(−11)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182880</xdr:colOff>
      <xdr:row>137</xdr:row>
      <xdr:rowOff>7620</xdr:rowOff>
    </xdr:from>
    <xdr:ext cx="5836920" cy="559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0003EAB9-36C1-4DFA-8213-2A4EDAD11C2D}"/>
                </a:ext>
              </a:extLst>
            </xdr:cNvPr>
            <xdr:cNvSpPr txBox="1"/>
          </xdr:nvSpPr>
          <xdr:spPr>
            <a:xfrm>
              <a:off x="24902160" y="30007560"/>
              <a:ext cx="5836920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70.35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75.878+6.41820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−1.6493×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+1.6937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0003EAB9-36C1-4DFA-8213-2A4EDAD11C2D}"/>
                </a:ext>
              </a:extLst>
            </xdr:cNvPr>
            <xdr:cNvSpPr txBox="1"/>
          </xdr:nvSpPr>
          <xdr:spPr>
            <a:xfrm>
              <a:off x="24902160" y="30007560"/>
              <a:ext cx="5836920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470.35𝐾^279.15𝐾▒〖75.878+6.41820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𝑇−1.6493×10^(−3)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+1.6937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22860</xdr:colOff>
      <xdr:row>150</xdr:row>
      <xdr:rowOff>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DE57A245-20E4-4107-BAC2-A2F62CC7AE1E}"/>
                </a:ext>
              </a:extLst>
            </xdr:cNvPr>
            <xdr:cNvSpPr txBox="1"/>
          </xdr:nvSpPr>
          <xdr:spPr>
            <a:xfrm>
              <a:off x="24742140" y="329717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DE57A245-20E4-4107-BAC2-A2F62CC7AE1E}"/>
                </a:ext>
              </a:extLst>
            </xdr:cNvPr>
            <xdr:cNvSpPr txBox="1"/>
          </xdr:nvSpPr>
          <xdr:spPr>
            <a:xfrm>
              <a:off x="24742140" y="329717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298.15𝐾^283.85𝐾▒〖30.827−7.6041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145627</xdr:colOff>
      <xdr:row>158</xdr:row>
      <xdr:rowOff>9313</xdr:rowOff>
    </xdr:from>
    <xdr:ext cx="56845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7E39AB5B-1FC7-499C-9157-53711BBB8727}"/>
                </a:ext>
              </a:extLst>
            </xdr:cNvPr>
            <xdr:cNvSpPr txBox="1"/>
          </xdr:nvSpPr>
          <xdr:spPr>
            <a:xfrm>
              <a:off x="24864907" y="34985113"/>
              <a:ext cx="56845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438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35.72+4.2908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−1.5473×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+2.4070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7E39AB5B-1FC7-499C-9157-53711BBB8727}"/>
                </a:ext>
              </a:extLst>
            </xdr:cNvPr>
            <xdr:cNvSpPr txBox="1"/>
          </xdr:nvSpPr>
          <xdr:spPr>
            <a:xfrm>
              <a:off x="24864907" y="34985113"/>
              <a:ext cx="56845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283.85𝐾^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438</a:t>
              </a:r>
              <a:r>
                <a:rPr lang="en-MY" sz="1200" b="0" i="0" kern="1200">
                  <a:latin typeface="Cambria Math" panose="02040503050406030204" pitchFamily="18" charset="0"/>
                </a:rPr>
                <a:t>.15𝐾▒〖35.72+4.2908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𝑇−1.5473×10^(−3)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+2.4070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22860</xdr:colOff>
      <xdr:row>171</xdr:row>
      <xdr:rowOff>15240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C9931583-D9A5-4DF3-9A9C-41CB589F85D9}"/>
                </a:ext>
              </a:extLst>
            </xdr:cNvPr>
            <xdr:cNvSpPr txBox="1"/>
          </xdr:nvSpPr>
          <xdr:spPr>
            <a:xfrm>
              <a:off x="24742140" y="379780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C9931583-D9A5-4DF3-9A9C-41CB589F85D9}"/>
                </a:ext>
              </a:extLst>
            </xdr:cNvPr>
            <xdr:cNvSpPr txBox="1"/>
          </xdr:nvSpPr>
          <xdr:spPr>
            <a:xfrm>
              <a:off x="24742140" y="379780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298.15𝐾^444.15𝐾▒〖−0.555+3.7003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215054</xdr:colOff>
      <xdr:row>179</xdr:row>
      <xdr:rowOff>11853</xdr:rowOff>
    </xdr:from>
    <xdr:ext cx="550926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264674AC-3295-40C9-B032-91B5BAF929FE}"/>
                </a:ext>
              </a:extLst>
            </xdr:cNvPr>
            <xdr:cNvSpPr txBox="1"/>
          </xdr:nvSpPr>
          <xdr:spPr>
            <a:xfrm>
              <a:off x="24934334" y="3997113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438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23.111+1.2283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−3.1218×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+3.0714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264674AC-3295-40C9-B032-91B5BAF929FE}"/>
                </a:ext>
              </a:extLst>
            </xdr:cNvPr>
            <xdr:cNvSpPr txBox="1"/>
          </xdr:nvSpPr>
          <xdr:spPr>
            <a:xfrm>
              <a:off x="24934334" y="3997113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444.15𝐾^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438</a:t>
              </a:r>
              <a:r>
                <a:rPr lang="en-MY" sz="1200" b="0" i="0" kern="1200">
                  <a:latin typeface="Cambria Math" panose="02040503050406030204" pitchFamily="18" charset="0"/>
                </a:rPr>
                <a:t>.15𝐾▒〖23.111+1.2283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𝑇−3.1218×10^(−3)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+3.0714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0</xdr:colOff>
      <xdr:row>192</xdr:row>
      <xdr:rowOff>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63709EE9-EC69-43F2-9727-7F8B49C24BAB}"/>
                </a:ext>
              </a:extLst>
            </xdr:cNvPr>
            <xdr:cNvSpPr txBox="1"/>
          </xdr:nvSpPr>
          <xdr:spPr>
            <a:xfrm>
              <a:off x="24719280" y="429387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−0.555+3.7003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−3.1976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+1.5834×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−3.2344×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63709EE9-EC69-43F2-9727-7F8B49C24BAB}"/>
                </a:ext>
              </a:extLst>
            </xdr:cNvPr>
            <xdr:cNvSpPr txBox="1"/>
          </xdr:nvSpPr>
          <xdr:spPr>
            <a:xfrm>
              <a:off x="24719280" y="429387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298.15𝐾^444.15𝐾▒〖−0.555+3.7003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−3.1976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𝑇^2+1.5834×10^(−7) 𝑇^3−3.2344×10^(−11)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207434</xdr:colOff>
      <xdr:row>200</xdr:row>
      <xdr:rowOff>27093</xdr:rowOff>
    </xdr:from>
    <xdr:ext cx="550926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78CAEA5E-8404-432B-AF58-A3E0B01944B0}"/>
                </a:ext>
              </a:extLst>
            </xdr:cNvPr>
            <xdr:cNvSpPr txBox="1"/>
          </xdr:nvSpPr>
          <xdr:spPr>
            <a:xfrm>
              <a:off x="24926714" y="4495461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44.15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463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23.111+1.2283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−3.1218×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+3.0714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78CAEA5E-8404-432B-AF58-A3E0B01944B0}"/>
                </a:ext>
              </a:extLst>
            </xdr:cNvPr>
            <xdr:cNvSpPr txBox="1"/>
          </xdr:nvSpPr>
          <xdr:spPr>
            <a:xfrm>
              <a:off x="24926714" y="44954613"/>
              <a:ext cx="550926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444.15𝐾^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463</a:t>
              </a:r>
              <a:r>
                <a:rPr lang="en-MY" sz="1200" b="0" i="0" kern="1200">
                  <a:latin typeface="Cambria Math" panose="02040503050406030204" pitchFamily="18" charset="0"/>
                </a:rPr>
                <a:t>.15𝐾▒〖23.111+1.2283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𝑇−3.1218×10^(−3)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+3.0714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17782</xdr:colOff>
      <xdr:row>213</xdr:row>
      <xdr:rowOff>25400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1D7177C5-A395-43DD-A01F-80E9D83C4C1F}"/>
                </a:ext>
              </a:extLst>
            </xdr:cNvPr>
            <xdr:cNvSpPr txBox="1"/>
          </xdr:nvSpPr>
          <xdr:spPr>
            <a:xfrm>
              <a:off x="24737062" y="479399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−5.264+6.1929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−4.9545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+2.1789×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−3.8987×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1D7177C5-A395-43DD-A01F-80E9D83C4C1F}"/>
                </a:ext>
              </a:extLst>
            </xdr:cNvPr>
            <xdr:cNvSpPr txBox="1"/>
          </xdr:nvSpPr>
          <xdr:spPr>
            <a:xfrm>
              <a:off x="24737062" y="479399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298.15𝐾^542.04𝐾▒〖−5.264+6.1929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−4.9545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𝑇^2+2.1789×10^(−7) 𝑇^3−3.8987×10^(−11)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178649</xdr:colOff>
      <xdr:row>221</xdr:row>
      <xdr:rowOff>13547</xdr:rowOff>
    </xdr:from>
    <xdr:ext cx="5481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805E632F-D2FF-43B9-B6D0-6DE6C98A9822}"/>
                </a:ext>
              </a:extLst>
            </xdr:cNvPr>
            <xdr:cNvSpPr txBox="1"/>
          </xdr:nvSpPr>
          <xdr:spPr>
            <a:xfrm>
              <a:off x="24897929" y="4993216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42.04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463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76.703+1.0821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−2.4860×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+2.2497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805E632F-D2FF-43B9-B6D0-6DE6C98A9822}"/>
                </a:ext>
              </a:extLst>
            </xdr:cNvPr>
            <xdr:cNvSpPr txBox="1"/>
          </xdr:nvSpPr>
          <xdr:spPr>
            <a:xfrm>
              <a:off x="24897929" y="49932167"/>
              <a:ext cx="5481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542.04𝐾^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463</a:t>
              </a:r>
              <a:r>
                <a:rPr lang="en-MY" sz="1200" b="0" i="0" kern="1200">
                  <a:latin typeface="Cambria Math" panose="02040503050406030204" pitchFamily="18" charset="0"/>
                </a:rPr>
                <a:t>.15𝐾▒〖76.703+1.0821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×10^0 𝑇−2.4860×10^(−3)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+2.2497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60960</xdr:colOff>
      <xdr:row>234</xdr:row>
      <xdr:rowOff>22860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B281C5B4-A01A-4C4A-943E-740B4E3050C0}"/>
                </a:ext>
              </a:extLst>
            </xdr:cNvPr>
            <xdr:cNvSpPr txBox="1"/>
          </xdr:nvSpPr>
          <xdr:spPr>
            <a:xfrm>
              <a:off x="24780240" y="529209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470.35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48.218+1.9073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−6.6117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−1.8834×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−8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+1.2555×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B281C5B4-A01A-4C4A-943E-740B4E3050C0}"/>
                </a:ext>
              </a:extLst>
            </xdr:cNvPr>
            <xdr:cNvSpPr txBox="1"/>
          </xdr:nvSpPr>
          <xdr:spPr>
            <a:xfrm>
              <a:off x="24780240" y="529209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298.15𝐾^470.35𝐾▒〖48.218+1.9073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−6.6117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×10^(−5) 𝑇^2−1.8834×10^(−8) 𝑇^3+1.2555×10^(−11)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23</xdr:col>
      <xdr:colOff>175260</xdr:colOff>
      <xdr:row>242</xdr:row>
      <xdr:rowOff>30480</xdr:rowOff>
    </xdr:from>
    <xdr:ext cx="5836920" cy="559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FE7AF08-99F3-4B10-B6FD-B06B32209FF4}"/>
                </a:ext>
              </a:extLst>
            </xdr:cNvPr>
            <xdr:cNvSpPr txBox="1"/>
          </xdr:nvSpPr>
          <xdr:spPr>
            <a:xfrm>
              <a:off x="24894540" y="54932580"/>
              <a:ext cx="5836920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70.35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463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75.878+6.41820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−1.6493×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+1.6937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FE7AF08-99F3-4B10-B6FD-B06B32209FF4}"/>
                </a:ext>
              </a:extLst>
            </xdr:cNvPr>
            <xdr:cNvSpPr txBox="1"/>
          </xdr:nvSpPr>
          <xdr:spPr>
            <a:xfrm>
              <a:off x="24894540" y="54932580"/>
              <a:ext cx="5836920" cy="559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470.35𝐾^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463</a:t>
              </a:r>
              <a:r>
                <a:rPr lang="en-MY" sz="1200" b="0" i="0" kern="1200">
                  <a:latin typeface="Cambria Math" panose="02040503050406030204" pitchFamily="18" charset="0"/>
                </a:rPr>
                <a:t>.15𝐾▒〖75.878+6.41820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𝑇−1.6493×10^(−3)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+1.6937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7620</xdr:colOff>
      <xdr:row>25</xdr:row>
      <xdr:rowOff>1905</xdr:rowOff>
    </xdr:from>
    <xdr:ext cx="3200400" cy="1562100"/>
    <xdr:sp macro="" textlink="">
      <xdr:nvSpPr>
        <xdr:cNvPr id="13" name="Shape 70">
          <a:extLst>
            <a:ext uri="{FF2B5EF4-FFF2-40B4-BE49-F238E27FC236}">
              <a16:creationId xmlns:a16="http://schemas.microsoft.com/office/drawing/2014/main" id="{BE3787F0-AEDE-4089-A2B7-47D6593E2D08}"/>
            </a:ext>
          </a:extLst>
        </xdr:cNvPr>
        <xdr:cNvSpPr/>
      </xdr:nvSpPr>
      <xdr:spPr>
        <a:xfrm>
          <a:off x="4351020" y="4756785"/>
          <a:ext cx="3200400" cy="15621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Times New Roman"/>
              <a:ea typeface="Times New Roman"/>
              <a:cs typeface="Times New Roman"/>
              <a:sym typeface="Times New Roman"/>
            </a:rPr>
            <a:t>Heater 4</a:t>
          </a:r>
          <a:endParaRPr sz="20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twoCellAnchor>
    <xdr:from>
      <xdr:col>6</xdr:col>
      <xdr:colOff>739140</xdr:colOff>
      <xdr:row>2</xdr:row>
      <xdr:rowOff>22860</xdr:rowOff>
    </xdr:from>
    <xdr:to>
      <xdr:col>6</xdr:col>
      <xdr:colOff>754380</xdr:colOff>
      <xdr:row>25</xdr:row>
      <xdr:rowOff>1905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2E667F2-4009-4079-8F88-B05D4D6BF4DE}"/>
            </a:ext>
          </a:extLst>
        </xdr:cNvPr>
        <xdr:cNvCxnSpPr>
          <a:endCxn id="13" idx="0"/>
        </xdr:cNvCxnSpPr>
      </xdr:nvCxnSpPr>
      <xdr:spPr>
        <a:xfrm flipH="1">
          <a:off x="5951220" y="419100"/>
          <a:ext cx="15240" cy="453580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601980</xdr:colOff>
      <xdr:row>28</xdr:row>
      <xdr:rowOff>188595</xdr:rowOff>
    </xdr:from>
    <xdr:to>
      <xdr:col>14</xdr:col>
      <xdr:colOff>209550</xdr:colOff>
      <xdr:row>29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205C6EC-C2C0-4145-8029-51A431125ABB}"/>
            </a:ext>
          </a:extLst>
        </xdr:cNvPr>
        <xdr:cNvCxnSpPr>
          <a:stCxn id="13" idx="3"/>
        </xdr:cNvCxnSpPr>
      </xdr:nvCxnSpPr>
      <xdr:spPr>
        <a:xfrm>
          <a:off x="7551420" y="5537835"/>
          <a:ext cx="5185410" cy="9525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201930</xdr:colOff>
      <xdr:row>28</xdr:row>
      <xdr:rowOff>182880</xdr:rowOff>
    </xdr:from>
    <xdr:to>
      <xdr:col>14</xdr:col>
      <xdr:colOff>209550</xdr:colOff>
      <xdr:row>42</xdr:row>
      <xdr:rowOff>45720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BB082C9-53A2-423C-B72F-2C5508ED6B5F}"/>
            </a:ext>
          </a:extLst>
        </xdr:cNvPr>
        <xdr:cNvCxnSpPr/>
      </xdr:nvCxnSpPr>
      <xdr:spPr>
        <a:xfrm flipH="1">
          <a:off x="12942570" y="5730240"/>
          <a:ext cx="7620" cy="263652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2019300</xdr:colOff>
      <xdr:row>42</xdr:row>
      <xdr:rowOff>76200</xdr:rowOff>
    </xdr:from>
    <xdr:to>
      <xdr:col>22</xdr:col>
      <xdr:colOff>167640</xdr:colOff>
      <xdr:row>44</xdr:row>
      <xdr:rowOff>137160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A84E2A82-CB7B-41F7-80BD-ABD034F10047}"/>
            </a:ext>
          </a:extLst>
        </xdr:cNvPr>
        <xdr:cNvGrpSpPr/>
      </xdr:nvGrpSpPr>
      <xdr:grpSpPr>
        <a:xfrm>
          <a:off x="19940155" y="8513618"/>
          <a:ext cx="5297285" cy="462742"/>
          <a:chOff x="16230227" y="28357759"/>
          <a:chExt cx="6391543" cy="672305"/>
        </a:xfrm>
      </xdr:grpSpPr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1B870E21-506E-FCB6-423B-93591A2BB790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195DE9F6-81B1-B2B3-D114-4B3B364D6A8D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B0C55433-2AFC-68AD-62B7-825474514F6F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3325E0BF-D32A-DE19-B252-9A490ADC15B7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198A21CB-E9CE-4DEA-2BC9-65E9B7873DCF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24" name="Straight Arrow Connector 23">
            <a:extLst>
              <a:ext uri="{FF2B5EF4-FFF2-40B4-BE49-F238E27FC236}">
                <a16:creationId xmlns:a16="http://schemas.microsoft.com/office/drawing/2014/main" id="{BBF864C7-2D0F-C641-7033-3A4EFB3E84E7}"/>
              </a:ext>
            </a:extLst>
          </xdr:cNvPr>
          <xdr:cNvCxnSpPr>
            <a:stCxn id="20" idx="5"/>
            <a:endCxn id="22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Arrow Connector 24">
            <a:extLst>
              <a:ext uri="{FF2B5EF4-FFF2-40B4-BE49-F238E27FC236}">
                <a16:creationId xmlns:a16="http://schemas.microsoft.com/office/drawing/2014/main" id="{ACA2B213-7233-CDE5-8135-A4C803F878FD}"/>
              </a:ext>
            </a:extLst>
          </xdr:cNvPr>
          <xdr:cNvCxnSpPr>
            <a:stCxn id="22" idx="6"/>
            <a:endCxn id="23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Arrow Connector 25">
            <a:extLst>
              <a:ext uri="{FF2B5EF4-FFF2-40B4-BE49-F238E27FC236}">
                <a16:creationId xmlns:a16="http://schemas.microsoft.com/office/drawing/2014/main" id="{6D518C38-1724-C4B3-71D8-51941EC70742}"/>
              </a:ext>
            </a:extLst>
          </xdr:cNvPr>
          <xdr:cNvCxnSpPr>
            <a:stCxn id="23" idx="6"/>
            <a:endCxn id="21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2232660</xdr:colOff>
      <xdr:row>63</xdr:row>
      <xdr:rowOff>83820</xdr:rowOff>
    </xdr:from>
    <xdr:to>
      <xdr:col>20</xdr:col>
      <xdr:colOff>99060</xdr:colOff>
      <xdr:row>63</xdr:row>
      <xdr:rowOff>137159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54A0B214-A85B-49C4-AF1C-10BE32B59CF0}"/>
            </a:ext>
          </a:extLst>
        </xdr:cNvPr>
        <xdr:cNvGrpSpPr/>
      </xdr:nvGrpSpPr>
      <xdr:grpSpPr>
        <a:xfrm flipV="1">
          <a:off x="20153515" y="13626638"/>
          <a:ext cx="1828800" cy="53339"/>
          <a:chOff x="19791381" y="19457893"/>
          <a:chExt cx="2970025" cy="71719"/>
        </a:xfrm>
      </xdr:grpSpPr>
      <xdr:cxnSp macro="">
        <xdr:nvCxnSpPr>
          <xdr:cNvPr id="28" name="Straight Arrow Connector 27">
            <a:extLst>
              <a:ext uri="{FF2B5EF4-FFF2-40B4-BE49-F238E27FC236}">
                <a16:creationId xmlns:a16="http://schemas.microsoft.com/office/drawing/2014/main" id="{256A0A4D-F970-9D6F-B4AE-79C7DCC03B63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33C0D33-8CE7-A884-8A99-ABBB5E247B0D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8CFB1151-34E5-3FE2-E0C6-22565E96D20C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oneCellAnchor>
    <xdr:from>
      <xdr:col>19</xdr:col>
      <xdr:colOff>1539240</xdr:colOff>
      <xdr:row>48</xdr:row>
      <xdr:rowOff>30480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B5339904-7706-42C3-9251-4A5C139B86F9}"/>
                </a:ext>
              </a:extLst>
            </xdr:cNvPr>
            <xdr:cNvSpPr txBox="1"/>
          </xdr:nvSpPr>
          <xdr:spPr>
            <a:xfrm>
              <a:off x="21899880" y="95402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B5339904-7706-42C3-9251-4A5C139B86F9}"/>
                </a:ext>
              </a:extLst>
            </xdr:cNvPr>
            <xdr:cNvSpPr txBox="1"/>
          </xdr:nvSpPr>
          <xdr:spPr>
            <a:xfrm>
              <a:off x="21899880" y="95402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_298.15𝐾^283.85𝐾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MY" sz="1200" b="0" i="0" kern="1200">
                  <a:latin typeface="Cambria Math" panose="02040503050406030204" pitchFamily="18" charset="0"/>
                </a:rPr>
                <a:t>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121920</xdr:colOff>
      <xdr:row>56</xdr:row>
      <xdr:rowOff>22860</xdr:rowOff>
    </xdr:from>
    <xdr:ext cx="56845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4CEBB281-04DE-47F1-A90B-793E659A87A5}"/>
                </a:ext>
              </a:extLst>
            </xdr:cNvPr>
            <xdr:cNvSpPr txBox="1"/>
          </xdr:nvSpPr>
          <xdr:spPr>
            <a:xfrm>
              <a:off x="21617940" y="11498580"/>
              <a:ext cx="56845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83.85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279.15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35.72+4.2908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−1.5473×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+2.4070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−6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4CEBB281-04DE-47F1-A90B-793E659A87A5}"/>
                </a:ext>
              </a:extLst>
            </xdr:cNvPr>
            <xdr:cNvSpPr txBox="1"/>
          </xdr:nvSpPr>
          <xdr:spPr>
            <a:xfrm>
              <a:off x="21617940" y="11498580"/>
              <a:ext cx="56845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283.85𝐾^279.15𝐾▒〖35.72+4.2908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×10^(−1) 𝑇−1.5473×10^(−3)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𝑇^2</a:t>
              </a:r>
              <a:r>
                <a:rPr lang="en-MY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+2.4070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×10^(−6) 𝑇^3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20</xdr:col>
      <xdr:colOff>15240</xdr:colOff>
      <xdr:row>65</xdr:row>
      <xdr:rowOff>190500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7C03AFA-1E94-4A03-B424-07937C5E56AF}"/>
                </a:ext>
              </a:extLst>
            </xdr:cNvPr>
            <xdr:cNvSpPr txBox="1"/>
          </xdr:nvSpPr>
          <xdr:spPr>
            <a:xfrm>
              <a:off x="21511260" y="138988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623.1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7C03AFA-1E94-4A03-B424-07937C5E56AF}"/>
                </a:ext>
              </a:extLst>
            </xdr:cNvPr>
            <xdr:cNvSpPr txBox="1"/>
          </xdr:nvSpPr>
          <xdr:spPr>
            <a:xfrm>
              <a:off x="21511260" y="138988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623.1</a:t>
              </a:r>
              <a:r>
                <a:rPr lang="en-MY" sz="1200" b="0" i="0" kern="1200">
                  <a:latin typeface="Cambria Math" panose="02040503050406030204" pitchFamily="18" charset="0"/>
                </a:rPr>
                <a:t>5𝐾▒〖30.827−7.6041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</xdr:colOff>
      <xdr:row>24</xdr:row>
      <xdr:rowOff>194310</xdr:rowOff>
    </xdr:from>
    <xdr:ext cx="2876550" cy="1638300"/>
    <xdr:sp macro="" textlink="">
      <xdr:nvSpPr>
        <xdr:cNvPr id="5" name="Shape 71">
          <a:extLst>
            <a:ext uri="{FF2B5EF4-FFF2-40B4-BE49-F238E27FC236}">
              <a16:creationId xmlns:a16="http://schemas.microsoft.com/office/drawing/2014/main" id="{DF6D24CF-786E-422F-8C8D-E6C458E481B3}"/>
            </a:ext>
          </a:extLst>
        </xdr:cNvPr>
        <xdr:cNvSpPr/>
      </xdr:nvSpPr>
      <xdr:spPr>
        <a:xfrm>
          <a:off x="6276975" y="4949190"/>
          <a:ext cx="2876550" cy="16383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Times New Roman"/>
              <a:ea typeface="Times New Roman"/>
              <a:cs typeface="Times New Roman"/>
              <a:sym typeface="Times New Roman"/>
            </a:rPr>
            <a:t>Holding Tank</a:t>
          </a:r>
          <a:endParaRPr sz="20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twoCellAnchor>
    <xdr:from>
      <xdr:col>0</xdr:col>
      <xdr:colOff>419100</xdr:colOff>
      <xdr:row>29</xdr:row>
      <xdr:rowOff>15240</xdr:rowOff>
    </xdr:from>
    <xdr:to>
      <xdr:col>7</xdr:col>
      <xdr:colOff>5715</xdr:colOff>
      <xdr:row>29</xdr:row>
      <xdr:rowOff>22860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93CA0C4-9BFE-4C6D-932E-0296A52628BA}"/>
            </a:ext>
          </a:extLst>
        </xdr:cNvPr>
        <xdr:cNvCxnSpPr>
          <a:endCxn id="5" idx="1"/>
        </xdr:cNvCxnSpPr>
      </xdr:nvCxnSpPr>
      <xdr:spPr>
        <a:xfrm>
          <a:off x="419100" y="5760720"/>
          <a:ext cx="5857875" cy="762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575310</xdr:colOff>
      <xdr:row>1</xdr:row>
      <xdr:rowOff>167640</xdr:rowOff>
    </xdr:from>
    <xdr:to>
      <xdr:col>8</xdr:col>
      <xdr:colOff>579120</xdr:colOff>
      <xdr:row>24</xdr:row>
      <xdr:rowOff>194310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8D316ED-03CE-4697-B024-1F85FA7BC7C3}"/>
            </a:ext>
          </a:extLst>
        </xdr:cNvPr>
        <xdr:cNvCxnSpPr>
          <a:stCxn id="5" idx="0"/>
        </xdr:cNvCxnSpPr>
      </xdr:nvCxnSpPr>
      <xdr:spPr>
        <a:xfrm flipV="1">
          <a:off x="7715250" y="365760"/>
          <a:ext cx="3810" cy="458343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575310</xdr:colOff>
      <xdr:row>33</xdr:row>
      <xdr:rowOff>49530</xdr:rowOff>
    </xdr:from>
    <xdr:to>
      <xdr:col>8</xdr:col>
      <xdr:colOff>586740</xdr:colOff>
      <xdr:row>60</xdr:row>
      <xdr:rowOff>22860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2BDB827-C83C-4C68-978A-26FB112AA69D}"/>
            </a:ext>
          </a:extLst>
        </xdr:cNvPr>
        <xdr:cNvCxnSpPr>
          <a:endCxn id="5" idx="2"/>
        </xdr:cNvCxnSpPr>
      </xdr:nvCxnSpPr>
      <xdr:spPr>
        <a:xfrm flipH="1" flipV="1">
          <a:off x="7715250" y="6587490"/>
          <a:ext cx="11430" cy="492633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2004060</xdr:colOff>
      <xdr:row>41</xdr:row>
      <xdr:rowOff>83820</xdr:rowOff>
    </xdr:from>
    <xdr:to>
      <xdr:col>19</xdr:col>
      <xdr:colOff>106680</xdr:colOff>
      <xdr:row>41</xdr:row>
      <xdr:rowOff>137159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9D896B7-B867-44C9-8918-B60668D38BB4}"/>
            </a:ext>
          </a:extLst>
        </xdr:cNvPr>
        <xdr:cNvGrpSpPr/>
      </xdr:nvGrpSpPr>
      <xdr:grpSpPr>
        <a:xfrm flipV="1">
          <a:off x="19072860" y="8206740"/>
          <a:ext cx="1981200" cy="53339"/>
          <a:chOff x="19791381" y="19457893"/>
          <a:chExt cx="2970025" cy="71719"/>
        </a:xfrm>
      </xdr:grpSpPr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4B1057F9-0003-9A89-3505-BE2F4363699C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48E7C5B2-FA01-3B25-403E-A865795D0C21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EDF3A190-BC8D-2A7B-A0A2-18AF6B5949A6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17</xdr:col>
      <xdr:colOff>1996440</xdr:colOff>
      <xdr:row>50</xdr:row>
      <xdr:rowOff>76200</xdr:rowOff>
    </xdr:from>
    <xdr:to>
      <xdr:col>19</xdr:col>
      <xdr:colOff>99060</xdr:colOff>
      <xdr:row>50</xdr:row>
      <xdr:rowOff>129539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3AE29D55-191E-4E88-AB82-8A12FE2CF8FF}"/>
            </a:ext>
          </a:extLst>
        </xdr:cNvPr>
        <xdr:cNvGrpSpPr/>
      </xdr:nvGrpSpPr>
      <xdr:grpSpPr>
        <a:xfrm flipV="1">
          <a:off x="19065240" y="9982200"/>
          <a:ext cx="1981200" cy="53339"/>
          <a:chOff x="19791381" y="19457893"/>
          <a:chExt cx="2970025" cy="71719"/>
        </a:xfrm>
      </xdr:grpSpPr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7EAEC160-0D5B-62B5-5AD8-8C4DC60ED84A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615235B8-0420-82F2-C56E-F2502D134B34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6836B107-A0B4-704D-120E-9ADA3F632A93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17</xdr:col>
      <xdr:colOff>1973580</xdr:colOff>
      <xdr:row>57</xdr:row>
      <xdr:rowOff>76200</xdr:rowOff>
    </xdr:from>
    <xdr:to>
      <xdr:col>19</xdr:col>
      <xdr:colOff>76200</xdr:colOff>
      <xdr:row>57</xdr:row>
      <xdr:rowOff>129539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C632BC7C-5A12-D58C-0132-703D9E502ADB}"/>
            </a:ext>
          </a:extLst>
        </xdr:cNvPr>
        <xdr:cNvGrpSpPr/>
      </xdr:nvGrpSpPr>
      <xdr:grpSpPr>
        <a:xfrm flipV="1">
          <a:off x="19042380" y="11772900"/>
          <a:ext cx="1981200" cy="53339"/>
          <a:chOff x="19791381" y="19457893"/>
          <a:chExt cx="2970025" cy="71719"/>
        </a:xfrm>
      </xdr:grpSpPr>
      <xdr:cxnSp macro="">
        <xdr:nvCxnSpPr>
          <xdr:cNvPr id="18" name="Straight Arrow Connector 17">
            <a:extLst>
              <a:ext uri="{FF2B5EF4-FFF2-40B4-BE49-F238E27FC236}">
                <a16:creationId xmlns:a16="http://schemas.microsoft.com/office/drawing/2014/main" id="{05A10047-CA4A-CA73-E821-3EC52CD2F569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D73C48B1-CFA3-C928-8E9D-043B778B651C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E3979C1A-2D4C-7898-CB59-D668A51DEC1A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oneCellAnchor>
    <xdr:from>
      <xdr:col>19</xdr:col>
      <xdr:colOff>121920</xdr:colOff>
      <xdr:row>44</xdr:row>
      <xdr:rowOff>7620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8D38938-8834-415F-9608-B9D227E1B402}"/>
                </a:ext>
              </a:extLst>
            </xdr:cNvPr>
            <xdr:cNvSpPr txBox="1"/>
          </xdr:nvSpPr>
          <xdr:spPr>
            <a:xfrm>
              <a:off x="20665440" y="87249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8D38938-8834-415F-9608-B9D227E1B402}"/>
                </a:ext>
              </a:extLst>
            </xdr:cNvPr>
            <xdr:cNvSpPr txBox="1"/>
          </xdr:nvSpPr>
          <xdr:spPr>
            <a:xfrm>
              <a:off x="20665440" y="87249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298.15𝐾^623.15𝐾▒〖30.827−7.6041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19</xdr:col>
      <xdr:colOff>30480</xdr:colOff>
      <xdr:row>53</xdr:row>
      <xdr:rowOff>15240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1FEF0B24-B805-4857-BD10-3BD5F434B4A3}"/>
                </a:ext>
              </a:extLst>
            </xdr:cNvPr>
            <xdr:cNvSpPr txBox="1"/>
          </xdr:nvSpPr>
          <xdr:spPr>
            <a:xfrm>
              <a:off x="20574000" y="105156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1FEF0B24-B805-4857-BD10-3BD5F434B4A3}"/>
                </a:ext>
              </a:extLst>
            </xdr:cNvPr>
            <xdr:cNvSpPr txBox="1"/>
          </xdr:nvSpPr>
          <xdr:spPr>
            <a:xfrm>
              <a:off x="20574000" y="1051560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298.15𝐾^623.15𝐾▒〖30.827−7.6041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19</xdr:col>
      <xdr:colOff>0</xdr:colOff>
      <xdr:row>60</xdr:row>
      <xdr:rowOff>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BE84234-3440-40F4-8FB1-5C79516A4DF3}"/>
                </a:ext>
              </a:extLst>
            </xdr:cNvPr>
            <xdr:cNvSpPr txBox="1"/>
          </xdr:nvSpPr>
          <xdr:spPr>
            <a:xfrm>
              <a:off x="20543520" y="122910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BE84234-3440-40F4-8FB1-5C79516A4DF3}"/>
                </a:ext>
              </a:extLst>
            </xdr:cNvPr>
            <xdr:cNvSpPr txBox="1"/>
          </xdr:nvSpPr>
          <xdr:spPr>
            <a:xfrm>
              <a:off x="20543520" y="122910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MY" sz="1200" i="0" kern="1200">
                  <a:latin typeface="Cambria Math" panose="02040503050406030204" pitchFamily="18" charset="0"/>
                </a:rPr>
                <a:t>∫25_</a:t>
              </a:r>
              <a:r>
                <a:rPr lang="en-MY" sz="1200" b="0" i="0" kern="1200">
                  <a:latin typeface="Cambria Math" panose="02040503050406030204" pitchFamily="18" charset="0"/>
                </a:rPr>
                <a:t>298.15𝐾^623.15𝐾▒〖30.827−7.6041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</xdr:colOff>
      <xdr:row>4</xdr:row>
      <xdr:rowOff>40005</xdr:rowOff>
    </xdr:from>
    <xdr:ext cx="3343275" cy="1819275"/>
    <xdr:sp macro="" textlink="">
      <xdr:nvSpPr>
        <xdr:cNvPr id="10" name="Shape 72">
          <a:extLst>
            <a:ext uri="{FF2B5EF4-FFF2-40B4-BE49-F238E27FC236}">
              <a16:creationId xmlns:a16="http://schemas.microsoft.com/office/drawing/2014/main" id="{12AA328B-59D5-4AF7-B965-D5EFD75AB690}"/>
            </a:ext>
          </a:extLst>
        </xdr:cNvPr>
        <xdr:cNvSpPr/>
      </xdr:nvSpPr>
      <xdr:spPr>
        <a:xfrm>
          <a:off x="922020" y="832485"/>
          <a:ext cx="3343275" cy="181927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Times New Roman"/>
              <a:ea typeface="Times New Roman"/>
              <a:cs typeface="Times New Roman"/>
              <a:sym typeface="Times New Roman"/>
            </a:rPr>
            <a:t>Storage Tank EO</a:t>
          </a:r>
          <a:endParaRPr sz="20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617220</xdr:colOff>
      <xdr:row>3</xdr:row>
      <xdr:rowOff>190500</xdr:rowOff>
    </xdr:from>
    <xdr:ext cx="3343275" cy="1905000"/>
    <xdr:sp macro="" textlink="">
      <xdr:nvSpPr>
        <xdr:cNvPr id="11" name="Shape 73">
          <a:extLst>
            <a:ext uri="{FF2B5EF4-FFF2-40B4-BE49-F238E27FC236}">
              <a16:creationId xmlns:a16="http://schemas.microsoft.com/office/drawing/2014/main" id="{02FB8328-6854-4161-98DA-A6B780D0DCE8}"/>
            </a:ext>
          </a:extLst>
        </xdr:cNvPr>
        <xdr:cNvSpPr/>
      </xdr:nvSpPr>
      <xdr:spPr>
        <a:xfrm>
          <a:off x="9593580" y="784860"/>
          <a:ext cx="3343275" cy="19050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Times New Roman"/>
              <a:ea typeface="Times New Roman"/>
              <a:cs typeface="Times New Roman"/>
              <a:sym typeface="Times New Roman"/>
            </a:rPr>
            <a:t>Heater 2</a:t>
          </a:r>
          <a:endParaRPr sz="20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twoCellAnchor>
    <xdr:from>
      <xdr:col>4</xdr:col>
      <xdr:colOff>790575</xdr:colOff>
      <xdr:row>8</xdr:row>
      <xdr:rowOff>152400</xdr:rowOff>
    </xdr:from>
    <xdr:to>
      <xdr:col>10</xdr:col>
      <xdr:colOff>617220</xdr:colOff>
      <xdr:row>8</xdr:row>
      <xdr:rowOff>157163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09F6A17-CA2F-4FF8-90C9-892684E0F9D1}"/>
            </a:ext>
          </a:extLst>
        </xdr:cNvPr>
        <xdr:cNvCxnSpPr>
          <a:stCxn id="10" idx="3"/>
          <a:endCxn id="11" idx="1"/>
        </xdr:cNvCxnSpPr>
      </xdr:nvCxnSpPr>
      <xdr:spPr>
        <a:xfrm flipV="1">
          <a:off x="4265295" y="1737360"/>
          <a:ext cx="5328285" cy="4763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485775</xdr:colOff>
      <xdr:row>8</xdr:row>
      <xdr:rowOff>140970</xdr:rowOff>
    </xdr:from>
    <xdr:to>
      <xdr:col>19</xdr:col>
      <xdr:colOff>38100</xdr:colOff>
      <xdr:row>8</xdr:row>
      <xdr:rowOff>152400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828E590-D223-4F23-95E2-30499C1D5E34}"/>
            </a:ext>
          </a:extLst>
        </xdr:cNvPr>
        <xdr:cNvCxnSpPr>
          <a:stCxn id="11" idx="3"/>
        </xdr:cNvCxnSpPr>
      </xdr:nvCxnSpPr>
      <xdr:spPr>
        <a:xfrm flipV="1">
          <a:off x="12936855" y="1725930"/>
          <a:ext cx="4002405" cy="1143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2377440</xdr:colOff>
      <xdr:row>39</xdr:row>
      <xdr:rowOff>76200</xdr:rowOff>
    </xdr:from>
    <xdr:to>
      <xdr:col>25</xdr:col>
      <xdr:colOff>152400</xdr:colOff>
      <xdr:row>39</xdr:row>
      <xdr:rowOff>129539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4E0C610C-C760-45CA-A70B-C41D7090AECD}"/>
            </a:ext>
          </a:extLst>
        </xdr:cNvPr>
        <xdr:cNvGrpSpPr/>
      </xdr:nvGrpSpPr>
      <xdr:grpSpPr>
        <a:xfrm flipV="1">
          <a:off x="24246840" y="7890164"/>
          <a:ext cx="1834342" cy="53339"/>
          <a:chOff x="19791381" y="19457893"/>
          <a:chExt cx="2970025" cy="71719"/>
        </a:xfrm>
      </xdr:grpSpPr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F269A77F-035D-AA47-47ED-3C22FAF80491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A1FF185C-6C47-B280-905C-3CE6C74BD029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ADDAD318-776F-A379-F131-780E7B002621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23</xdr:col>
      <xdr:colOff>2339340</xdr:colOff>
      <xdr:row>46</xdr:row>
      <xdr:rowOff>83820</xdr:rowOff>
    </xdr:from>
    <xdr:to>
      <xdr:col>25</xdr:col>
      <xdr:colOff>114300</xdr:colOff>
      <xdr:row>46</xdr:row>
      <xdr:rowOff>137159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2D5A7154-F562-4F12-B906-514765B1DCD5}"/>
            </a:ext>
          </a:extLst>
        </xdr:cNvPr>
        <xdr:cNvGrpSpPr/>
      </xdr:nvGrpSpPr>
      <xdr:grpSpPr>
        <a:xfrm flipV="1">
          <a:off x="24208740" y="9726584"/>
          <a:ext cx="1834342" cy="53339"/>
          <a:chOff x="19791381" y="19457893"/>
          <a:chExt cx="2970025" cy="71719"/>
        </a:xfrm>
      </xdr:grpSpPr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BF1EBB92-7475-9269-2944-30D41CCDCA93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C4621DB4-2643-0B2C-CB63-EEF211544E2D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996F9BEF-DBEB-6EF2-8BB5-EC8136D1C0B5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oneCellAnchor>
    <xdr:from>
      <xdr:col>25</xdr:col>
      <xdr:colOff>0</xdr:colOff>
      <xdr:row>42</xdr:row>
      <xdr:rowOff>22860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B3597AD-4D4B-48C5-A97C-4BEB452A3EE5}"/>
                </a:ext>
              </a:extLst>
            </xdr:cNvPr>
            <xdr:cNvSpPr txBox="1"/>
          </xdr:nvSpPr>
          <xdr:spPr>
            <a:xfrm>
              <a:off x="25763220" y="82981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298.15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B3597AD-4D4B-48C5-A97C-4BEB452A3EE5}"/>
                </a:ext>
              </a:extLst>
            </xdr:cNvPr>
            <xdr:cNvSpPr txBox="1"/>
          </xdr:nvSpPr>
          <xdr:spPr>
            <a:xfrm>
              <a:off x="25763220" y="82981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_298.15𝐾^298.15𝐾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MY" sz="1200" b="0" i="0" kern="1200">
                  <a:latin typeface="Cambria Math" panose="02040503050406030204" pitchFamily="18" charset="0"/>
                </a:rPr>
                <a:t>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24</xdr:col>
      <xdr:colOff>1409700</xdr:colOff>
      <xdr:row>48</xdr:row>
      <xdr:rowOff>190500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AEDB489-B2D5-4AA3-98B2-4C30070EEB3B}"/>
                </a:ext>
              </a:extLst>
            </xdr:cNvPr>
            <xdr:cNvSpPr txBox="1"/>
          </xdr:nvSpPr>
          <xdr:spPr>
            <a:xfrm>
              <a:off x="25755600" y="100812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AEDB489-B2D5-4AA3-98B2-4C30070EEB3B}"/>
                </a:ext>
              </a:extLst>
            </xdr:cNvPr>
            <xdr:cNvSpPr txBox="1"/>
          </xdr:nvSpPr>
          <xdr:spPr>
            <a:xfrm>
              <a:off x="25755600" y="1008126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_298.15𝐾^623.15𝐾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MY" sz="1200" b="0" i="0" kern="1200">
                  <a:latin typeface="Cambria Math" panose="02040503050406030204" pitchFamily="18" charset="0"/>
                </a:rPr>
                <a:t>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831216</xdr:colOff>
      <xdr:row>21</xdr:row>
      <xdr:rowOff>68580</xdr:rowOff>
    </xdr:from>
    <xdr:ext cx="3379469" cy="1556385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A7FB5903-CBA6-4252-B81D-6AF8DB64EDFD}"/>
            </a:ext>
          </a:extLst>
        </xdr:cNvPr>
        <xdr:cNvSpPr/>
      </xdr:nvSpPr>
      <xdr:spPr>
        <a:xfrm>
          <a:off x="9723756" y="4229100"/>
          <a:ext cx="3379469" cy="155638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MY" sz="2000" b="1">
              <a:latin typeface="Times New Roman" panose="02020603050405020304" pitchFamily="18" charset="0"/>
              <a:cs typeface="Times New Roman" panose="02020603050405020304" pitchFamily="18" charset="0"/>
            </a:rPr>
            <a:t>Heater 1</a:t>
          </a:r>
          <a:endParaRPr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 fLocksWithSheet="0"/>
  </xdr:oneCellAnchor>
  <xdr:oneCellAnchor>
    <xdr:from>
      <xdr:col>1</xdr:col>
      <xdr:colOff>297180</xdr:colOff>
      <xdr:row>21</xdr:row>
      <xdr:rowOff>70485</xdr:rowOff>
    </xdr:from>
    <xdr:ext cx="3392805" cy="1554479"/>
    <xdr:sp macro="" textlink="">
      <xdr:nvSpPr>
        <xdr:cNvPr id="9" name="Shape 74">
          <a:extLst>
            <a:ext uri="{FF2B5EF4-FFF2-40B4-BE49-F238E27FC236}">
              <a16:creationId xmlns:a16="http://schemas.microsoft.com/office/drawing/2014/main" id="{C4D19740-FA0D-4842-873B-F77BDEB46B14}"/>
            </a:ext>
          </a:extLst>
        </xdr:cNvPr>
        <xdr:cNvSpPr/>
      </xdr:nvSpPr>
      <xdr:spPr>
        <a:xfrm>
          <a:off x="1165860" y="4231005"/>
          <a:ext cx="3392805" cy="1554479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Times New Roman"/>
              <a:ea typeface="Times New Roman"/>
              <a:cs typeface="Times New Roman"/>
              <a:sym typeface="Times New Roman"/>
            </a:rPr>
            <a:t>Storage Tank AM</a:t>
          </a:r>
          <a:endParaRPr sz="20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twoCellAnchor>
    <xdr:from>
      <xdr:col>5</xdr:col>
      <xdr:colOff>228811</xdr:colOff>
      <xdr:row>25</xdr:row>
      <xdr:rowOff>15347</xdr:rowOff>
    </xdr:from>
    <xdr:to>
      <xdr:col>10</xdr:col>
      <xdr:colOff>831216</xdr:colOff>
      <xdr:row>25</xdr:row>
      <xdr:rowOff>16299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CB5BC8E-BD95-4D99-8750-F9F94569F48B}"/>
            </a:ext>
          </a:extLst>
        </xdr:cNvPr>
        <xdr:cNvCxnSpPr>
          <a:stCxn id="9" idx="3"/>
          <a:endCxn id="8" idx="1"/>
        </xdr:cNvCxnSpPr>
      </xdr:nvCxnSpPr>
      <xdr:spPr>
        <a:xfrm flipV="1">
          <a:off x="4572211" y="4968347"/>
          <a:ext cx="5151545" cy="95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749511</xdr:colOff>
      <xdr:row>25</xdr:row>
      <xdr:rowOff>8679</xdr:rowOff>
    </xdr:from>
    <xdr:to>
      <xdr:col>20</xdr:col>
      <xdr:colOff>586951</xdr:colOff>
      <xdr:row>25</xdr:row>
      <xdr:rowOff>15347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9CA3C4F-EA26-407C-AB7B-F10C4B4702E5}"/>
            </a:ext>
          </a:extLst>
        </xdr:cNvPr>
        <xdr:cNvCxnSpPr>
          <a:stCxn id="8" idx="3"/>
        </xdr:cNvCxnSpPr>
      </xdr:nvCxnSpPr>
      <xdr:spPr>
        <a:xfrm flipV="1">
          <a:off x="13116771" y="4961679"/>
          <a:ext cx="5278120" cy="666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2545080</xdr:colOff>
      <xdr:row>40</xdr:row>
      <xdr:rowOff>83819</xdr:rowOff>
    </xdr:from>
    <xdr:to>
      <xdr:col>27</xdr:col>
      <xdr:colOff>228600</xdr:colOff>
      <xdr:row>40</xdr:row>
      <xdr:rowOff>129538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A426B11-9D72-4D9C-B7D8-EA6A10F82C86}"/>
            </a:ext>
          </a:extLst>
        </xdr:cNvPr>
        <xdr:cNvGrpSpPr/>
      </xdr:nvGrpSpPr>
      <xdr:grpSpPr>
        <a:xfrm flipV="1">
          <a:off x="25968960" y="7978139"/>
          <a:ext cx="1577340" cy="45719"/>
          <a:chOff x="19791381" y="19457893"/>
          <a:chExt cx="2970025" cy="71719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EAE734E7-EC00-F3A9-30AC-E560C6D965D5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352A0459-FC88-C951-C4F5-D64B04ED88F1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2984E0A0-D8B4-49AA-1DA6-08C9E65B0CC7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oneCellAnchor>
    <xdr:from>
      <xdr:col>27</xdr:col>
      <xdr:colOff>129540</xdr:colOff>
      <xdr:row>44</xdr:row>
      <xdr:rowOff>7620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FE52CBD-FF2F-4508-8DDD-85073247BE1E}"/>
                </a:ext>
              </a:extLst>
            </xdr:cNvPr>
            <xdr:cNvSpPr txBox="1"/>
          </xdr:nvSpPr>
          <xdr:spPr>
            <a:xfrm>
              <a:off x="28392120" y="79019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298.15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33.573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1.2581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GB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200" b="0" i="1" kern="1200">
                        <a:latin typeface="Cambria Math" panose="02040503050406030204" pitchFamily="18" charset="0"/>
                      </a:rPr>
                      <m:t>8.8906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7.1783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8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+1.8569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FE52CBD-FF2F-4508-8DDD-85073247BE1E}"/>
                </a:ext>
              </a:extLst>
            </xdr:cNvPr>
            <xdr:cNvSpPr txBox="1"/>
          </xdr:nvSpPr>
          <xdr:spPr>
            <a:xfrm>
              <a:off x="28392120" y="790194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298.15</a:t>
              </a:r>
              <a:r>
                <a:rPr lang="en-MY" sz="1200" b="0" i="0" kern="1200">
                  <a:latin typeface="Cambria Math" panose="02040503050406030204" pitchFamily="18" charset="0"/>
                </a:rPr>
                <a:t>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GB" sz="1200" b="0" i="0" kern="1200">
                  <a:latin typeface="Cambria Math" panose="02040503050406030204" pitchFamily="18" charset="0"/>
                </a:rPr>
                <a:t>33.573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</a:t>
              </a:r>
              <a:r>
                <a:rPr lang="en-GB" sz="1200" b="0" i="0" kern="1200">
                  <a:latin typeface="Cambria Math" panose="02040503050406030204" pitchFamily="18" charset="0"/>
                </a:rPr>
                <a:t>1.2581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</a:t>
              </a:r>
              <a:r>
                <a:rPr lang="en-GB" sz="1200" b="0" i="0" kern="1200">
                  <a:latin typeface="Cambria Math" panose="02040503050406030204" pitchFamily="18" charset="0"/>
                </a:rPr>
                <a:t>8.8906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𝑇^2−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7.1783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𝑇^3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+1.8569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twoCellAnchor>
    <xdr:from>
      <xdr:col>25</xdr:col>
      <xdr:colOff>2203525</xdr:colOff>
      <xdr:row>50</xdr:row>
      <xdr:rowOff>73061</xdr:rowOff>
    </xdr:from>
    <xdr:to>
      <xdr:col>27</xdr:col>
      <xdr:colOff>182880</xdr:colOff>
      <xdr:row>50</xdr:row>
      <xdr:rowOff>137160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A5A1C34D-9C3B-43A8-B4B2-74789A630C59}"/>
            </a:ext>
          </a:extLst>
        </xdr:cNvPr>
        <xdr:cNvGrpSpPr/>
      </xdr:nvGrpSpPr>
      <xdr:grpSpPr>
        <a:xfrm>
          <a:off x="25627405" y="10344821"/>
          <a:ext cx="1873175" cy="64099"/>
          <a:chOff x="19791381" y="19457893"/>
          <a:chExt cx="2970025" cy="71719"/>
        </a:xfrm>
      </xdr:grpSpPr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57F4FF1F-C4FC-CF5A-D7E2-AD26D226AC52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E0669837-605F-112A-C0DD-A55F0A216407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3F0D4C1D-106F-84D4-F2CC-27F9511E65B2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oneCellAnchor>
    <xdr:from>
      <xdr:col>26</xdr:col>
      <xdr:colOff>1386840</xdr:colOff>
      <xdr:row>49</xdr:row>
      <xdr:rowOff>80010</xdr:rowOff>
    </xdr:from>
    <xdr:ext cx="65" cy="162224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C6FE0F0-FFA4-46B6-B6C2-C94D893C967F}"/>
            </a:ext>
          </a:extLst>
        </xdr:cNvPr>
        <xdr:cNvSpPr txBox="1"/>
      </xdr:nvSpPr>
      <xdr:spPr>
        <a:xfrm>
          <a:off x="22059900" y="19343370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MY" sz="1100" kern="1200"/>
        </a:p>
      </xdr:txBody>
    </xdr:sp>
    <xdr:clientData/>
  </xdr:oneCellAnchor>
  <xdr:oneCellAnchor>
    <xdr:from>
      <xdr:col>27</xdr:col>
      <xdr:colOff>7620</xdr:colOff>
      <xdr:row>54</xdr:row>
      <xdr:rowOff>22860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49AEFD93-47D0-4504-9826-E88F28BFF2C3}"/>
                </a:ext>
              </a:extLst>
            </xdr:cNvPr>
            <xdr:cNvSpPr txBox="1"/>
          </xdr:nvSpPr>
          <xdr:spPr>
            <a:xfrm>
              <a:off x="28270200" y="102946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623.15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30.827−7.6041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+3.2347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−4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−3.2747×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−9.7271×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49AEFD93-47D0-4504-9826-E88F28BFF2C3}"/>
                </a:ext>
              </a:extLst>
            </xdr:cNvPr>
            <xdr:cNvSpPr txBox="1"/>
          </xdr:nvSpPr>
          <xdr:spPr>
            <a:xfrm>
              <a:off x="28270200" y="102946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_298.15𝐾^623.15𝐾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MY" sz="1200" b="0" i="0" kern="1200">
                  <a:latin typeface="Cambria Math" panose="02040503050406030204" pitchFamily="18" charset="0"/>
                </a:rPr>
                <a:t>30.827−7.6041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×10^(−3)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+3.2347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×10^(−4) 𝑇^2−3.2747×10^(−7) 𝑇^3−9.7271×10^(−11)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565785</xdr:colOff>
      <xdr:row>25</xdr:row>
      <xdr:rowOff>106680</xdr:rowOff>
    </xdr:from>
    <xdr:ext cx="3524250" cy="1838325"/>
    <xdr:sp macro="" textlink="">
      <xdr:nvSpPr>
        <xdr:cNvPr id="2" name="Shape 59">
          <a:extLst>
            <a:ext uri="{FF2B5EF4-FFF2-40B4-BE49-F238E27FC236}">
              <a16:creationId xmlns:a16="http://schemas.microsoft.com/office/drawing/2014/main" id="{EF9ECE32-169F-4A01-8F2A-7A4EB18C0E30}"/>
            </a:ext>
          </a:extLst>
        </xdr:cNvPr>
        <xdr:cNvSpPr/>
      </xdr:nvSpPr>
      <xdr:spPr>
        <a:xfrm>
          <a:off x="6090285" y="3870960"/>
          <a:ext cx="3524250" cy="183832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300" b="1">
              <a:latin typeface="Times New Roman"/>
              <a:ea typeface="Times New Roman"/>
              <a:cs typeface="Times New Roman"/>
              <a:sym typeface="Times New Roman"/>
            </a:rPr>
            <a:t>Heater 3</a:t>
          </a:r>
          <a:endParaRPr sz="23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19</xdr:col>
      <xdr:colOff>826770</xdr:colOff>
      <xdr:row>25</xdr:row>
      <xdr:rowOff>93345</xdr:rowOff>
    </xdr:from>
    <xdr:ext cx="4314825" cy="1838325"/>
    <xdr:sp macro="" textlink="">
      <xdr:nvSpPr>
        <xdr:cNvPr id="3" name="Shape 60">
          <a:extLst>
            <a:ext uri="{FF2B5EF4-FFF2-40B4-BE49-F238E27FC236}">
              <a16:creationId xmlns:a16="http://schemas.microsoft.com/office/drawing/2014/main" id="{CBE17967-20F9-4038-BA7A-5B45E1A2A396}"/>
            </a:ext>
          </a:extLst>
        </xdr:cNvPr>
        <xdr:cNvSpPr/>
      </xdr:nvSpPr>
      <xdr:spPr>
        <a:xfrm>
          <a:off x="14611350" y="3857625"/>
          <a:ext cx="4314825" cy="1838325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500" b="1">
              <a:latin typeface="Times New Roman"/>
              <a:ea typeface="Times New Roman"/>
              <a:cs typeface="Times New Roman"/>
              <a:sym typeface="Times New Roman"/>
            </a:rPr>
            <a:t>Ammonia Collection Tank</a:t>
          </a:r>
          <a:endParaRPr sz="25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twoCellAnchor>
    <xdr:from>
      <xdr:col>10</xdr:col>
      <xdr:colOff>593800</xdr:colOff>
      <xdr:row>30</xdr:row>
      <xdr:rowOff>3979</xdr:rowOff>
    </xdr:from>
    <xdr:to>
      <xdr:col>19</xdr:col>
      <xdr:colOff>826770</xdr:colOff>
      <xdr:row>30</xdr:row>
      <xdr:rowOff>17314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1133652-FB3C-43C1-884E-D866E5B63B6F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9636947" y="6861979"/>
          <a:ext cx="8536529" cy="1333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495300</xdr:colOff>
      <xdr:row>30</xdr:row>
      <xdr:rowOff>35243</xdr:rowOff>
    </xdr:from>
    <xdr:to>
      <xdr:col>6</xdr:col>
      <xdr:colOff>565785</xdr:colOff>
      <xdr:row>30</xdr:row>
      <xdr:rowOff>43815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40FB106-9386-4622-A27E-8E44B9816E24}"/>
            </a:ext>
          </a:extLst>
        </xdr:cNvPr>
        <xdr:cNvCxnSpPr>
          <a:endCxn id="2" idx="1"/>
        </xdr:cNvCxnSpPr>
      </xdr:nvCxnSpPr>
      <xdr:spPr>
        <a:xfrm flipV="1">
          <a:off x="495300" y="4790123"/>
          <a:ext cx="5594985" cy="857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2004061</xdr:colOff>
      <xdr:row>49</xdr:row>
      <xdr:rowOff>76200</xdr:rowOff>
    </xdr:from>
    <xdr:to>
      <xdr:col>31</xdr:col>
      <xdr:colOff>60961</xdr:colOff>
      <xdr:row>49</xdr:row>
      <xdr:rowOff>152400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C4CA4C2-7465-4664-B064-30D39608C95C}"/>
            </a:ext>
          </a:extLst>
        </xdr:cNvPr>
        <xdr:cNvGrpSpPr/>
      </xdr:nvGrpSpPr>
      <xdr:grpSpPr>
        <a:xfrm>
          <a:off x="30899101" y="9784080"/>
          <a:ext cx="3314700" cy="76200"/>
          <a:chOff x="19791381" y="19457893"/>
          <a:chExt cx="2970025" cy="71719"/>
        </a:xfrm>
      </xdr:grpSpPr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id="{EBFF147B-A1F2-5D42-E986-4D68A26CAA20}"/>
              </a:ext>
            </a:extLst>
          </xdr:cNvPr>
          <xdr:cNvCxnSpPr/>
        </xdr:nvCxnSpPr>
        <xdr:spPr>
          <a:xfrm flipV="1">
            <a:off x="19850996" y="19491512"/>
            <a:ext cx="2850777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DB890C07-0111-FDB0-14FE-32AE4C952F0A}"/>
              </a:ext>
            </a:extLst>
          </xdr:cNvPr>
          <xdr:cNvSpPr/>
        </xdr:nvSpPr>
        <xdr:spPr>
          <a:xfrm>
            <a:off x="19791381" y="19462377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1ED6A2BB-32A0-C5F2-0E21-59F5FE8BD3A0}"/>
              </a:ext>
            </a:extLst>
          </xdr:cNvPr>
          <xdr:cNvSpPr/>
        </xdr:nvSpPr>
        <xdr:spPr>
          <a:xfrm>
            <a:off x="22695963" y="19457893"/>
            <a:ext cx="65443" cy="6723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</xdr:grpSp>
    <xdr:clientData/>
  </xdr:twoCellAnchor>
  <xdr:twoCellAnchor>
    <xdr:from>
      <xdr:col>28</xdr:col>
      <xdr:colOff>1927860</xdr:colOff>
      <xdr:row>57</xdr:row>
      <xdr:rowOff>121920</xdr:rowOff>
    </xdr:from>
    <xdr:to>
      <xdr:col>32</xdr:col>
      <xdr:colOff>213360</xdr:colOff>
      <xdr:row>59</xdr:row>
      <xdr:rowOff>182880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7909D34F-1473-42D4-BDAA-01C65678968F}"/>
            </a:ext>
          </a:extLst>
        </xdr:cNvPr>
        <xdr:cNvGrpSpPr/>
      </xdr:nvGrpSpPr>
      <xdr:grpSpPr>
        <a:xfrm>
          <a:off x="30822900" y="11993880"/>
          <a:ext cx="5052060" cy="457200"/>
          <a:chOff x="16230227" y="28357759"/>
          <a:chExt cx="6391543" cy="672305"/>
        </a:xfrm>
      </xdr:grpSpPr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F21D98D2-6584-52FD-9CCE-0CD3F2CF7226}"/>
              </a:ext>
            </a:extLst>
          </xdr:cNvPr>
          <xdr:cNvCxnSpPr/>
        </xdr:nvCxnSpPr>
        <xdr:spPr>
          <a:xfrm flipV="1">
            <a:off x="16285013" y="28393791"/>
            <a:ext cx="6280639" cy="6350"/>
          </a:xfrm>
          <a:prstGeom prst="straightConnector1">
            <a:avLst/>
          </a:prstGeom>
          <a:ln w="12700">
            <a:solidFill>
              <a:sysClr val="windowText" lastClr="000000"/>
            </a:solidFill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81DFF4C4-BB91-D67F-4532-60C647DCF55A}"/>
              </a:ext>
            </a:extLst>
          </xdr:cNvPr>
          <xdr:cNvSpPr/>
        </xdr:nvSpPr>
        <xdr:spPr>
          <a:xfrm>
            <a:off x="16230227" y="28361894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C9C611C6-9AA1-7E5D-D36F-6103FC114EE3}"/>
              </a:ext>
            </a:extLst>
          </xdr:cNvPr>
          <xdr:cNvSpPr/>
        </xdr:nvSpPr>
        <xdr:spPr>
          <a:xfrm>
            <a:off x="22554874" y="28357759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D8F9937F-74A9-1C17-4753-DA3EA56B32DE}"/>
              </a:ext>
            </a:extLst>
          </xdr:cNvPr>
          <xdr:cNvSpPr/>
        </xdr:nvSpPr>
        <xdr:spPr>
          <a:xfrm>
            <a:off x="17322818" y="2895977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75113093-18DF-99E3-8421-65636BA201CF}"/>
              </a:ext>
            </a:extLst>
          </xdr:cNvPr>
          <xdr:cNvSpPr/>
        </xdr:nvSpPr>
        <xdr:spPr>
          <a:xfrm>
            <a:off x="21294010" y="28952151"/>
            <a:ext cx="66896" cy="70293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 kern="1200"/>
          </a:p>
        </xdr:txBody>
      </xdr:sp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4E7697E7-539A-3FFE-5061-47B55515C42F}"/>
              </a:ext>
            </a:extLst>
          </xdr:cNvPr>
          <xdr:cNvCxnSpPr>
            <a:stCxn id="12" idx="5"/>
            <a:endCxn id="14" idx="2"/>
          </xdr:cNvCxnSpPr>
        </xdr:nvCxnSpPr>
        <xdr:spPr>
          <a:xfrm>
            <a:off x="16287326" y="28421893"/>
            <a:ext cx="1035492" cy="573025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7A783AEE-DAAD-FF76-2242-F3782D359EF7}"/>
              </a:ext>
            </a:extLst>
          </xdr:cNvPr>
          <xdr:cNvCxnSpPr>
            <a:stCxn id="14" idx="6"/>
            <a:endCxn id="15" idx="2"/>
          </xdr:cNvCxnSpPr>
        </xdr:nvCxnSpPr>
        <xdr:spPr>
          <a:xfrm flipV="1">
            <a:off x="17389714" y="28987298"/>
            <a:ext cx="3904296" cy="762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Straight Arrow Connector 17">
            <a:extLst>
              <a:ext uri="{FF2B5EF4-FFF2-40B4-BE49-F238E27FC236}">
                <a16:creationId xmlns:a16="http://schemas.microsoft.com/office/drawing/2014/main" id="{C1521FCD-2CDA-57FF-1EE5-C16B126D6724}"/>
              </a:ext>
            </a:extLst>
          </xdr:cNvPr>
          <xdr:cNvCxnSpPr>
            <a:stCxn id="15" idx="6"/>
            <a:endCxn id="13" idx="4"/>
          </xdr:cNvCxnSpPr>
        </xdr:nvCxnSpPr>
        <xdr:spPr>
          <a:xfrm flipV="1">
            <a:off x="21360906" y="28428052"/>
            <a:ext cx="1227416" cy="559246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30</xdr:col>
      <xdr:colOff>0</xdr:colOff>
      <xdr:row>52</xdr:row>
      <xdr:rowOff>76200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9272909-BFAA-42A2-9B42-07D5B1DF6BCD}"/>
                </a:ext>
              </a:extLst>
            </xdr:cNvPr>
            <xdr:cNvSpPr txBox="1"/>
          </xdr:nvSpPr>
          <xdr:spPr>
            <a:xfrm>
              <a:off x="28216860" y="87934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283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33.573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1.2581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GB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200" b="0" i="1" kern="1200">
                        <a:latin typeface="Cambria Math" panose="02040503050406030204" pitchFamily="18" charset="0"/>
                      </a:rPr>
                      <m:t>8.8906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7.1783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8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+1.8569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9272909-BFAA-42A2-9B42-07D5B1DF6BCD}"/>
                </a:ext>
              </a:extLst>
            </xdr:cNvPr>
            <xdr:cNvSpPr txBox="1"/>
          </xdr:nvSpPr>
          <xdr:spPr>
            <a:xfrm>
              <a:off x="28216860" y="879348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283</a:t>
              </a:r>
              <a:r>
                <a:rPr lang="en-MY" sz="1200" b="0" i="0" kern="1200">
                  <a:latin typeface="Cambria Math" panose="02040503050406030204" pitchFamily="18" charset="0"/>
                </a:rPr>
                <a:t>.15𝐾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GB" sz="1200" b="0" i="0" kern="1200">
                  <a:latin typeface="Cambria Math" panose="02040503050406030204" pitchFamily="18" charset="0"/>
                </a:rPr>
                <a:t>33.573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</a:t>
              </a:r>
              <a:r>
                <a:rPr lang="en-GB" sz="1200" b="0" i="0" kern="1200">
                  <a:latin typeface="Cambria Math" panose="02040503050406030204" pitchFamily="18" charset="0"/>
                </a:rPr>
                <a:t>1.2581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</a:t>
              </a:r>
              <a:r>
                <a:rPr lang="en-GB" sz="1200" b="0" i="0" kern="1200">
                  <a:latin typeface="Cambria Math" panose="02040503050406030204" pitchFamily="18" charset="0"/>
                </a:rPr>
                <a:t>8.8906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𝑇^2−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7.1783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𝑇^3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+1.8569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30</xdr:col>
      <xdr:colOff>22860</xdr:colOff>
      <xdr:row>63</xdr:row>
      <xdr:rowOff>0</xdr:rowOff>
    </xdr:from>
    <xdr:ext cx="7132320" cy="5593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846B3C0E-9DA7-44EB-B08E-E7E18E7778C3}"/>
                </a:ext>
              </a:extLst>
            </xdr:cNvPr>
            <xdr:cNvSpPr txBox="1"/>
          </xdr:nvSpPr>
          <xdr:spPr>
            <a:xfrm>
              <a:off x="28239720" y="114757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MY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98.15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239.72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33.573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1.2581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GB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MY" sz="1200" b="0" i="1" kern="1200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200" b="0" i="1" kern="1200">
                        <a:latin typeface="Cambria Math" panose="02040503050406030204" pitchFamily="18" charset="0"/>
                      </a:rPr>
                      <m:t>8.8906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7.1783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8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+1.8569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−11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846B3C0E-9DA7-44EB-B08E-E7E18E7778C3}"/>
                </a:ext>
              </a:extLst>
            </xdr:cNvPr>
            <xdr:cNvSpPr txBox="1"/>
          </xdr:nvSpPr>
          <xdr:spPr>
            <a:xfrm>
              <a:off x="28239720" y="11475720"/>
              <a:ext cx="7132320" cy="559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_298.15𝐾^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239.72</a:t>
              </a:r>
              <a:r>
                <a:rPr lang="en-MY" sz="1200" b="0" i="0" kern="1200">
                  <a:latin typeface="Cambria Math" panose="02040503050406030204" pitchFamily="18" charset="0"/>
                </a:rPr>
                <a:t>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GB" sz="1200" b="0" i="0" kern="1200">
                  <a:latin typeface="Cambria Math" panose="02040503050406030204" pitchFamily="18" charset="0"/>
                </a:rPr>
                <a:t>33.573</a:t>
              </a:r>
              <a:r>
                <a:rPr lang="en-MY" sz="1200" b="0" i="0" kern="1200">
                  <a:latin typeface="Cambria Math" panose="02040503050406030204" pitchFamily="18" charset="0"/>
                </a:rPr>
                <a:t>−</a:t>
              </a:r>
              <a:r>
                <a:rPr lang="en-GB" sz="1200" b="0" i="0" kern="1200">
                  <a:latin typeface="Cambria Math" panose="02040503050406030204" pitchFamily="18" charset="0"/>
                </a:rPr>
                <a:t>1.2581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𝑇〗</a:t>
              </a:r>
              <a:r>
                <a:rPr lang="en-MY" sz="1200" b="0" i="0" kern="1200">
                  <a:latin typeface="Cambria Math" panose="02040503050406030204" pitchFamily="18" charset="0"/>
                </a:rPr>
                <a:t>+</a:t>
              </a:r>
              <a:r>
                <a:rPr lang="en-GB" sz="1200" b="0" i="0" kern="1200">
                  <a:latin typeface="Cambria Math" panose="02040503050406030204" pitchFamily="18" charset="0"/>
                </a:rPr>
                <a:t>8.8906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𝑇^2−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7.1783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8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𝑇^3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+1.8569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×10^(−11) 𝑇^4 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oneCellAnchor>
    <xdr:from>
      <xdr:col>30</xdr:col>
      <xdr:colOff>7620</xdr:colOff>
      <xdr:row>71</xdr:row>
      <xdr:rowOff>30480</xdr:rowOff>
    </xdr:from>
    <xdr:ext cx="6446520" cy="558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AD6B1AA-7D66-4CC8-9AE3-431ADF185FB0}"/>
                </a:ext>
              </a:extLst>
            </xdr:cNvPr>
            <xdr:cNvSpPr txBox="1"/>
          </xdr:nvSpPr>
          <xdr:spPr>
            <a:xfrm>
              <a:off x="28224480" y="13502640"/>
              <a:ext cx="6446520" cy="558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limLoc m:val="undOvr"/>
                        <m:ctrlPr>
                          <a:rPr lang="en-MY" sz="1200" i="1" kern="120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/>
                          </m:rPr>
                          <a:rPr lang="en-GB" sz="12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39.72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b>
                      <m:sup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323.15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</a:rPr>
                          <m:t>𝐾</m:t>
                        </m:r>
                      </m:sup>
                      <m:e>
                        <m:r>
                          <a:rPr lang="en-GB" sz="1200" b="0" i="1" kern="1200">
                            <a:latin typeface="Cambria Math" panose="02040503050406030204" pitchFamily="18" charset="0"/>
                          </a:rPr>
                          <m:t>−1.8215</m:t>
                        </m:r>
                        <m:sSup>
                          <m:sSupPr>
                            <m:ctrlP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×</m:t>
                            </m:r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en-MY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+3.36180</m:t>
                        </m:r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MY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GB" sz="12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−1.43980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GB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+2.03710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sup>
                    </m:sSup>
                    <m:sSup>
                      <m:sSup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MY" sz="1200" b="0" i="0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𝑘𝐽</m:t>
                        </m:r>
                      </m:num>
                      <m:den>
                        <m:r>
                          <a:rPr lang="en-MY" sz="12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𝑘𝑚𝑜𝑙</m:t>
                        </m:r>
                      </m:den>
                    </m:f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MY" sz="12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MY" sz="1200" kern="12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AD6B1AA-7D66-4CC8-9AE3-431ADF185FB0}"/>
                </a:ext>
              </a:extLst>
            </xdr:cNvPr>
            <xdr:cNvSpPr txBox="1"/>
          </xdr:nvSpPr>
          <xdr:spPr>
            <a:xfrm>
              <a:off x="28224480" y="13502640"/>
              <a:ext cx="6446520" cy="558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MY" sz="1200" i="0" kern="1200">
                  <a:latin typeface="Cambria Math" panose="02040503050406030204" pitchFamily="18" charset="0"/>
                </a:rPr>
                <a:t>∫1</a:t>
              </a:r>
              <a:r>
                <a:rPr lang="en-MY" sz="1200" b="0" i="0" kern="1200">
                  <a:latin typeface="Cambria Math" panose="02040503050406030204" pitchFamily="18" charset="0"/>
                </a:rPr>
                <a:t>_</a:t>
              </a:r>
              <a:r>
                <a:rPr lang="en-GB" sz="1200" b="0" i="0" kern="1200">
                  <a:latin typeface="Cambria Math" panose="02040503050406030204" pitchFamily="18" charset="0"/>
                </a:rPr>
                <a:t>239.72</a:t>
              </a:r>
              <a:r>
                <a:rPr lang="en-MY" sz="1200" b="0" i="0" kern="1200">
                  <a:latin typeface="Cambria Math" panose="02040503050406030204" pitchFamily="18" charset="0"/>
                </a:rPr>
                <a:t>𝐾^</a:t>
              </a:r>
              <a:r>
                <a:rPr lang="en-GB" sz="1200" b="0" i="0" kern="1200">
                  <a:latin typeface="Cambria Math" panose="02040503050406030204" pitchFamily="18" charset="0"/>
                </a:rPr>
                <a:t>323.15</a:t>
              </a:r>
              <a:r>
                <a:rPr lang="en-MY" sz="1200" b="0" i="0" kern="1200">
                  <a:latin typeface="Cambria Math" panose="02040503050406030204" pitchFamily="18" charset="0"/>
                </a:rPr>
                <a:t>𝐾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▒〖</a:t>
              </a:r>
              <a:r>
                <a:rPr lang="en-GB" sz="1200" b="0" i="0" kern="1200">
                  <a:latin typeface="Cambria Math" panose="02040503050406030204" pitchFamily="18" charset="0"/>
                </a:rPr>
                <a:t>−1.8215</a:t>
              </a:r>
              <a:r>
                <a:rPr lang="en-MY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10〗^(−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MY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+3.36180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 𝑇〗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−1.43980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𝑇^2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+2.03710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×10^(−</a:t>
              </a:r>
              <a:r>
                <a:rPr lang="en-GB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r>
                <a:rPr lang="en-MY" sz="12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 𝑇^3 (𝑘𝐽/𝑘𝑚𝑜𝑙∙𝐾)</a:t>
              </a:r>
              <a:endParaRPr lang="en-MY" sz="1200" kern="1200"/>
            </a:p>
          </xdr:txBody>
        </xdr:sp>
      </mc:Fallback>
    </mc:AlternateContent>
    <xdr:clientData/>
  </xdr:oneCellAnchor>
  <xdr:twoCellAnchor>
    <xdr:from>
      <xdr:col>8</xdr:col>
      <xdr:colOff>578133</xdr:colOff>
      <xdr:row>34</xdr:row>
      <xdr:rowOff>167005</xdr:rowOff>
    </xdr:from>
    <xdr:to>
      <xdr:col>8</xdr:col>
      <xdr:colOff>592667</xdr:colOff>
      <xdr:row>58</xdr:row>
      <xdr:rowOff>169333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C685CC3-1B7F-DEB5-6FFB-B000426141AC}"/>
            </a:ext>
          </a:extLst>
        </xdr:cNvPr>
        <xdr:cNvCxnSpPr>
          <a:endCxn id="2" idx="2"/>
        </xdr:cNvCxnSpPr>
      </xdr:nvCxnSpPr>
      <xdr:spPr>
        <a:xfrm flipH="1" flipV="1">
          <a:off x="7873577" y="8069227"/>
          <a:ext cx="14534" cy="5322217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578133</xdr:colOff>
      <xdr:row>0</xdr:row>
      <xdr:rowOff>141111</xdr:rowOff>
    </xdr:from>
    <xdr:to>
      <xdr:col>8</xdr:col>
      <xdr:colOff>578556</xdr:colOff>
      <xdr:row>25</xdr:row>
      <xdr:rowOff>106680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4095D57D-33F4-0B60-A3E2-C83D98A17C84}"/>
            </a:ext>
          </a:extLst>
        </xdr:cNvPr>
        <xdr:cNvCxnSpPr>
          <a:stCxn id="2" idx="0"/>
        </xdr:cNvCxnSpPr>
      </xdr:nvCxnSpPr>
      <xdr:spPr>
        <a:xfrm flipV="1">
          <a:off x="7873577" y="1326444"/>
          <a:ext cx="423" cy="490445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619125</xdr:colOff>
      <xdr:row>83</xdr:row>
      <xdr:rowOff>114300</xdr:rowOff>
    </xdr:from>
    <xdr:ext cx="419100" cy="638175"/>
    <xdr:pic>
      <xdr:nvPicPr>
        <xdr:cNvPr id="31" name="image6.png" title="Image">
          <a:extLst>
            <a:ext uri="{FF2B5EF4-FFF2-40B4-BE49-F238E27FC236}">
              <a16:creationId xmlns:a16="http://schemas.microsoft.com/office/drawing/2014/main" id="{7D3E2E8B-1536-481F-8BC0-5AFD9BE324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56485" y="29634180"/>
          <a:ext cx="4191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685800</xdr:colOff>
      <xdr:row>84</xdr:row>
      <xdr:rowOff>476250</xdr:rowOff>
    </xdr:from>
    <xdr:ext cx="295275" cy="476250"/>
    <xdr:pic>
      <xdr:nvPicPr>
        <xdr:cNvPr id="32" name="image4.png" title="Image">
          <a:extLst>
            <a:ext uri="{FF2B5EF4-FFF2-40B4-BE49-F238E27FC236}">
              <a16:creationId xmlns:a16="http://schemas.microsoft.com/office/drawing/2014/main" id="{165B3428-168B-40B7-A477-E12DE28054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23160" y="30194250"/>
          <a:ext cx="2952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800100</xdr:colOff>
      <xdr:row>87</xdr:row>
      <xdr:rowOff>228600</xdr:rowOff>
    </xdr:from>
    <xdr:ext cx="2000250" cy="314325"/>
    <xdr:pic>
      <xdr:nvPicPr>
        <xdr:cNvPr id="33" name="image8.png" title="Image">
          <a:extLst>
            <a:ext uri="{FF2B5EF4-FFF2-40B4-BE49-F238E27FC236}">
              <a16:creationId xmlns:a16="http://schemas.microsoft.com/office/drawing/2014/main" id="{35793781-9534-4C82-8C23-3F8ED64ADB9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68780" y="31043880"/>
          <a:ext cx="2000250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800100</xdr:colOff>
      <xdr:row>89</xdr:row>
      <xdr:rowOff>19050</xdr:rowOff>
    </xdr:from>
    <xdr:ext cx="2000250" cy="314325"/>
    <xdr:pic>
      <xdr:nvPicPr>
        <xdr:cNvPr id="34" name="image8.png" title="Image">
          <a:extLst>
            <a:ext uri="{FF2B5EF4-FFF2-40B4-BE49-F238E27FC236}">
              <a16:creationId xmlns:a16="http://schemas.microsoft.com/office/drawing/2014/main" id="{F518427B-658B-4DC1-A8D9-B6DF9C9C89A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68780" y="31261050"/>
          <a:ext cx="2000250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619125</xdr:colOff>
      <xdr:row>92</xdr:row>
      <xdr:rowOff>38100</xdr:rowOff>
    </xdr:from>
    <xdr:ext cx="419100" cy="476250"/>
    <xdr:pic>
      <xdr:nvPicPr>
        <xdr:cNvPr id="35" name="image10.png" title="Image">
          <a:extLst>
            <a:ext uri="{FF2B5EF4-FFF2-40B4-BE49-F238E27FC236}">
              <a16:creationId xmlns:a16="http://schemas.microsoft.com/office/drawing/2014/main" id="{8E0FBA08-BF59-49A7-9BDA-4DFE823EC61C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356485" y="31874460"/>
          <a:ext cx="4191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647700</xdr:colOff>
      <xdr:row>92</xdr:row>
      <xdr:rowOff>561975</xdr:rowOff>
    </xdr:from>
    <xdr:ext cx="361950" cy="428625"/>
    <xdr:pic>
      <xdr:nvPicPr>
        <xdr:cNvPr id="36" name="image13.png" title="Image">
          <a:extLst>
            <a:ext uri="{FF2B5EF4-FFF2-40B4-BE49-F238E27FC236}">
              <a16:creationId xmlns:a16="http://schemas.microsoft.com/office/drawing/2014/main" id="{E3546A00-9F37-479B-A12A-67AAE57AC21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385060" y="32398335"/>
          <a:ext cx="36195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565150</xdr:colOff>
      <xdr:row>95</xdr:row>
      <xdr:rowOff>8044</xdr:rowOff>
    </xdr:from>
    <xdr:ext cx="2266950" cy="209550"/>
    <xdr:pic>
      <xdr:nvPicPr>
        <xdr:cNvPr id="37" name="image5.png" title="Image">
          <a:extLst>
            <a:ext uri="{FF2B5EF4-FFF2-40B4-BE49-F238E27FC236}">
              <a16:creationId xmlns:a16="http://schemas.microsoft.com/office/drawing/2014/main" id="{D74101D4-0086-435D-85CF-61F0A7827E0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33830" y="32934064"/>
          <a:ext cx="226695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971550</xdr:colOff>
      <xdr:row>95</xdr:row>
      <xdr:rowOff>219075</xdr:rowOff>
    </xdr:from>
    <xdr:ext cx="1638300" cy="209550"/>
    <xdr:pic>
      <xdr:nvPicPr>
        <xdr:cNvPr id="38" name="image9.png" title="Image">
          <a:extLst>
            <a:ext uri="{FF2B5EF4-FFF2-40B4-BE49-F238E27FC236}">
              <a16:creationId xmlns:a16="http://schemas.microsoft.com/office/drawing/2014/main" id="{CB866C32-3343-463E-9AA4-0F5DA84F515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33550" y="33122235"/>
          <a:ext cx="16383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30</xdr:col>
      <xdr:colOff>400050</xdr:colOff>
      <xdr:row>94</xdr:row>
      <xdr:rowOff>19050</xdr:rowOff>
    </xdr:from>
    <xdr:ext cx="295275" cy="476250"/>
    <xdr:pic>
      <xdr:nvPicPr>
        <xdr:cNvPr id="39" name="image4.png" title="Image">
          <a:extLst>
            <a:ext uri="{FF2B5EF4-FFF2-40B4-BE49-F238E27FC236}">
              <a16:creationId xmlns:a16="http://schemas.microsoft.com/office/drawing/2014/main" id="{2CA7C6F2-A029-41A9-BAA0-A5B506436C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77790" y="32746950"/>
          <a:ext cx="2952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31</xdr:col>
      <xdr:colOff>1457325</xdr:colOff>
      <xdr:row>94</xdr:row>
      <xdr:rowOff>209550</xdr:rowOff>
    </xdr:from>
    <xdr:ext cx="2000250" cy="314325"/>
    <xdr:pic>
      <xdr:nvPicPr>
        <xdr:cNvPr id="40" name="image8.png" title="Image">
          <a:extLst>
            <a:ext uri="{FF2B5EF4-FFF2-40B4-BE49-F238E27FC236}">
              <a16:creationId xmlns:a16="http://schemas.microsoft.com/office/drawing/2014/main" id="{004EFF12-B9D6-4F52-999F-BF575E58C9E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94245" y="32922210"/>
          <a:ext cx="2000250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34</xdr:col>
      <xdr:colOff>276225</xdr:colOff>
      <xdr:row>94</xdr:row>
      <xdr:rowOff>19050</xdr:rowOff>
    </xdr:from>
    <xdr:ext cx="419100" cy="476250"/>
    <xdr:pic>
      <xdr:nvPicPr>
        <xdr:cNvPr id="41" name="image10.png" title="Image">
          <a:extLst>
            <a:ext uri="{FF2B5EF4-FFF2-40B4-BE49-F238E27FC236}">
              <a16:creationId xmlns:a16="http://schemas.microsoft.com/office/drawing/2014/main" id="{9879BB57-8880-4513-A3F2-8E2A5A94AF1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16565" y="32746950"/>
          <a:ext cx="4191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1454727</xdr:colOff>
      <xdr:row>78</xdr:row>
      <xdr:rowOff>38100</xdr:rowOff>
    </xdr:from>
    <xdr:ext cx="4281055" cy="581025"/>
    <xdr:pic>
      <xdr:nvPicPr>
        <xdr:cNvPr id="42" name="image11.png" title="Image">
          <a:extLst>
            <a:ext uri="{FF2B5EF4-FFF2-40B4-BE49-F238E27FC236}">
              <a16:creationId xmlns:a16="http://schemas.microsoft.com/office/drawing/2014/main" id="{81FE0CC0-B09B-4647-A052-CC0C88B361FE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192087" y="28567380"/>
          <a:ext cx="4281055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1495425</xdr:colOff>
      <xdr:row>87</xdr:row>
      <xdr:rowOff>228600</xdr:rowOff>
    </xdr:from>
    <xdr:ext cx="904875" cy="209550"/>
    <xdr:pic>
      <xdr:nvPicPr>
        <xdr:cNvPr id="43" name="image7.png" title="Image">
          <a:extLst>
            <a:ext uri="{FF2B5EF4-FFF2-40B4-BE49-F238E27FC236}">
              <a16:creationId xmlns:a16="http://schemas.microsoft.com/office/drawing/2014/main" id="{4451BFAB-62F5-40DE-B342-13410C19BAE8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779645" y="31043880"/>
          <a:ext cx="90487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828675</xdr:colOff>
      <xdr:row>76</xdr:row>
      <xdr:rowOff>180975</xdr:rowOff>
    </xdr:from>
    <xdr:ext cx="2533650" cy="257175"/>
    <xdr:pic>
      <xdr:nvPicPr>
        <xdr:cNvPr id="44" name="image25.png" title="Image">
          <a:extLst>
            <a:ext uri="{FF2B5EF4-FFF2-40B4-BE49-F238E27FC236}">
              <a16:creationId xmlns:a16="http://schemas.microsoft.com/office/drawing/2014/main" id="{60DE3A1A-D602-4BCE-A2E8-6F23CD979014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257675" y="28329255"/>
          <a:ext cx="25336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1047750</xdr:colOff>
      <xdr:row>78</xdr:row>
      <xdr:rowOff>142875</xdr:rowOff>
    </xdr:from>
    <xdr:ext cx="781050" cy="476250"/>
    <xdr:pic>
      <xdr:nvPicPr>
        <xdr:cNvPr id="45" name="image18.png" title="Image">
          <a:extLst>
            <a:ext uri="{FF2B5EF4-FFF2-40B4-BE49-F238E27FC236}">
              <a16:creationId xmlns:a16="http://schemas.microsoft.com/office/drawing/2014/main" id="{B869AE39-0CC1-411D-AFDC-925FE805BFB9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85110" y="28672155"/>
          <a:ext cx="7810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161925</xdr:colOff>
      <xdr:row>80</xdr:row>
      <xdr:rowOff>190500</xdr:rowOff>
    </xdr:from>
    <xdr:ext cx="781050" cy="428625"/>
    <xdr:pic>
      <xdr:nvPicPr>
        <xdr:cNvPr id="46" name="image26.png" title="Image">
          <a:extLst>
            <a:ext uri="{FF2B5EF4-FFF2-40B4-BE49-F238E27FC236}">
              <a16:creationId xmlns:a16="http://schemas.microsoft.com/office/drawing/2014/main" id="{2C0E38D6-8EDA-41B7-9D96-D404A6CBDF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39665" y="29116020"/>
          <a:ext cx="78105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31</xdr:col>
      <xdr:colOff>1514475</xdr:colOff>
      <xdr:row>79</xdr:row>
      <xdr:rowOff>38100</xdr:rowOff>
    </xdr:from>
    <xdr:ext cx="781050" cy="209550"/>
    <xdr:pic>
      <xdr:nvPicPr>
        <xdr:cNvPr id="47" name="image24.png" title="Image">
          <a:extLst>
            <a:ext uri="{FF2B5EF4-FFF2-40B4-BE49-F238E27FC236}">
              <a16:creationId xmlns:a16="http://schemas.microsoft.com/office/drawing/2014/main" id="{D949DB6B-64EA-4FE9-965F-81BBDD452B88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290435" y="28765500"/>
          <a:ext cx="78105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127000</xdr:colOff>
      <xdr:row>84</xdr:row>
      <xdr:rowOff>0</xdr:rowOff>
    </xdr:from>
    <xdr:ext cx="3581400" cy="676275"/>
    <xdr:pic>
      <xdr:nvPicPr>
        <xdr:cNvPr id="48" name="image27.png" title="Image">
          <a:extLst>
            <a:ext uri="{FF2B5EF4-FFF2-40B4-BE49-F238E27FC236}">
              <a16:creationId xmlns:a16="http://schemas.microsoft.com/office/drawing/2014/main" id="{3FE96E5A-D892-4174-8C3F-A3D09754C764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2463154" y="18991385"/>
          <a:ext cx="3581400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30</xdr:col>
      <xdr:colOff>46778</xdr:colOff>
      <xdr:row>92</xdr:row>
      <xdr:rowOff>46566</xdr:rowOff>
    </xdr:from>
    <xdr:ext cx="8800888" cy="581025"/>
    <xdr:pic>
      <xdr:nvPicPr>
        <xdr:cNvPr id="49" name="image29.png" title="Image">
          <a:extLst>
            <a:ext uri="{FF2B5EF4-FFF2-40B4-BE49-F238E27FC236}">
              <a16:creationId xmlns:a16="http://schemas.microsoft.com/office/drawing/2014/main" id="{9BE560C2-AC8B-45C2-8E23-58DFCAC17F64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2315473" y="21093808"/>
          <a:ext cx="8800888" cy="581025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161925</xdr:colOff>
      <xdr:row>26</xdr:row>
      <xdr:rowOff>66675</xdr:rowOff>
    </xdr:from>
    <xdr:ext cx="2247900" cy="666750"/>
    <xdr:pic>
      <xdr:nvPicPr>
        <xdr:cNvPr id="2" name="image31.png" title="Image">
          <a:extLst>
            <a:ext uri="{FF2B5EF4-FFF2-40B4-BE49-F238E27FC236}">
              <a16:creationId xmlns:a16="http://schemas.microsoft.com/office/drawing/2014/main" id="{B73F2B70-5BD7-46AA-96BD-BECCA0CDE6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08945" y="5217795"/>
          <a:ext cx="2247900" cy="66675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  <xdr:oneCellAnchor>
    <xdr:from>
      <xdr:col>1</xdr:col>
      <xdr:colOff>137160</xdr:colOff>
      <xdr:row>43</xdr:row>
      <xdr:rowOff>20955</xdr:rowOff>
    </xdr:from>
    <xdr:ext cx="1847850" cy="523875"/>
    <xdr:pic>
      <xdr:nvPicPr>
        <xdr:cNvPr id="3" name="image32.png" title="Image">
          <a:extLst>
            <a:ext uri="{FF2B5EF4-FFF2-40B4-BE49-F238E27FC236}">
              <a16:creationId xmlns:a16="http://schemas.microsoft.com/office/drawing/2014/main" id="{08557FD1-F22D-4289-A3A3-91D1E0FE10E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6760" y="8540115"/>
          <a:ext cx="1847850" cy="52387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  <xdr:oneCellAnchor>
    <xdr:from>
      <xdr:col>11</xdr:col>
      <xdr:colOff>78105</xdr:colOff>
      <xdr:row>16</xdr:row>
      <xdr:rowOff>55245</xdr:rowOff>
    </xdr:from>
    <xdr:ext cx="1384935" cy="493395"/>
    <xdr:pic>
      <xdr:nvPicPr>
        <xdr:cNvPr id="4" name="image28.png" title="Image">
          <a:extLst>
            <a:ext uri="{FF2B5EF4-FFF2-40B4-BE49-F238E27FC236}">
              <a16:creationId xmlns:a16="http://schemas.microsoft.com/office/drawing/2014/main" id="{D7E52896-4EF0-4463-8875-1ED82574CCE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525125" y="3225165"/>
          <a:ext cx="1384935" cy="49339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133350</xdr:colOff>
      <xdr:row>26</xdr:row>
      <xdr:rowOff>104775</xdr:rowOff>
    </xdr:from>
    <xdr:ext cx="2247900" cy="666750"/>
    <xdr:pic>
      <xdr:nvPicPr>
        <xdr:cNvPr id="2" name="image31.png" title="Image">
          <a:extLst>
            <a:ext uri="{FF2B5EF4-FFF2-40B4-BE49-F238E27FC236}">
              <a16:creationId xmlns:a16="http://schemas.microsoft.com/office/drawing/2014/main" id="{338DC58B-28E1-48E4-ACED-F3A6A7AAD8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67010" y="5255895"/>
          <a:ext cx="2247900" cy="66675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  <xdr:oneCellAnchor>
    <xdr:from>
      <xdr:col>1</xdr:col>
      <xdr:colOff>114300</xdr:colOff>
      <xdr:row>43</xdr:row>
      <xdr:rowOff>9525</xdr:rowOff>
    </xdr:from>
    <xdr:ext cx="1847850" cy="523875"/>
    <xdr:pic>
      <xdr:nvPicPr>
        <xdr:cNvPr id="3" name="image32.png" title="Image">
          <a:extLst>
            <a:ext uri="{FF2B5EF4-FFF2-40B4-BE49-F238E27FC236}">
              <a16:creationId xmlns:a16="http://schemas.microsoft.com/office/drawing/2014/main" id="{12ECACAD-2B4E-4005-9FFE-7F8AF1F011F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2980" y="8528685"/>
          <a:ext cx="1847850" cy="52387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  <xdr:oneCellAnchor>
    <xdr:from>
      <xdr:col>11</xdr:col>
      <xdr:colOff>133350</xdr:colOff>
      <xdr:row>16</xdr:row>
      <xdr:rowOff>28575</xdr:rowOff>
    </xdr:from>
    <xdr:ext cx="1405890" cy="489585"/>
    <xdr:pic>
      <xdr:nvPicPr>
        <xdr:cNvPr id="4" name="image28.png" title="Image">
          <a:extLst>
            <a:ext uri="{FF2B5EF4-FFF2-40B4-BE49-F238E27FC236}">
              <a16:creationId xmlns:a16="http://schemas.microsoft.com/office/drawing/2014/main" id="{C7014B41-1678-4DA2-877B-A8EDB86C431C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367010" y="3198495"/>
          <a:ext cx="1405890" cy="48958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39687</xdr:colOff>
      <xdr:row>36</xdr:row>
      <xdr:rowOff>23812</xdr:rowOff>
    </xdr:from>
    <xdr:to>
      <xdr:col>3</xdr:col>
      <xdr:colOff>358457</xdr:colOff>
      <xdr:row>38</xdr:row>
      <xdr:rowOff>126999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29F533-1C2D-52D4-7EB4-366ECF719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875" y="6604000"/>
          <a:ext cx="2461895" cy="500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39687</xdr:colOff>
      <xdr:row>40</xdr:row>
      <xdr:rowOff>87312</xdr:rowOff>
    </xdr:from>
    <xdr:to>
      <xdr:col>5</xdr:col>
      <xdr:colOff>806450</xdr:colOff>
      <xdr:row>41</xdr:row>
      <xdr:rowOff>101283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9295BC-7A6A-87EE-A42E-8EEA5DE44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875" y="7334250"/>
          <a:ext cx="5576888" cy="21240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206375</xdr:colOff>
      <xdr:row>68</xdr:row>
      <xdr:rowOff>150812</xdr:rowOff>
    </xdr:from>
    <xdr:to>
      <xdr:col>10</xdr:col>
      <xdr:colOff>283527</xdr:colOff>
      <xdr:row>73</xdr:row>
      <xdr:rowOff>30163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0ACA1B-CA41-EA8F-F3D0-8E6AA623C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0688" y="12319000"/>
          <a:ext cx="1680527" cy="87153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79374</xdr:colOff>
      <xdr:row>75</xdr:row>
      <xdr:rowOff>182563</xdr:rowOff>
    </xdr:from>
    <xdr:to>
      <xdr:col>3</xdr:col>
      <xdr:colOff>134937</xdr:colOff>
      <xdr:row>80</xdr:row>
      <xdr:rowOff>183833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0CEAAD-9B73-8D0D-F443-8F8D447A8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" y="13676313"/>
          <a:ext cx="2198688" cy="99345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3</xdr:col>
      <xdr:colOff>1167765</xdr:colOff>
      <xdr:row>134</xdr:row>
      <xdr:rowOff>100012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7995118-F2C7-BB30-093C-BA0E26241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183600"/>
          <a:ext cx="3314700" cy="309372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37</xdr:row>
      <xdr:rowOff>30480</xdr:rowOff>
    </xdr:from>
    <xdr:to>
      <xdr:col>3</xdr:col>
      <xdr:colOff>838200</xdr:colOff>
      <xdr:row>41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37014C-18FC-E926-907F-4588C0A01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720" y="7437120"/>
          <a:ext cx="1531620" cy="80772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160020</xdr:colOff>
      <xdr:row>109</xdr:row>
      <xdr:rowOff>91440</xdr:rowOff>
    </xdr:from>
    <xdr:to>
      <xdr:col>3</xdr:col>
      <xdr:colOff>952500</xdr:colOff>
      <xdr:row>113</xdr:row>
      <xdr:rowOff>164755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C0E8B-543E-293A-0004-A0BAFDE71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680" y="19065240"/>
          <a:ext cx="1584960" cy="91440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160020</xdr:colOff>
      <xdr:row>101</xdr:row>
      <xdr:rowOff>129540</xdr:rowOff>
    </xdr:from>
    <xdr:to>
      <xdr:col>4</xdr:col>
      <xdr:colOff>1018838</xdr:colOff>
      <xdr:row>104</xdr:row>
      <xdr:rowOff>94528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142A3F-0CFE-3596-9E7E-5A51C5018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680" y="17762220"/>
          <a:ext cx="3131820" cy="59436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144780</xdr:colOff>
      <xdr:row>85</xdr:row>
      <xdr:rowOff>7620</xdr:rowOff>
    </xdr:from>
    <xdr:to>
      <xdr:col>4</xdr:col>
      <xdr:colOff>691178</xdr:colOff>
      <xdr:row>88</xdr:row>
      <xdr:rowOff>185968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5F549C-B0A6-11E4-F60C-388695BFD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440" y="14958060"/>
          <a:ext cx="2819400" cy="80772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548640</xdr:colOff>
      <xdr:row>69</xdr:row>
      <xdr:rowOff>106680</xdr:rowOff>
    </xdr:from>
    <xdr:to>
      <xdr:col>5</xdr:col>
      <xdr:colOff>774997</xdr:colOff>
      <xdr:row>74</xdr:row>
      <xdr:rowOff>35011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E4E2E1-5503-C396-7259-F0B0B4312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2374880"/>
          <a:ext cx="3977640" cy="975359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297180</xdr:colOff>
      <xdr:row>27</xdr:row>
      <xdr:rowOff>83820</xdr:rowOff>
    </xdr:from>
    <xdr:to>
      <xdr:col>4</xdr:col>
      <xdr:colOff>432098</xdr:colOff>
      <xdr:row>30</xdr:row>
      <xdr:rowOff>185970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669E75-9F13-A682-3D4C-85FDA52D9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840" y="5814060"/>
          <a:ext cx="2407920" cy="73152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212911</xdr:colOff>
      <xdr:row>44</xdr:row>
      <xdr:rowOff>89648</xdr:rowOff>
    </xdr:from>
    <xdr:to>
      <xdr:col>6</xdr:col>
      <xdr:colOff>605566</xdr:colOff>
      <xdr:row>63</xdr:row>
      <xdr:rowOff>196327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2C93DA1-0311-E669-4269-FDE65BE5E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7411" y="10376648"/>
          <a:ext cx="5211184" cy="393909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2</xdr:row>
      <xdr:rowOff>0</xdr:rowOff>
    </xdr:from>
    <xdr:to>
      <xdr:col>8</xdr:col>
      <xdr:colOff>236220</xdr:colOff>
      <xdr:row>3</xdr:row>
      <xdr:rowOff>67746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345B32-E3EF-0CCB-4D3E-A9860CA78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5280"/>
          <a:ext cx="4572000" cy="26670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</xdr:colOff>
      <xdr:row>19</xdr:row>
      <xdr:rowOff>83820</xdr:rowOff>
    </xdr:from>
    <xdr:to>
      <xdr:col>7</xdr:col>
      <xdr:colOff>99060</xdr:colOff>
      <xdr:row>22</xdr:row>
      <xdr:rowOff>172129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3EBD82-14B9-CF5C-A56C-F804F1E9A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3268980"/>
          <a:ext cx="3878580" cy="68580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204885</xdr:colOff>
      <xdr:row>40</xdr:row>
      <xdr:rowOff>137160</xdr:rowOff>
    </xdr:from>
    <xdr:to>
      <xdr:col>6</xdr:col>
      <xdr:colOff>714374</xdr:colOff>
      <xdr:row>57</xdr:row>
      <xdr:rowOff>158443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819F2A-BBC5-AB9D-46A2-95DB68EC8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528" y="8029303"/>
          <a:ext cx="5203953" cy="337544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71</xdr:row>
      <xdr:rowOff>0</xdr:rowOff>
    </xdr:from>
    <xdr:to>
      <xdr:col>2</xdr:col>
      <xdr:colOff>304800</xdr:colOff>
      <xdr:row>72</xdr:row>
      <xdr:rowOff>103293</xdr:rowOff>
    </xdr:to>
    <xdr:sp macro="" textlink="">
      <xdr:nvSpPr>
        <xdr:cNvPr id="24578" name="AutoShape 2">
          <a:extLst>
            <a:ext uri="{FF2B5EF4-FFF2-40B4-BE49-F238E27FC236}">
              <a16:creationId xmlns:a16="http://schemas.microsoft.com/office/drawing/2014/main" id="{B553E3CA-ECB3-4B24-1835-2BAE792602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03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224314</xdr:colOff>
      <xdr:row>70</xdr:row>
      <xdr:rowOff>151238</xdr:rowOff>
    </xdr:from>
    <xdr:to>
      <xdr:col>4</xdr:col>
      <xdr:colOff>771601</xdr:colOff>
      <xdr:row>84</xdr:row>
      <xdr:rowOff>96003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A5CC8C-6110-EADC-678B-DB5BDFD71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5841" y="14065009"/>
          <a:ext cx="3120342" cy="277857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hemeo.com/cid/64-895-8/Triethanolamine" TargetMode="External"/><Relationship Id="rId2" Type="http://schemas.openxmlformats.org/officeDocument/2006/relationships/hyperlink" Target="https://www.chemeo.com/cid/30-006-1/Diethanolamine" TargetMode="External"/><Relationship Id="rId1" Type="http://schemas.openxmlformats.org/officeDocument/2006/relationships/hyperlink" Target="https://www.chemeo.com/cid/20-170-0/Monoethanolamine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ebbook.nist.gov/cgi/cbook.cgi?ID=C107211&amp;Mask=1EF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2:L31"/>
  <sheetViews>
    <sheetView topLeftCell="A7" workbookViewId="0">
      <selection activeCell="I28" sqref="I28:J28"/>
    </sheetView>
  </sheetViews>
  <sheetFormatPr defaultColWidth="12.6640625" defaultRowHeight="15.75" customHeight="1"/>
  <sheetData>
    <row r="2" spans="4:12" ht="15.75" customHeight="1">
      <c r="D2" s="1"/>
      <c r="E2" s="2"/>
      <c r="F2" s="2"/>
      <c r="G2" s="2"/>
      <c r="H2" s="2"/>
      <c r="I2" s="2"/>
      <c r="J2" s="2"/>
      <c r="K2" s="2"/>
      <c r="L2" s="3"/>
    </row>
    <row r="3" spans="4:12" ht="15.75" customHeight="1">
      <c r="D3" s="4"/>
      <c r="E3" s="5"/>
      <c r="F3" s="5"/>
      <c r="G3" s="5"/>
      <c r="H3" s="5"/>
      <c r="I3" s="5"/>
      <c r="J3" s="5"/>
      <c r="K3" s="5"/>
      <c r="L3" s="6"/>
    </row>
    <row r="4" spans="4:12" ht="15.75" customHeight="1">
      <c r="D4" s="4"/>
      <c r="E4" s="5"/>
      <c r="F4" s="5"/>
      <c r="G4" s="5"/>
      <c r="H4" s="5"/>
      <c r="I4" s="5"/>
      <c r="J4" s="5"/>
      <c r="K4" s="5"/>
      <c r="L4" s="6"/>
    </row>
    <row r="5" spans="4:12" ht="15.75" customHeight="1">
      <c r="D5" s="4"/>
      <c r="E5" s="5"/>
      <c r="F5" s="5"/>
      <c r="G5" s="5"/>
      <c r="H5" s="5"/>
      <c r="I5" s="5"/>
      <c r="J5" s="5"/>
      <c r="K5" s="5"/>
      <c r="L5" s="6"/>
    </row>
    <row r="6" spans="4:12" ht="15.75" customHeight="1">
      <c r="D6" s="4"/>
      <c r="E6" s="5"/>
      <c r="F6" s="5"/>
      <c r="G6" s="5"/>
      <c r="H6" s="5"/>
      <c r="I6" s="5"/>
      <c r="J6" s="5"/>
      <c r="K6" s="5"/>
      <c r="L6" s="6"/>
    </row>
    <row r="7" spans="4:12" ht="15.75" customHeight="1">
      <c r="D7" s="4"/>
      <c r="E7" s="5"/>
      <c r="F7" s="5"/>
      <c r="G7" s="5"/>
      <c r="H7" s="5"/>
      <c r="I7" s="5"/>
      <c r="J7" s="5"/>
      <c r="K7" s="5"/>
      <c r="L7" s="6"/>
    </row>
    <row r="8" spans="4:12" ht="15.75" customHeight="1">
      <c r="D8" s="4"/>
      <c r="E8" s="5"/>
      <c r="F8" s="5"/>
      <c r="G8" s="5"/>
      <c r="H8" s="5"/>
      <c r="I8" s="5"/>
      <c r="J8" s="5"/>
      <c r="K8" s="5"/>
      <c r="L8" s="6"/>
    </row>
    <row r="9" spans="4:12" ht="15.75" customHeight="1">
      <c r="D9" s="4"/>
      <c r="E9" s="5"/>
      <c r="F9" s="5"/>
      <c r="G9" s="5"/>
      <c r="H9" s="5"/>
      <c r="I9" s="5"/>
      <c r="J9" s="5"/>
      <c r="K9" s="5"/>
      <c r="L9" s="6"/>
    </row>
    <row r="10" spans="4:12" ht="15.75" customHeight="1">
      <c r="D10" s="4"/>
      <c r="E10" s="5"/>
      <c r="F10" s="5"/>
      <c r="G10" s="5"/>
      <c r="H10" s="5"/>
      <c r="I10" s="5"/>
      <c r="J10" s="5"/>
      <c r="K10" s="5"/>
      <c r="L10" s="6"/>
    </row>
    <row r="11" spans="4:12" ht="15.75" customHeight="1">
      <c r="D11" s="4"/>
      <c r="E11" s="5"/>
      <c r="F11" s="5"/>
      <c r="G11" s="5"/>
      <c r="H11" s="5"/>
      <c r="I11" s="5"/>
      <c r="J11" s="5"/>
      <c r="K11" s="5"/>
      <c r="L11" s="6"/>
    </row>
    <row r="12" spans="4:12" ht="15.75" customHeight="1">
      <c r="D12" s="4"/>
      <c r="E12" s="5"/>
      <c r="F12" s="5"/>
      <c r="G12" s="5"/>
      <c r="H12" s="5"/>
      <c r="I12" s="5"/>
      <c r="J12" s="5"/>
      <c r="K12" s="5"/>
      <c r="L12" s="6"/>
    </row>
    <row r="13" spans="4:12" ht="15.75" customHeight="1">
      <c r="D13" s="4"/>
      <c r="E13" s="5"/>
      <c r="F13" s="5"/>
      <c r="G13" s="32" t="s">
        <v>960</v>
      </c>
      <c r="J13" s="5"/>
      <c r="K13" s="5"/>
      <c r="L13" s="6"/>
    </row>
    <row r="14" spans="4:12" ht="15.75" customHeight="1">
      <c r="D14" s="4"/>
      <c r="E14" s="5"/>
      <c r="F14" s="5"/>
      <c r="G14" s="5"/>
      <c r="H14" s="5"/>
      <c r="I14" s="5"/>
      <c r="J14" s="5"/>
      <c r="K14" s="5"/>
      <c r="L14" s="6"/>
    </row>
    <row r="15" spans="4:12" ht="15.75" customHeight="1">
      <c r="D15" s="4"/>
      <c r="E15" s="5"/>
      <c r="F15" s="5"/>
      <c r="G15" s="375" t="s">
        <v>961</v>
      </c>
      <c r="H15" s="376"/>
      <c r="I15" s="376"/>
      <c r="J15" s="5"/>
      <c r="K15" s="5"/>
      <c r="L15" s="6"/>
    </row>
    <row r="16" spans="4:12" ht="15.75" customHeight="1">
      <c r="D16" s="4"/>
      <c r="E16" s="5"/>
      <c r="F16" s="5"/>
      <c r="G16" s="5"/>
      <c r="H16" s="5"/>
      <c r="I16" s="5"/>
      <c r="J16" s="5"/>
      <c r="K16" s="5"/>
      <c r="L16" s="6"/>
    </row>
    <row r="17" spans="3:12" ht="15.75" customHeight="1">
      <c r="D17" s="4"/>
      <c r="E17" s="5"/>
      <c r="F17" s="375" t="s">
        <v>962</v>
      </c>
      <c r="G17" s="376"/>
      <c r="H17" s="376"/>
      <c r="I17" s="376"/>
      <c r="J17" s="376"/>
      <c r="K17" s="5"/>
      <c r="L17" s="6"/>
    </row>
    <row r="18" spans="3:12" ht="15.75" customHeight="1">
      <c r="D18" s="4"/>
      <c r="E18" s="5"/>
      <c r="F18" s="5"/>
      <c r="G18" s="5"/>
      <c r="H18" s="5"/>
      <c r="I18" s="5"/>
      <c r="J18" s="5"/>
      <c r="K18" s="5"/>
      <c r="L18" s="6"/>
    </row>
    <row r="19" spans="3:12" ht="15.75" customHeight="1">
      <c r="C19" s="8"/>
      <c r="D19" s="377" t="s">
        <v>0</v>
      </c>
      <c r="E19" s="376"/>
      <c r="F19" s="376"/>
      <c r="G19" s="376"/>
      <c r="H19" s="376"/>
      <c r="I19" s="376"/>
      <c r="J19" s="376"/>
      <c r="K19" s="376"/>
      <c r="L19" s="378"/>
    </row>
    <row r="20" spans="3:12" ht="15.75" customHeight="1">
      <c r="D20" s="4"/>
      <c r="E20" s="5"/>
      <c r="F20" s="5"/>
      <c r="G20" s="5"/>
      <c r="H20" s="5"/>
      <c r="I20" s="5"/>
      <c r="J20" s="5"/>
      <c r="K20" s="5"/>
      <c r="L20" s="6"/>
    </row>
    <row r="21" spans="3:12" ht="15.75" customHeight="1">
      <c r="D21" s="4"/>
      <c r="E21" s="5"/>
      <c r="F21" s="377" t="s">
        <v>963</v>
      </c>
      <c r="G21" s="376"/>
      <c r="H21" s="376"/>
      <c r="I21" s="376"/>
      <c r="J21" s="376"/>
      <c r="K21" s="5"/>
      <c r="L21" s="6"/>
    </row>
    <row r="22" spans="3:12" ht="15.75" customHeight="1">
      <c r="D22" s="4"/>
      <c r="E22" s="5"/>
      <c r="F22" s="5"/>
      <c r="G22" s="5"/>
      <c r="H22" s="5"/>
      <c r="I22" s="5"/>
      <c r="J22" s="5"/>
      <c r="K22" s="5"/>
      <c r="L22" s="6"/>
    </row>
    <row r="23" spans="3:12" ht="15.75" customHeight="1">
      <c r="D23" s="4"/>
      <c r="E23" s="5"/>
      <c r="F23" s="5"/>
      <c r="G23" s="377" t="s">
        <v>1</v>
      </c>
      <c r="H23" s="376"/>
      <c r="I23" s="376"/>
      <c r="J23" s="5"/>
      <c r="K23" s="5"/>
      <c r="L23" s="6"/>
    </row>
    <row r="24" spans="3:12" ht="15.75" customHeight="1">
      <c r="D24" s="4"/>
      <c r="E24" s="5"/>
      <c r="F24" s="5"/>
      <c r="G24" s="5"/>
      <c r="H24" s="5"/>
      <c r="I24" s="5"/>
      <c r="J24" s="5"/>
      <c r="K24" s="5"/>
      <c r="L24" s="6"/>
    </row>
    <row r="25" spans="3:12" ht="15.75" customHeight="1">
      <c r="D25" s="4"/>
      <c r="E25" s="5"/>
      <c r="F25" s="385" t="s">
        <v>2</v>
      </c>
      <c r="G25" s="386"/>
      <c r="H25" s="380"/>
      <c r="I25" s="379" t="s">
        <v>3</v>
      </c>
      <c r="J25" s="380"/>
      <c r="K25" s="5"/>
      <c r="L25" s="6"/>
    </row>
    <row r="26" spans="3:12" ht="15.75" customHeight="1">
      <c r="D26" s="4"/>
      <c r="E26" s="5"/>
      <c r="F26" s="381" t="s">
        <v>964</v>
      </c>
      <c r="G26" s="382"/>
      <c r="H26" s="383"/>
      <c r="I26" s="384" t="s">
        <v>968</v>
      </c>
      <c r="J26" s="380"/>
      <c r="K26" s="5"/>
      <c r="L26" s="6"/>
    </row>
    <row r="27" spans="3:12" ht="15.6">
      <c r="D27" s="4"/>
      <c r="E27" s="5"/>
      <c r="F27" s="381" t="s">
        <v>965</v>
      </c>
      <c r="G27" s="382"/>
      <c r="H27" s="383"/>
      <c r="I27" s="384" t="s">
        <v>969</v>
      </c>
      <c r="J27" s="380"/>
      <c r="K27" s="5"/>
      <c r="L27" s="6"/>
    </row>
    <row r="28" spans="3:12" ht="15.6">
      <c r="D28" s="4"/>
      <c r="E28" s="5"/>
      <c r="F28" s="381" t="s">
        <v>966</v>
      </c>
      <c r="G28" s="382"/>
      <c r="H28" s="383"/>
      <c r="I28" s="384" t="s">
        <v>970</v>
      </c>
      <c r="J28" s="380"/>
      <c r="K28" s="5"/>
      <c r="L28" s="6"/>
    </row>
    <row r="29" spans="3:12" ht="15.6">
      <c r="D29" s="4"/>
      <c r="E29" s="5"/>
      <c r="F29" s="381" t="s">
        <v>967</v>
      </c>
      <c r="G29" s="382"/>
      <c r="H29" s="383"/>
      <c r="I29" s="384" t="s">
        <v>4</v>
      </c>
      <c r="J29" s="380"/>
      <c r="K29" s="5"/>
      <c r="L29" s="6"/>
    </row>
    <row r="30" spans="3:12" ht="15.6">
      <c r="D30" s="4"/>
      <c r="E30" s="5"/>
      <c r="F30" s="5"/>
      <c r="G30" s="5"/>
      <c r="H30" s="5"/>
      <c r="I30" s="5"/>
      <c r="J30" s="5"/>
      <c r="K30" s="5"/>
      <c r="L30" s="6"/>
    </row>
    <row r="31" spans="3:12" ht="15.6">
      <c r="D31" s="10"/>
      <c r="E31" s="11"/>
      <c r="F31" s="11"/>
      <c r="G31" s="11"/>
      <c r="H31" s="11"/>
      <c r="I31" s="11"/>
      <c r="J31" s="11"/>
      <c r="K31" s="11"/>
      <c r="L31" s="12"/>
    </row>
  </sheetData>
  <mergeCells count="15">
    <mergeCell ref="I25:J25"/>
    <mergeCell ref="F29:H29"/>
    <mergeCell ref="I29:J29"/>
    <mergeCell ref="F25:H25"/>
    <mergeCell ref="F26:H26"/>
    <mergeCell ref="I26:J26"/>
    <mergeCell ref="F27:H27"/>
    <mergeCell ref="I27:J27"/>
    <mergeCell ref="F28:H28"/>
    <mergeCell ref="I28:J28"/>
    <mergeCell ref="G15:I15"/>
    <mergeCell ref="F17:J17"/>
    <mergeCell ref="D19:L19"/>
    <mergeCell ref="F21:J21"/>
    <mergeCell ref="G23:I2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Y27"/>
  <sheetViews>
    <sheetView topLeftCell="A13" zoomScale="102" zoomScaleNormal="102" zoomScaleSheetLayoutView="50" workbookViewId="0">
      <selection activeCell="D30" sqref="D30"/>
    </sheetView>
  </sheetViews>
  <sheetFormatPr defaultColWidth="12.6640625" defaultRowHeight="15.75" customHeight="1"/>
  <cols>
    <col min="1" max="1" width="14.5546875" customWidth="1"/>
    <col min="2" max="4" width="16.77734375" customWidth="1"/>
    <col min="5" max="5" width="15.5546875" customWidth="1"/>
    <col min="6" max="7" width="15.88671875" customWidth="1"/>
    <col min="8" max="8" width="16.88671875" customWidth="1"/>
    <col min="9" max="9" width="13.5546875" bestFit="1" customWidth="1"/>
    <col min="10" max="10" width="18.21875" customWidth="1"/>
    <col min="11" max="11" width="17.21875" customWidth="1"/>
    <col min="12" max="12" width="15.44140625" customWidth="1"/>
    <col min="13" max="13" width="15.33203125" customWidth="1"/>
    <col min="14" max="14" width="13.5546875" bestFit="1" customWidth="1"/>
    <col min="15" max="15" width="12.77734375" bestFit="1" customWidth="1"/>
    <col min="16" max="16" width="16" customWidth="1"/>
    <col min="17" max="17" width="18.6640625" customWidth="1"/>
    <col min="18" max="18" width="16.77734375" customWidth="1"/>
    <col min="19" max="19" width="16.88671875" customWidth="1"/>
    <col min="20" max="20" width="15.6640625" customWidth="1"/>
    <col min="21" max="21" width="15.88671875" bestFit="1" customWidth="1"/>
    <col min="22" max="22" width="15.6640625" customWidth="1"/>
    <col min="24" max="24" width="18.88671875" customWidth="1"/>
    <col min="25" max="25" width="29.88671875" customWidth="1"/>
  </cols>
  <sheetData>
    <row r="1" spans="1:25" ht="15.6">
      <c r="A1" s="377" t="s">
        <v>531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</row>
    <row r="2" spans="1:25" ht="15.6">
      <c r="A2" s="13" t="s">
        <v>5</v>
      </c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13">
        <v>10</v>
      </c>
      <c r="L2" s="13">
        <v>11</v>
      </c>
      <c r="M2" s="13">
        <v>12</v>
      </c>
      <c r="N2" s="13">
        <v>13</v>
      </c>
      <c r="O2" s="13">
        <v>14</v>
      </c>
      <c r="P2" s="13">
        <v>15</v>
      </c>
      <c r="Q2" s="13">
        <v>16</v>
      </c>
      <c r="R2" s="13">
        <v>17</v>
      </c>
      <c r="S2" s="13">
        <v>18</v>
      </c>
      <c r="T2" s="13">
        <v>19</v>
      </c>
      <c r="U2" s="13">
        <v>20</v>
      </c>
      <c r="V2" s="13">
        <v>21</v>
      </c>
      <c r="W2" s="14"/>
      <c r="X2" s="15" t="s">
        <v>6</v>
      </c>
      <c r="Y2" s="15" t="s">
        <v>7</v>
      </c>
    </row>
    <row r="3" spans="1:25" ht="62.25" customHeight="1">
      <c r="A3" s="13" t="s">
        <v>8</v>
      </c>
      <c r="B3" s="16" t="s">
        <v>9</v>
      </c>
      <c r="C3" s="17" t="s">
        <v>10</v>
      </c>
      <c r="D3" s="17" t="s">
        <v>11</v>
      </c>
      <c r="E3" s="17" t="s">
        <v>12</v>
      </c>
      <c r="F3" s="18" t="s">
        <v>13</v>
      </c>
      <c r="G3" s="18" t="s">
        <v>14</v>
      </c>
      <c r="H3" s="18" t="s">
        <v>15</v>
      </c>
      <c r="I3" s="18" t="s">
        <v>16</v>
      </c>
      <c r="J3" s="18" t="s">
        <v>17</v>
      </c>
      <c r="K3" s="18" t="s">
        <v>18</v>
      </c>
      <c r="L3" s="18" t="s">
        <v>19</v>
      </c>
      <c r="M3" s="18" t="s">
        <v>20</v>
      </c>
      <c r="N3" s="18" t="s">
        <v>21</v>
      </c>
      <c r="O3" s="18" t="s">
        <v>22</v>
      </c>
      <c r="P3" s="18" t="s">
        <v>23</v>
      </c>
      <c r="Q3" s="17" t="s">
        <v>24</v>
      </c>
      <c r="R3" s="17" t="s">
        <v>25</v>
      </c>
      <c r="S3" s="17" t="s">
        <v>26</v>
      </c>
      <c r="T3" s="18" t="s">
        <v>27</v>
      </c>
      <c r="U3" s="18" t="s">
        <v>28</v>
      </c>
      <c r="V3" s="18" t="s">
        <v>29</v>
      </c>
      <c r="X3" s="19" t="s">
        <v>30</v>
      </c>
      <c r="Y3" s="20">
        <f>17.031</f>
        <v>17.030999999999999</v>
      </c>
    </row>
    <row r="4" spans="1:25" ht="47.25" customHeight="1">
      <c r="A4" s="13" t="s">
        <v>31</v>
      </c>
      <c r="B4" s="17" t="s">
        <v>32</v>
      </c>
      <c r="C4" s="17" t="s">
        <v>33</v>
      </c>
      <c r="D4" s="17" t="s">
        <v>34</v>
      </c>
      <c r="E4" s="17" t="s">
        <v>35</v>
      </c>
      <c r="F4" s="17" t="s">
        <v>36</v>
      </c>
      <c r="G4" s="17" t="s">
        <v>37</v>
      </c>
      <c r="H4" s="17" t="s">
        <v>38</v>
      </c>
      <c r="I4" s="387" t="s">
        <v>39</v>
      </c>
      <c r="J4" s="376"/>
      <c r="K4" s="17" t="s">
        <v>40</v>
      </c>
      <c r="L4" s="388" t="s">
        <v>41</v>
      </c>
      <c r="M4" s="389"/>
      <c r="N4" s="388" t="s">
        <v>42</v>
      </c>
      <c r="O4" s="389"/>
      <c r="P4" s="17" t="s">
        <v>43</v>
      </c>
      <c r="Q4" s="18" t="s">
        <v>44</v>
      </c>
      <c r="R4" s="388" t="s">
        <v>45</v>
      </c>
      <c r="S4" s="389"/>
      <c r="T4" s="388" t="s">
        <v>46</v>
      </c>
      <c r="U4" s="389"/>
      <c r="V4" s="17" t="s">
        <v>47</v>
      </c>
      <c r="X4" s="19" t="s">
        <v>48</v>
      </c>
      <c r="Y4" s="20">
        <v>44.052999999999997</v>
      </c>
    </row>
    <row r="5" spans="1:25" ht="31.2">
      <c r="A5" s="13" t="s">
        <v>49</v>
      </c>
      <c r="B5" s="17" t="s">
        <v>34</v>
      </c>
      <c r="C5" s="17" t="s">
        <v>35</v>
      </c>
      <c r="D5" s="17" t="s">
        <v>37</v>
      </c>
      <c r="E5" s="17" t="s">
        <v>36</v>
      </c>
      <c r="F5" s="17" t="s">
        <v>37</v>
      </c>
      <c r="G5" s="17" t="s">
        <v>38</v>
      </c>
      <c r="H5" s="18" t="s">
        <v>39</v>
      </c>
      <c r="I5" s="17" t="s">
        <v>50</v>
      </c>
      <c r="J5" s="18" t="s">
        <v>51</v>
      </c>
      <c r="K5" s="18" t="s">
        <v>52</v>
      </c>
      <c r="L5" s="17" t="s">
        <v>43</v>
      </c>
      <c r="M5" s="18" t="s">
        <v>53</v>
      </c>
      <c r="N5" s="18" t="s">
        <v>54</v>
      </c>
      <c r="O5" s="18" t="s">
        <v>55</v>
      </c>
      <c r="P5" s="18" t="s">
        <v>45</v>
      </c>
      <c r="Q5" s="18" t="s">
        <v>45</v>
      </c>
      <c r="R5" s="17" t="s">
        <v>47</v>
      </c>
      <c r="S5" s="18" t="s">
        <v>56</v>
      </c>
      <c r="T5" s="18" t="s">
        <v>57</v>
      </c>
      <c r="U5" s="18" t="s">
        <v>58</v>
      </c>
      <c r="V5" s="17" t="s">
        <v>36</v>
      </c>
      <c r="X5" s="19" t="s">
        <v>59</v>
      </c>
      <c r="Y5" s="20">
        <v>61.082999999999998</v>
      </c>
    </row>
    <row r="6" spans="1:25" ht="31.2">
      <c r="A6" s="223" t="s">
        <v>60</v>
      </c>
      <c r="B6" s="17">
        <f>'Heater 1'!J19</f>
        <v>1</v>
      </c>
      <c r="C6" s="17">
        <f>'Heater 2'!I27</f>
        <v>1</v>
      </c>
      <c r="D6" s="31">
        <f>Reactor!D27</f>
        <v>1</v>
      </c>
      <c r="E6" s="17">
        <f>'Holding Tank'!E23</f>
        <v>1</v>
      </c>
      <c r="F6" s="31">
        <f>Reactor!F56</f>
        <v>1</v>
      </c>
      <c r="G6" s="31">
        <f>'Cooler 1'!E20</f>
        <v>1</v>
      </c>
      <c r="H6" s="165">
        <f>'Phase Separator'!E35</f>
        <v>0.51798561151079126</v>
      </c>
      <c r="I6" s="31">
        <f>'Heater 3'!E18</f>
        <v>1</v>
      </c>
      <c r="J6" s="17">
        <f>'Distillation Column 1 '!G29</f>
        <v>0</v>
      </c>
      <c r="K6" s="31">
        <f>'Heater 3'!O18</f>
        <v>0</v>
      </c>
      <c r="L6" s="17">
        <f>'Cooler 2'!E19</f>
        <v>1</v>
      </c>
      <c r="M6" s="17">
        <f>'Distillation Column 2'!E20</f>
        <v>0</v>
      </c>
      <c r="N6" s="17">
        <f>'Distillation Column 2'!H50</f>
        <v>0</v>
      </c>
      <c r="O6" s="17">
        <f>'Distillation Column 2'!N20</f>
        <v>0</v>
      </c>
      <c r="P6" s="17">
        <f>'Liquid-liquid Extractor '!E32</f>
        <v>0</v>
      </c>
      <c r="Q6" s="17">
        <f>'Liquid-liquid Extractor '!M29</f>
        <v>0</v>
      </c>
      <c r="R6" s="17">
        <f>'Heater 4'!J20</f>
        <v>0</v>
      </c>
      <c r="S6" s="17">
        <f>'Distillation Column 3'!E33</f>
        <v>0</v>
      </c>
      <c r="T6" s="17">
        <f>'Distillation Column 3'!H65</f>
        <v>0</v>
      </c>
      <c r="U6" s="17">
        <f>'Distillation Column 3'!L25</f>
        <v>0</v>
      </c>
      <c r="V6" s="17">
        <f>'Holding Tank'!H53</f>
        <v>1</v>
      </c>
      <c r="X6" s="19" t="s">
        <v>61</v>
      </c>
      <c r="Y6" s="20">
        <v>105.136</v>
      </c>
    </row>
    <row r="7" spans="1:25" ht="46.8">
      <c r="A7" s="223" t="s">
        <v>62</v>
      </c>
      <c r="B7" s="23">
        <f>'Heater 1'!J3</f>
        <v>7322.0170744743427</v>
      </c>
      <c r="C7" s="23">
        <f>'Heater 2'!I11</f>
        <v>9687.5</v>
      </c>
      <c r="D7" s="23">
        <f>Reactor!D11</f>
        <v>7322.0170744743427</v>
      </c>
      <c r="E7" s="23">
        <f>'Holding Tank'!E7</f>
        <v>9687.5</v>
      </c>
      <c r="F7" s="23">
        <f>Reactor!F40</f>
        <v>12626.262626262627</v>
      </c>
      <c r="G7" s="23">
        <f>'Cooler 1'!E4</f>
        <v>19948.089818118537</v>
      </c>
      <c r="H7" s="23">
        <f>'Phase Separator'!E19</f>
        <v>19948.089818118537</v>
      </c>
      <c r="I7" s="23">
        <f>'Heater 3'!E2</f>
        <v>4393.2102446846047</v>
      </c>
      <c r="J7" s="23">
        <f>'Distillation Column 1 '!G13</f>
        <v>15554.879573433933</v>
      </c>
      <c r="K7" s="23">
        <f>'Heater 3'!O2</f>
        <v>4393.2102446846047</v>
      </c>
      <c r="L7" s="23">
        <f>'Cooler 2'!E3</f>
        <v>11588.624623874779</v>
      </c>
      <c r="M7" s="23">
        <f>'Distillation Column 2'!E4</f>
        <v>3966.254949559152</v>
      </c>
      <c r="N7" s="23">
        <f>'Distillation Column 2'!H34</f>
        <v>1661.7622537200943</v>
      </c>
      <c r="O7" s="23">
        <f>'Distillation Column 2'!N4</f>
        <v>2304.492695839057</v>
      </c>
      <c r="P7" s="23">
        <f>'Liquid-liquid Extractor '!E16</f>
        <v>11588.624623874779</v>
      </c>
      <c r="Q7" s="17">
        <f>'Liquid-liquid Extractor '!M13</f>
        <v>19423.573657660298</v>
      </c>
      <c r="R7" s="23">
        <f>'Heater 4'!J4</f>
        <v>2938.7626262626272</v>
      </c>
      <c r="S7" s="17">
        <f>'Distillation Column 3'!E17</f>
        <v>28073.435655272449</v>
      </c>
      <c r="T7" s="23">
        <f>'Distillation Column 3'!H49</f>
        <v>8552.7760322907634</v>
      </c>
      <c r="U7" s="17">
        <f>'Distillation Column 3'!L9</f>
        <v>19520.659622981686</v>
      </c>
      <c r="V7" s="23">
        <f>'Holding Tank'!H37</f>
        <v>2938.7626262626272</v>
      </c>
      <c r="X7" s="19" t="s">
        <v>63</v>
      </c>
      <c r="Y7" s="20">
        <v>149.18799999999999</v>
      </c>
    </row>
    <row r="8" spans="1:25" ht="46.8">
      <c r="A8" s="223" t="s">
        <v>64</v>
      </c>
      <c r="B8" s="23">
        <f>'Heater 1'!J4</f>
        <v>429.92290966322253</v>
      </c>
      <c r="C8" s="23">
        <f>'Heater 2'!I12</f>
        <v>219.90556829273831</v>
      </c>
      <c r="D8" s="23">
        <f>Reactor!D12</f>
        <v>429.92290966322253</v>
      </c>
      <c r="E8" s="23">
        <f>'Holding Tank'!E8</f>
        <v>219.90556829273831</v>
      </c>
      <c r="F8" s="23">
        <f>Reactor!F41</f>
        <v>286.61527310881502</v>
      </c>
      <c r="G8" s="23">
        <f>'Cooler 1'!E5</f>
        <v>497.9940370265661</v>
      </c>
      <c r="H8" s="23">
        <f>'Phase Separator'!E20</f>
        <v>497.9940370265661</v>
      </c>
      <c r="I8" s="23">
        <f>'Heater 3'!E3</f>
        <v>257.95374579793349</v>
      </c>
      <c r="J8" s="23">
        <f>'Distillation Column 1 '!G14</f>
        <v>240.04029122863258</v>
      </c>
      <c r="K8" s="23">
        <f>'Heater 3'!O3</f>
        <v>257.95374579793349</v>
      </c>
      <c r="L8" s="23">
        <f>'Cooler 2'!E4</f>
        <v>208.62009191407873</v>
      </c>
      <c r="M8" s="23">
        <f>'Distillation Column 2'!E5</f>
        <v>31.420199314553848</v>
      </c>
      <c r="N8" s="23">
        <f>'Distillation Column 2'!H35</f>
        <v>15.879037313445869</v>
      </c>
      <c r="O8" s="23">
        <f>'Distillation Column 2'!N5</f>
        <v>15.541162001107978</v>
      </c>
      <c r="P8" s="23">
        <f>'Liquid-liquid Extractor '!E17</f>
        <v>208.62009191407873</v>
      </c>
      <c r="Q8" s="23">
        <f>'Liquid-liquid Extractor '!M14</f>
        <v>312.93013787111806</v>
      </c>
      <c r="R8" s="23">
        <f>'Heater 4'!J5</f>
        <v>66.709704816076709</v>
      </c>
      <c r="S8" s="23">
        <f>'Distillation Column 3'!E18</f>
        <v>454.84052496912011</v>
      </c>
      <c r="T8" s="23">
        <f>'Distillation Column 3'!H50</f>
        <v>140.39849153235301</v>
      </c>
      <c r="U8" s="23">
        <f>'Distillation Column 3'!L10</f>
        <v>314.44203343676708</v>
      </c>
      <c r="V8" s="23">
        <f>'Holding Tank'!H38</f>
        <v>66.709704816076709</v>
      </c>
      <c r="X8" s="19" t="s">
        <v>65</v>
      </c>
      <c r="Y8" s="24">
        <v>62.07</v>
      </c>
    </row>
    <row r="9" spans="1:25" ht="15.6">
      <c r="A9" s="390" t="s">
        <v>66</v>
      </c>
      <c r="B9" s="391"/>
      <c r="C9" s="391"/>
      <c r="D9" s="391"/>
      <c r="E9" s="391"/>
      <c r="F9" s="391"/>
      <c r="G9" s="391"/>
      <c r="H9" s="391"/>
      <c r="I9" s="391"/>
      <c r="J9" s="391"/>
      <c r="K9" s="391"/>
      <c r="L9" s="391"/>
      <c r="M9" s="391"/>
      <c r="N9" s="391"/>
      <c r="O9" s="391"/>
      <c r="P9" s="391"/>
      <c r="Q9" s="391"/>
      <c r="R9" s="391"/>
      <c r="S9" s="391"/>
      <c r="T9" s="391"/>
      <c r="U9" s="391"/>
      <c r="V9" s="389"/>
    </row>
    <row r="10" spans="1:25" ht="15.6">
      <c r="A10" s="13" t="s">
        <v>67</v>
      </c>
      <c r="B10" s="23">
        <f>'Heater 1'!J6</f>
        <v>429.92290966322253</v>
      </c>
      <c r="C10" s="25"/>
      <c r="D10" s="23">
        <f>Reactor!D14</f>
        <v>429.92290966322253</v>
      </c>
      <c r="E10" s="25"/>
      <c r="F10" s="25"/>
      <c r="G10" s="23">
        <f>'Cooler 1'!E7</f>
        <v>257.95374579793349</v>
      </c>
      <c r="H10" s="23">
        <f>'Phase Separator'!E22</f>
        <v>257.95374579793349</v>
      </c>
      <c r="I10" s="23">
        <f>'Heater 3'!E5</f>
        <v>257.95374579793349</v>
      </c>
      <c r="J10" s="25"/>
      <c r="K10" s="23">
        <f>'Heater 3'!O5</f>
        <v>257.95374579793349</v>
      </c>
      <c r="L10" s="25"/>
      <c r="M10" s="392"/>
      <c r="N10" s="392"/>
      <c r="O10" s="392"/>
      <c r="P10" s="25"/>
      <c r="Q10" s="392"/>
      <c r="R10" s="25"/>
      <c r="S10" s="25"/>
      <c r="T10" s="25"/>
      <c r="U10" s="392"/>
      <c r="V10" s="25"/>
    </row>
    <row r="11" spans="1:25" ht="15.6">
      <c r="A11" s="13" t="s">
        <v>68</v>
      </c>
      <c r="B11" s="392"/>
      <c r="C11" s="23">
        <f>'Heater 2'!I15</f>
        <v>219.90556829273831</v>
      </c>
      <c r="D11" s="392"/>
      <c r="E11" s="23">
        <f>'Holding Tank'!E11</f>
        <v>219.90556829273831</v>
      </c>
      <c r="F11" s="23">
        <f>Reactor!F44</f>
        <v>286.61527310881502</v>
      </c>
      <c r="G11" s="23">
        <f>'Cooler 1'!E8</f>
        <v>68.071127363343578</v>
      </c>
      <c r="H11" s="23">
        <f>'Phase Separator'!E23</f>
        <v>68.071127363343578</v>
      </c>
      <c r="I11" s="392"/>
      <c r="J11" s="23">
        <f>'Distillation Column 1 '!G17</f>
        <v>68.071127363343578</v>
      </c>
      <c r="K11" s="392"/>
      <c r="L11" s="23">
        <f>'Cooler 2'!E7</f>
        <v>68.071127363343578</v>
      </c>
      <c r="M11" s="394"/>
      <c r="N11" s="394"/>
      <c r="O11" s="393"/>
      <c r="P11" s="23">
        <f>'Liquid-liquid Extractor '!E20</f>
        <v>68.071127363343578</v>
      </c>
      <c r="Q11" s="393"/>
      <c r="R11" s="23">
        <f>'Heater 4'!J8</f>
        <v>66.709704816076709</v>
      </c>
      <c r="S11" s="23">
        <f>'Distillation Column 3'!E21</f>
        <v>1.3614225472668693</v>
      </c>
      <c r="T11" s="23">
        <f>'Distillation Column 3'!H53</f>
        <v>1.3614225472668693</v>
      </c>
      <c r="U11" s="394"/>
      <c r="V11" s="23">
        <f>'Holding Tank'!H41</f>
        <v>66.709704816076709</v>
      </c>
    </row>
    <row r="12" spans="1:25" ht="15.6">
      <c r="A12" s="13" t="s">
        <v>69</v>
      </c>
      <c r="B12" s="393"/>
      <c r="C12" s="392"/>
      <c r="D12" s="393"/>
      <c r="E12" s="392"/>
      <c r="F12" s="392"/>
      <c r="G12" s="23">
        <f>'Cooler 1'!E9</f>
        <v>143.30763655440751</v>
      </c>
      <c r="H12" s="23">
        <f>'Phase Separator'!E24</f>
        <v>143.30763655440751</v>
      </c>
      <c r="I12" s="393"/>
      <c r="J12" s="23">
        <f>'Distillation Column 1 '!G18</f>
        <v>143.30763655440751</v>
      </c>
      <c r="K12" s="393"/>
      <c r="L12" s="23">
        <f>'Cooler 2'!E8</f>
        <v>140.44148382331934</v>
      </c>
      <c r="M12" s="23">
        <f>'Distillation Column 2'!E9</f>
        <v>2.8661527310881501</v>
      </c>
      <c r="N12" s="23">
        <f>'Distillation Column 2'!H39</f>
        <v>2.8661527310881501</v>
      </c>
      <c r="O12" s="394"/>
      <c r="P12" s="23">
        <f>'Liquid-liquid Extractor '!E21</f>
        <v>140.44148382331934</v>
      </c>
      <c r="Q12" s="393"/>
      <c r="R12" s="392"/>
      <c r="S12" s="23">
        <f>'Distillation Column 3'!E22</f>
        <v>140.44148382331934</v>
      </c>
      <c r="T12" s="23">
        <f>'Distillation Column 3'!H54</f>
        <v>139.03706898508614</v>
      </c>
      <c r="U12" s="23">
        <f>'Distillation Column 3'!L14</f>
        <v>1.4044148382332082</v>
      </c>
      <c r="V12" s="392"/>
    </row>
    <row r="13" spans="1:25" ht="15.6">
      <c r="A13" s="13" t="s">
        <v>70</v>
      </c>
      <c r="B13" s="393"/>
      <c r="C13" s="393"/>
      <c r="D13" s="393"/>
      <c r="E13" s="393"/>
      <c r="F13" s="393"/>
      <c r="G13" s="23">
        <f>'Cooler 1'!E10</f>
        <v>10.748072741580565</v>
      </c>
      <c r="H13" s="23">
        <f>'Phase Separator'!E25</f>
        <v>10.748072741580565</v>
      </c>
      <c r="I13" s="393"/>
      <c r="J13" s="23">
        <f>'Distillation Column 1 '!G19</f>
        <v>10.748072741580565</v>
      </c>
      <c r="K13" s="393"/>
      <c r="L13" s="23">
        <f>'Cooler 2'!E9</f>
        <v>0.10748072741580565</v>
      </c>
      <c r="M13" s="23">
        <f>'Distillation Column 2'!E10</f>
        <v>10.640592014164758</v>
      </c>
      <c r="N13" s="23">
        <f>'Distillation Column 2'!H40</f>
        <v>10.321374253739815</v>
      </c>
      <c r="O13" s="23">
        <f>'Distillation Column 2'!N10</f>
        <v>0.31921776042494265</v>
      </c>
      <c r="P13" s="23">
        <f>'Liquid-liquid Extractor '!E22</f>
        <v>0.10748072741580565</v>
      </c>
      <c r="Q13" s="393"/>
      <c r="R13" s="393"/>
      <c r="S13" s="23">
        <f>'Distillation Column 3'!E23</f>
        <v>0.10748072741580565</v>
      </c>
      <c r="T13" s="392"/>
      <c r="U13" s="23">
        <f>'Distillation Column 3'!L15</f>
        <v>0.10748072741580565</v>
      </c>
      <c r="V13" s="393"/>
    </row>
    <row r="14" spans="1:25" ht="15.6">
      <c r="A14" s="13" t="s">
        <v>71</v>
      </c>
      <c r="B14" s="393"/>
      <c r="C14" s="393"/>
      <c r="D14" s="393"/>
      <c r="E14" s="393"/>
      <c r="F14" s="393"/>
      <c r="G14" s="23">
        <f>'Cooler 1'!E11</f>
        <v>17.913454569300939</v>
      </c>
      <c r="H14" s="23">
        <f>'Phase Separator'!E26</f>
        <v>17.913454569300939</v>
      </c>
      <c r="I14" s="393"/>
      <c r="J14" s="23">
        <f>'Distillation Column 1 '!G20</f>
        <v>17.913454569300939</v>
      </c>
      <c r="K14" s="393"/>
      <c r="L14" s="392"/>
      <c r="M14" s="23">
        <f>'Distillation Column 2'!E11</f>
        <v>17.913454569300939</v>
      </c>
      <c r="N14" s="23">
        <f>'Distillation Column 2'!H41</f>
        <v>2.6915103286179036</v>
      </c>
      <c r="O14" s="23">
        <f>'Distillation Column 2'!N11</f>
        <v>15.221944240683035</v>
      </c>
      <c r="P14" s="392"/>
      <c r="Q14" s="394"/>
      <c r="R14" s="393"/>
      <c r="S14" s="25"/>
      <c r="T14" s="393"/>
      <c r="U14" s="25"/>
      <c r="V14" s="393"/>
    </row>
    <row r="15" spans="1:25" ht="15.6">
      <c r="A15" s="13" t="s">
        <v>72</v>
      </c>
      <c r="B15" s="394"/>
      <c r="C15" s="394"/>
      <c r="D15" s="394"/>
      <c r="E15" s="394"/>
      <c r="F15" s="394"/>
      <c r="G15" s="25"/>
      <c r="H15" s="25"/>
      <c r="I15" s="394"/>
      <c r="J15" s="25"/>
      <c r="K15" s="394"/>
      <c r="L15" s="394"/>
      <c r="M15" s="25"/>
      <c r="N15" s="25"/>
      <c r="O15" s="25"/>
      <c r="P15" s="394"/>
      <c r="Q15" s="23">
        <f>'Liquid-liquid Extractor '!M21</f>
        <v>312.93013787111806</v>
      </c>
      <c r="R15" s="394"/>
      <c r="S15" s="23">
        <f>'Distillation Column 3'!E25</f>
        <v>312.93013787111806</v>
      </c>
      <c r="T15" s="394"/>
      <c r="U15" s="23">
        <f>'Distillation Column 3'!L17</f>
        <v>312.93013787111806</v>
      </c>
      <c r="V15" s="394"/>
    </row>
    <row r="16" spans="1:25" ht="15.6">
      <c r="A16" s="390" t="s">
        <v>73</v>
      </c>
      <c r="B16" s="391"/>
      <c r="C16" s="391"/>
      <c r="D16" s="391"/>
      <c r="E16" s="391"/>
      <c r="F16" s="391"/>
      <c r="G16" s="391"/>
      <c r="H16" s="391"/>
      <c r="I16" s="391"/>
      <c r="J16" s="391"/>
      <c r="K16" s="391"/>
      <c r="L16" s="391"/>
      <c r="M16" s="391"/>
      <c r="N16" s="391"/>
      <c r="O16" s="391"/>
      <c r="P16" s="391"/>
      <c r="Q16" s="391"/>
      <c r="R16" s="391"/>
      <c r="S16" s="391"/>
      <c r="T16" s="391"/>
      <c r="U16" s="391"/>
      <c r="V16" s="389"/>
    </row>
    <row r="17" spans="1:22" ht="15.6">
      <c r="A17" s="13" t="s">
        <v>67</v>
      </c>
      <c r="B17" s="23">
        <f>'Heater 1'!J13</f>
        <v>1</v>
      </c>
      <c r="C17" s="25"/>
      <c r="D17" s="23">
        <f>Reactor!D21</f>
        <v>1</v>
      </c>
      <c r="E17" s="25"/>
      <c r="F17" s="25"/>
      <c r="G17" s="23">
        <f>'Cooler 1'!E14</f>
        <v>0.51798561151079126</v>
      </c>
      <c r="H17" s="23">
        <f>'Phase Separator'!E29</f>
        <v>0.51798561151079126</v>
      </c>
      <c r="I17" s="23">
        <f>'Heater 3'!E12</f>
        <v>1</v>
      </c>
      <c r="J17" s="25"/>
      <c r="K17" s="27">
        <f>'Heater 3'!O12</f>
        <v>1</v>
      </c>
      <c r="L17" s="26"/>
      <c r="M17" s="392"/>
      <c r="N17" s="392"/>
      <c r="O17" s="392"/>
      <c r="P17" s="25"/>
      <c r="Q17" s="392"/>
      <c r="R17" s="25"/>
      <c r="S17" s="25"/>
      <c r="T17" s="25"/>
      <c r="U17" s="392"/>
      <c r="V17" s="25"/>
    </row>
    <row r="18" spans="1:22" ht="15.6">
      <c r="A18" s="13" t="s">
        <v>68</v>
      </c>
      <c r="B18" s="392"/>
      <c r="C18" s="23">
        <f>'Heater 2'!I22</f>
        <v>1</v>
      </c>
      <c r="D18" s="392"/>
      <c r="E18" s="23">
        <f>'Holding Tank'!E18</f>
        <v>1</v>
      </c>
      <c r="F18" s="23">
        <f>Reactor!F51</f>
        <v>1</v>
      </c>
      <c r="G18" s="23">
        <f>'Cooler 1'!E15</f>
        <v>0.1366906474820144</v>
      </c>
      <c r="H18" s="23">
        <f>'Phase Separator'!E30</f>
        <v>0.1366906474820144</v>
      </c>
      <c r="I18" s="392"/>
      <c r="J18" s="23">
        <f>'Distillation Column 1 '!G24</f>
        <v>0.28358208955223885</v>
      </c>
      <c r="K18" s="395"/>
      <c r="L18" s="27">
        <f>'Cooler 2'!E14</f>
        <v>0.32629228919800796</v>
      </c>
      <c r="M18" s="393"/>
      <c r="N18" s="394"/>
      <c r="O18" s="393"/>
      <c r="P18" s="23">
        <f>'Liquid-liquid Extractor '!E27</f>
        <v>0.32629228919800796</v>
      </c>
      <c r="Q18" s="393"/>
      <c r="R18" s="23">
        <f>'Heater 4'!J15</f>
        <v>1</v>
      </c>
      <c r="S18" s="23">
        <f>'Distillation Column 3'!E28</f>
        <v>2.9931865621676927E-3</v>
      </c>
      <c r="T18" s="23">
        <f>'Distillation Column 3'!H60</f>
        <v>9.6968459732571077E-3</v>
      </c>
      <c r="U18" s="394"/>
      <c r="V18" s="23">
        <f>'Holding Tank'!H48</f>
        <v>1</v>
      </c>
    </row>
    <row r="19" spans="1:22" ht="15.6">
      <c r="A19" s="13" t="s">
        <v>69</v>
      </c>
      <c r="B19" s="393"/>
      <c r="C19" s="392"/>
      <c r="D19" s="393"/>
      <c r="E19" s="392"/>
      <c r="F19" s="392"/>
      <c r="G19" s="23">
        <f>'Cooler 1'!E16</f>
        <v>0.28776978417266186</v>
      </c>
      <c r="H19" s="23">
        <f>'Phase Separator'!E31</f>
        <v>0.28776978417266186</v>
      </c>
      <c r="I19" s="393"/>
      <c r="J19" s="23">
        <f>'Distillation Column 1 '!G25</f>
        <v>0.59701492537313428</v>
      </c>
      <c r="K19" s="393"/>
      <c r="L19" s="28">
        <f>'Cooler 2'!E15</f>
        <v>0.67319251245062672</v>
      </c>
      <c r="M19" s="27">
        <f>'Distillation Column 2'!E16</f>
        <v>9.12200684150513E-2</v>
      </c>
      <c r="N19" s="23">
        <f>'Distillation Column 2'!H46</f>
        <v>0.18049914957131452</v>
      </c>
      <c r="O19" s="393"/>
      <c r="P19" s="23">
        <f>'Liquid-liquid Extractor '!E28</f>
        <v>0.67319251245062672</v>
      </c>
      <c r="Q19" s="393"/>
      <c r="R19" s="392"/>
      <c r="S19" s="23">
        <f>'Distillation Column 3'!E29</f>
        <v>0.3087708243078256</v>
      </c>
      <c r="T19" s="23">
        <f>'Distillation Column 3'!H61</f>
        <v>0.99030315402674285</v>
      </c>
      <c r="U19" s="23">
        <f>'Distillation Column 3'!L21</f>
        <v>4.4663711873483671E-3</v>
      </c>
      <c r="V19" s="392"/>
    </row>
    <row r="20" spans="1:22" ht="15.6">
      <c r="A20" s="13" t="s">
        <v>70</v>
      </c>
      <c r="B20" s="393"/>
      <c r="C20" s="393"/>
      <c r="D20" s="393"/>
      <c r="E20" s="393"/>
      <c r="F20" s="393"/>
      <c r="G20" s="23">
        <f>'Cooler 1'!E17</f>
        <v>2.1582733812949641E-2</v>
      </c>
      <c r="H20" s="23">
        <f>'Phase Separator'!E32</f>
        <v>2.1582733812949641E-2</v>
      </c>
      <c r="I20" s="393"/>
      <c r="J20" s="23">
        <f>'Distillation Column 1 '!G26</f>
        <v>4.4776119402985079E-2</v>
      </c>
      <c r="K20" s="393"/>
      <c r="L20" s="28">
        <f>'Cooler 2'!E16</f>
        <v>5.1519835136527577E-4</v>
      </c>
      <c r="M20" s="27">
        <f>'Distillation Column 2'!E17</f>
        <v>0.33865450399087799</v>
      </c>
      <c r="N20" s="23">
        <f>'Distillation Column 2'!H47</f>
        <v>0.65</v>
      </c>
      <c r="O20" s="27">
        <f>'Distillation Column 2'!N17</f>
        <v>2.054014753865796E-2</v>
      </c>
      <c r="P20" s="23">
        <f>'Liquid-liquid Extractor '!E29</f>
        <v>5.1519835136527577E-4</v>
      </c>
      <c r="Q20" s="393"/>
      <c r="R20" s="393"/>
      <c r="S20" s="23">
        <f>'Distillation Column 3'!E30</f>
        <v>2.3630420227639722E-4</v>
      </c>
      <c r="T20" s="392"/>
      <c r="U20" s="23">
        <f>'Distillation Column 3'!L22</f>
        <v>3.4181412148073884E-4</v>
      </c>
      <c r="V20" s="393"/>
    </row>
    <row r="21" spans="1:22" ht="15.6">
      <c r="A21" s="13" t="s">
        <v>71</v>
      </c>
      <c r="B21" s="393"/>
      <c r="C21" s="393"/>
      <c r="D21" s="393"/>
      <c r="E21" s="393"/>
      <c r="F21" s="393"/>
      <c r="G21" s="23">
        <f>'Cooler 1'!E18</f>
        <v>3.5971223021582732E-2</v>
      </c>
      <c r="H21" s="23">
        <f>'Phase Separator'!E33</f>
        <v>3.5971223021582732E-2</v>
      </c>
      <c r="I21" s="393"/>
      <c r="J21" s="23">
        <f>'Distillation Column 1 '!G27</f>
        <v>7.4626865671641784E-2</v>
      </c>
      <c r="K21" s="393"/>
      <c r="L21" s="392"/>
      <c r="M21" s="27">
        <f>'Distillation Column 2'!E18</f>
        <v>0.5701254275940707</v>
      </c>
      <c r="N21" s="23">
        <f>'Distillation Column 2'!H48</f>
        <v>0.16950085042868546</v>
      </c>
      <c r="O21" s="27">
        <f>'Distillation Column 2'!N18</f>
        <v>0.97945985246134204</v>
      </c>
      <c r="P21" s="392"/>
      <c r="Q21" s="394"/>
      <c r="R21" s="393"/>
      <c r="S21" s="29"/>
      <c r="T21" s="393"/>
      <c r="U21" s="29"/>
      <c r="V21" s="393"/>
    </row>
    <row r="22" spans="1:22" ht="15.6">
      <c r="A22" s="13" t="s">
        <v>72</v>
      </c>
      <c r="B22" s="394"/>
      <c r="C22" s="394"/>
      <c r="D22" s="394"/>
      <c r="E22" s="394"/>
      <c r="F22" s="394"/>
      <c r="G22" s="25"/>
      <c r="H22" s="25"/>
      <c r="I22" s="394"/>
      <c r="J22" s="25"/>
      <c r="K22" s="393"/>
      <c r="L22" s="394"/>
      <c r="M22" s="25"/>
      <c r="N22" s="30"/>
      <c r="O22" s="25"/>
      <c r="P22" s="393"/>
      <c r="Q22" s="23">
        <f>'Liquid-liquid Extractor '!M28</f>
        <v>1</v>
      </c>
      <c r="R22" s="394"/>
      <c r="S22" s="23">
        <f>'Distillation Column 3'!E32</f>
        <v>0.68799968492773023</v>
      </c>
      <c r="T22" s="394"/>
      <c r="U22" s="23">
        <f>'Distillation Column 3'!L24</f>
        <v>0.99519181469117091</v>
      </c>
      <c r="V22" s="394"/>
    </row>
    <row r="23" spans="1:22" ht="31.2">
      <c r="A23" s="223" t="s">
        <v>74</v>
      </c>
      <c r="B23" s="31">
        <f>'Heater 1'!J20</f>
        <v>1</v>
      </c>
      <c r="C23" s="17">
        <f>'Heater 2'!I28</f>
        <v>1</v>
      </c>
      <c r="D23" s="31">
        <f>Reactor!D28</f>
        <v>1</v>
      </c>
      <c r="E23" s="17">
        <f>'Holding Tank'!E24</f>
        <v>1</v>
      </c>
      <c r="F23" s="31">
        <f>Reactor!F57</f>
        <v>1</v>
      </c>
      <c r="G23" s="31">
        <f>'Cooler 1'!E21</f>
        <v>0.99999999999999989</v>
      </c>
      <c r="H23" s="31">
        <f>'Phase Separator'!E36</f>
        <v>0.99999999999999989</v>
      </c>
      <c r="I23" s="31">
        <f>'Heater 3'!E19</f>
        <v>1</v>
      </c>
      <c r="J23" s="17">
        <f>'Distillation Column 1 '!G30</f>
        <v>1</v>
      </c>
      <c r="K23" s="31">
        <f>'Heater 3'!O19</f>
        <v>1</v>
      </c>
      <c r="L23" s="17">
        <f>'Cooler 2'!E20</f>
        <v>0.99999999999999989</v>
      </c>
      <c r="M23" s="17">
        <f>'Distillation Column 2'!E21</f>
        <v>1</v>
      </c>
      <c r="N23" s="17">
        <f>'Distillation Column 2'!H51</f>
        <v>1</v>
      </c>
      <c r="O23" s="17">
        <f>'Distillation Column 2'!N21</f>
        <v>1</v>
      </c>
      <c r="P23" s="17">
        <f>'Liquid-liquid Extractor '!E33</f>
        <v>0.99999999999999989</v>
      </c>
      <c r="Q23" s="17">
        <f>'Liquid-liquid Extractor '!M30</f>
        <v>1</v>
      </c>
      <c r="R23" s="17">
        <f>'Heater 4'!J21</f>
        <v>1</v>
      </c>
      <c r="S23" s="17">
        <f>'Distillation Column 3'!E34</f>
        <v>0.99999999999999989</v>
      </c>
      <c r="T23" s="17">
        <f>'Distillation Column 3'!H66</f>
        <v>1</v>
      </c>
      <c r="U23" s="17">
        <f>'Distillation Column 3'!L26</f>
        <v>1</v>
      </c>
      <c r="V23" s="17">
        <f>'Holding Tank'!H54</f>
        <v>1</v>
      </c>
    </row>
    <row r="24" spans="1:22" ht="15.6">
      <c r="A24" s="13" t="s">
        <v>75</v>
      </c>
      <c r="B24" s="17">
        <f>'Heater 1'!J21</f>
        <v>25</v>
      </c>
      <c r="C24" s="17">
        <f>'Heater 2'!I29</f>
        <v>25</v>
      </c>
      <c r="D24" s="17">
        <f>Reactor!D29</f>
        <v>350</v>
      </c>
      <c r="E24" s="17">
        <f>'Holding Tank'!E25</f>
        <v>350</v>
      </c>
      <c r="F24" s="31">
        <f>Reactor!F58</f>
        <v>350</v>
      </c>
      <c r="G24" s="31">
        <f>'Cooler 1'!E22</f>
        <v>350</v>
      </c>
      <c r="H24" s="31">
        <f>'Phase Separator'!E37</f>
        <v>10</v>
      </c>
      <c r="I24" s="31">
        <f>'Heater 3'!E20</f>
        <v>10</v>
      </c>
      <c r="J24" s="17">
        <f>'Distillation Column 1 '!G31</f>
        <v>10</v>
      </c>
      <c r="K24" s="31">
        <f>'Heater 3'!O20</f>
        <v>50</v>
      </c>
      <c r="L24" s="17">
        <f>'Cooler 2'!E21</f>
        <v>170</v>
      </c>
      <c r="M24" s="17">
        <f>'Distillation Column 2'!E22</f>
        <v>250</v>
      </c>
      <c r="N24" s="17">
        <f>'Distillation Column 2'!H52</f>
        <v>269</v>
      </c>
      <c r="O24" s="17">
        <f>'Distillation Column 2'!N22</f>
        <v>335</v>
      </c>
      <c r="P24" s="17">
        <f>'Liquid-liquid Extractor '!E34</f>
        <v>6</v>
      </c>
      <c r="Q24" s="17">
        <f>'Liquid-liquid Extractor '!M31</f>
        <v>6</v>
      </c>
      <c r="R24" s="17">
        <f>'Heater 4'!J22</f>
        <v>6</v>
      </c>
      <c r="S24" s="17">
        <f>'Distillation Column 3'!E35</f>
        <v>6</v>
      </c>
      <c r="T24" s="17">
        <f>'Distillation Column 3'!H67</f>
        <v>165</v>
      </c>
      <c r="U24" s="17">
        <f>'Distillation Column 3'!L27</f>
        <v>190</v>
      </c>
      <c r="V24" s="17">
        <f>'Holding Tank'!H55</f>
        <v>350</v>
      </c>
    </row>
    <row r="25" spans="1:22" ht="15.6">
      <c r="A25" s="13" t="s">
        <v>76</v>
      </c>
      <c r="B25" s="17">
        <f>'Heater 1'!J22</f>
        <v>1</v>
      </c>
      <c r="C25" s="17">
        <f>'Heater 2'!I30</f>
        <v>1</v>
      </c>
      <c r="D25" s="17">
        <f>Reactor!D30</f>
        <v>1</v>
      </c>
      <c r="E25" s="17">
        <f>'Holding Tank'!E26</f>
        <v>1</v>
      </c>
      <c r="F25" s="31">
        <f>Reactor!F59</f>
        <v>1</v>
      </c>
      <c r="G25" s="31">
        <f>'Cooler 1'!E23</f>
        <v>1</v>
      </c>
      <c r="H25" s="31">
        <f>'Phase Separator'!E38</f>
        <v>1</v>
      </c>
      <c r="I25" s="31">
        <f>'Heater 3'!E21</f>
        <v>1</v>
      </c>
      <c r="J25" s="17">
        <f>'Distillation Column 1 '!G32</f>
        <v>1</v>
      </c>
      <c r="K25" s="31">
        <f>'Heater 3'!O21</f>
        <v>1</v>
      </c>
      <c r="L25" s="17">
        <f>'Cooler 2'!E22</f>
        <v>1</v>
      </c>
      <c r="M25" s="17">
        <f>'Distillation Column 2'!E23</f>
        <v>1</v>
      </c>
      <c r="N25" s="17">
        <f>'Distillation Column 2'!H53</f>
        <v>1</v>
      </c>
      <c r="O25" s="17">
        <f>'Distillation Column 2'!N23</f>
        <v>1</v>
      </c>
      <c r="P25" s="17">
        <f>'Liquid-liquid Extractor '!E35</f>
        <v>1</v>
      </c>
      <c r="Q25" s="17">
        <f>'Liquid-liquid Extractor '!M32</f>
        <v>1</v>
      </c>
      <c r="R25" s="17">
        <f>'Heater 4'!J23</f>
        <v>1</v>
      </c>
      <c r="S25" s="17">
        <f>'Distillation Column 3'!E36</f>
        <v>1</v>
      </c>
      <c r="T25" s="17">
        <f>'Distillation Column 3'!H68</f>
        <v>1</v>
      </c>
      <c r="U25" s="17">
        <f>'Distillation Column 3'!L28</f>
        <v>1</v>
      </c>
      <c r="V25" s="17">
        <f>'Holding Tank'!H56</f>
        <v>1</v>
      </c>
    </row>
    <row r="26" spans="1:22" ht="15.6">
      <c r="A26" s="13" t="s">
        <v>548</v>
      </c>
      <c r="B26" s="23">
        <f>'Heater 1'!AA35</f>
        <v>0</v>
      </c>
      <c r="C26" s="23">
        <f>'Heater 2'!Y37</f>
        <v>0</v>
      </c>
      <c r="D26" s="23">
        <f>Reactor!T98</f>
        <v>5670422.0474850787</v>
      </c>
      <c r="E26" s="23">
        <f>'Holding Tank'!S38</f>
        <v>4881461.4578694999</v>
      </c>
      <c r="F26" s="23">
        <f>Reactor!V98</f>
        <v>6362282.7733717831</v>
      </c>
      <c r="G26" s="23">
        <f>'Cooler 1'!R51</f>
        <v>12522338.039641868</v>
      </c>
      <c r="H26" s="23">
        <f>'Phase Separator'!T56</f>
        <v>-15092870.994543552</v>
      </c>
      <c r="I26" s="23">
        <f>'Heater 3'!Z38</f>
        <v>-138511.69863363699</v>
      </c>
      <c r="J26" s="23">
        <f>'Distillation Column 1 '!U65</f>
        <v>-14954359.295909915</v>
      </c>
      <c r="K26" s="23">
        <f>'Heater 3'!AB38</f>
        <v>-4849643.8491577543</v>
      </c>
      <c r="L26" s="23">
        <f>'Cooler 2'!U42</f>
        <v>2604648.2917141812</v>
      </c>
      <c r="M26" s="23">
        <f>'Distillation Column 2'!Y64</f>
        <v>-785407.12633622356</v>
      </c>
      <c r="N26" s="23">
        <f>'Distillation Column 2'!AA64</f>
        <v>-294328.4782612953</v>
      </c>
      <c r="O26" s="23">
        <f>'Distillation Column 2'!AC64</f>
        <v>197749.89720677325</v>
      </c>
      <c r="P26" s="23">
        <f>'Liquid-liquid Extractor '!T68</f>
        <v>-11767907.896419466</v>
      </c>
      <c r="Q26" s="23">
        <f>'Liquid-liquid Extractor '!V68</f>
        <v>-22289383.776380934</v>
      </c>
      <c r="R26" s="23">
        <f>'Heater 4'!T40</f>
        <v>-1788296.9221818727</v>
      </c>
      <c r="S26" s="23">
        <f>'Distillation Column 3'!W57</f>
        <v>-32268994.750618525</v>
      </c>
      <c r="T26" s="23">
        <f>'Distillation Column 3'!Y57</f>
        <v>-5321475.7101747822</v>
      </c>
      <c r="U26" s="23">
        <f>'Distillation Column 3'!AA57</f>
        <v>-12312097.440022456</v>
      </c>
      <c r="V26" s="23">
        <f>'Holding Tank'!U38</f>
        <v>1480821.3155022827</v>
      </c>
    </row>
    <row r="27" spans="1:22" ht="15.6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</row>
  </sheetData>
  <mergeCells count="42">
    <mergeCell ref="M10:M11"/>
    <mergeCell ref="N10:N11"/>
    <mergeCell ref="O10:O12"/>
    <mergeCell ref="U10:U11"/>
    <mergeCell ref="B11:B15"/>
    <mergeCell ref="C12:C15"/>
    <mergeCell ref="F12:F15"/>
    <mergeCell ref="L14:L15"/>
    <mergeCell ref="P14:P15"/>
    <mergeCell ref="M17:M18"/>
    <mergeCell ref="N17:N18"/>
    <mergeCell ref="O17:O19"/>
    <mergeCell ref="A16:V16"/>
    <mergeCell ref="R19:R22"/>
    <mergeCell ref="P21:P22"/>
    <mergeCell ref="V12:V15"/>
    <mergeCell ref="T13:T15"/>
    <mergeCell ref="U17:U18"/>
    <mergeCell ref="V19:V22"/>
    <mergeCell ref="T20:T22"/>
    <mergeCell ref="A9:V9"/>
    <mergeCell ref="I11:I15"/>
    <mergeCell ref="K11:K15"/>
    <mergeCell ref="I18:I22"/>
    <mergeCell ref="K18:K22"/>
    <mergeCell ref="L21:L22"/>
    <mergeCell ref="D11:D15"/>
    <mergeCell ref="E12:E15"/>
    <mergeCell ref="B18:B22"/>
    <mergeCell ref="D18:D22"/>
    <mergeCell ref="C19:C22"/>
    <mergeCell ref="E19:E22"/>
    <mergeCell ref="F19:F22"/>
    <mergeCell ref="Q10:Q14"/>
    <mergeCell ref="R12:R15"/>
    <mergeCell ref="Q17:Q21"/>
    <mergeCell ref="A1:V1"/>
    <mergeCell ref="I4:J4"/>
    <mergeCell ref="L4:M4"/>
    <mergeCell ref="N4:O4"/>
    <mergeCell ref="R4:S4"/>
    <mergeCell ref="T4:U4"/>
  </mergeCells>
  <printOptions horizontalCentered="1" gridLines="1"/>
  <pageMargins left="0.7" right="0.7" top="0.75" bottom="0.75" header="0" footer="0"/>
  <pageSetup scale="3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7:BR135"/>
  <sheetViews>
    <sheetView tabSelected="1" topLeftCell="C4" zoomScale="20" zoomScaleNormal="20" workbookViewId="0">
      <selection activeCell="BX151" sqref="BX151"/>
    </sheetView>
  </sheetViews>
  <sheetFormatPr defaultColWidth="12.6640625" defaultRowHeight="15.75" customHeight="1"/>
  <cols>
    <col min="6" max="6" width="17.77734375" customWidth="1"/>
    <col min="13" max="13" width="14.5546875" customWidth="1"/>
    <col min="14" max="14" width="15.5546875" customWidth="1"/>
    <col min="18" max="18" width="13.77734375" customWidth="1"/>
    <col min="19" max="19" width="14.109375" customWidth="1"/>
    <col min="20" max="20" width="16.88671875" customWidth="1"/>
    <col min="21" max="21" width="15" bestFit="1" customWidth="1"/>
    <col min="26" max="26" width="13.77734375" customWidth="1"/>
    <col min="27" max="27" width="16.21875" customWidth="1"/>
    <col min="28" max="28" width="13.6640625" customWidth="1"/>
    <col min="29" max="29" width="15.77734375" bestFit="1" customWidth="1"/>
    <col min="33" max="33" width="14.6640625" customWidth="1"/>
    <col min="34" max="34" width="15.44140625" customWidth="1"/>
    <col min="35" max="35" width="13.5546875" bestFit="1" customWidth="1"/>
    <col min="37" max="37" width="13.44140625" customWidth="1"/>
    <col min="38" max="38" width="13.77734375" customWidth="1"/>
    <col min="39" max="39" width="13.5546875" bestFit="1" customWidth="1"/>
    <col min="40" max="40" width="15.77734375" customWidth="1"/>
    <col min="41" max="41" width="14.109375" customWidth="1"/>
    <col min="43" max="43" width="15.77734375" customWidth="1"/>
    <col min="44" max="44" width="15.21875" customWidth="1"/>
    <col min="47" max="47" width="15.33203125" customWidth="1"/>
    <col min="48" max="48" width="15.77734375" bestFit="1" customWidth="1"/>
    <col min="50" max="50" width="13.6640625" customWidth="1"/>
    <col min="53" max="53" width="16" customWidth="1"/>
    <col min="54" max="54" width="18.33203125" customWidth="1"/>
    <col min="55" max="55" width="15.77734375" bestFit="1" customWidth="1"/>
    <col min="59" max="59" width="13.88671875" customWidth="1"/>
    <col min="61" max="61" width="18.109375" customWidth="1"/>
    <col min="62" max="62" width="15.77734375" bestFit="1" customWidth="1"/>
    <col min="65" max="65" width="14" customWidth="1"/>
    <col min="69" max="69" width="19.33203125" customWidth="1"/>
    <col min="70" max="70" width="15.77734375" bestFit="1" customWidth="1"/>
  </cols>
  <sheetData>
    <row r="7" spans="33:44" ht="15.75" customHeight="1">
      <c r="AJ7" s="32" t="s">
        <v>77</v>
      </c>
      <c r="AQ7" s="32" t="s">
        <v>78</v>
      </c>
    </row>
    <row r="10" spans="33:44" ht="15.75" customHeight="1">
      <c r="AG10" s="412" t="s">
        <v>79</v>
      </c>
      <c r="AH10" s="413"/>
      <c r="AI10" s="33">
        <f>'Heater 3'!E2</f>
        <v>4393.2102446846047</v>
      </c>
    </row>
    <row r="11" spans="33:44" ht="15.75" customHeight="1">
      <c r="AG11" s="412" t="s">
        <v>80</v>
      </c>
      <c r="AH11" s="413"/>
      <c r="AI11" s="33">
        <f>'Heater 3'!E3</f>
        <v>257.95374579793349</v>
      </c>
      <c r="AP11" s="401" t="s">
        <v>79</v>
      </c>
      <c r="AQ11" s="402"/>
      <c r="AR11" s="33">
        <f>'Heater 3'!O2</f>
        <v>4393.2102446846047</v>
      </c>
    </row>
    <row r="12" spans="33:44" ht="15.75" customHeight="1">
      <c r="AG12" s="401" t="s">
        <v>66</v>
      </c>
      <c r="AH12" s="403"/>
      <c r="AI12" s="402"/>
      <c r="AP12" s="401" t="s">
        <v>80</v>
      </c>
      <c r="AQ12" s="402"/>
      <c r="AR12" s="33">
        <f>'Heater 3'!O3</f>
        <v>257.95374579793349</v>
      </c>
    </row>
    <row r="13" spans="33:44" ht="15.75" customHeight="1">
      <c r="AG13" s="34" t="s">
        <v>67</v>
      </c>
      <c r="AH13" s="35"/>
      <c r="AI13" s="36">
        <f>'Heater 3'!E5</f>
        <v>257.95374579793349</v>
      </c>
      <c r="AP13" s="401" t="s">
        <v>66</v>
      </c>
      <c r="AQ13" s="403"/>
      <c r="AR13" s="402"/>
    </row>
    <row r="14" spans="33:44" ht="15.75" customHeight="1">
      <c r="AG14" s="34" t="s">
        <v>68</v>
      </c>
      <c r="AH14" s="37"/>
      <c r="AI14" s="35"/>
      <c r="AP14" s="34" t="s">
        <v>67</v>
      </c>
      <c r="AQ14" s="35"/>
      <c r="AR14" s="36">
        <f>'Heater 3'!O5</f>
        <v>257.95374579793349</v>
      </c>
    </row>
    <row r="15" spans="33:44" ht="15.75" customHeight="1">
      <c r="AG15" s="34" t="s">
        <v>69</v>
      </c>
      <c r="AH15" s="35"/>
      <c r="AI15" s="35"/>
      <c r="AP15" s="34" t="s">
        <v>68</v>
      </c>
      <c r="AQ15" s="37"/>
      <c r="AR15" s="35"/>
    </row>
    <row r="16" spans="33:44" ht="15.75" customHeight="1">
      <c r="AG16" s="34" t="s">
        <v>70</v>
      </c>
      <c r="AH16" s="35"/>
      <c r="AI16" s="35"/>
      <c r="AP16" s="34" t="s">
        <v>69</v>
      </c>
      <c r="AQ16" s="35"/>
      <c r="AR16" s="35"/>
    </row>
    <row r="17" spans="5:70" ht="15.75" customHeight="1">
      <c r="G17" s="32" t="s">
        <v>81</v>
      </c>
      <c r="N17" s="32" t="s">
        <v>82</v>
      </c>
      <c r="U17" s="32" t="s">
        <v>83</v>
      </c>
      <c r="AB17" s="32" t="s">
        <v>84</v>
      </c>
      <c r="AG17" s="34" t="s">
        <v>71</v>
      </c>
      <c r="AH17" s="35"/>
      <c r="AI17" s="35"/>
      <c r="AP17" s="34" t="s">
        <v>70</v>
      </c>
      <c r="AQ17" s="35"/>
      <c r="AR17" s="35"/>
      <c r="BA17" s="32" t="s">
        <v>86</v>
      </c>
    </row>
    <row r="18" spans="5:70" ht="15.75" customHeight="1">
      <c r="AG18" s="34" t="s">
        <v>72</v>
      </c>
      <c r="AH18" s="35"/>
      <c r="AI18" s="35"/>
      <c r="AP18" s="34" t="s">
        <v>71</v>
      </c>
      <c r="AQ18" s="35"/>
      <c r="AR18" s="35"/>
      <c r="BA18" s="401" t="s">
        <v>79</v>
      </c>
      <c r="BB18" s="402"/>
      <c r="BC18" s="20">
        <f>'Liquid-liquid Extractor '!M13</f>
        <v>19423.573657660298</v>
      </c>
    </row>
    <row r="19" spans="5:70" ht="15.75" customHeight="1">
      <c r="AG19" s="408" t="s">
        <v>85</v>
      </c>
      <c r="AH19" s="409"/>
      <c r="AI19" s="410"/>
      <c r="AP19" s="34" t="s">
        <v>72</v>
      </c>
      <c r="AQ19" s="35"/>
      <c r="AR19" s="35"/>
      <c r="BA19" s="401" t="s">
        <v>80</v>
      </c>
      <c r="BB19" s="402"/>
      <c r="BC19" s="33">
        <f>'Liquid-liquid Extractor '!M14</f>
        <v>312.93013787111806</v>
      </c>
    </row>
    <row r="20" spans="5:70" ht="15.75" customHeight="1">
      <c r="AG20" s="34" t="s">
        <v>67</v>
      </c>
      <c r="AH20" s="35"/>
      <c r="AI20" s="130">
        <f>'Heater 3'!E12</f>
        <v>1</v>
      </c>
      <c r="AP20" s="408" t="s">
        <v>85</v>
      </c>
      <c r="AQ20" s="409"/>
      <c r="AR20" s="410"/>
      <c r="BA20" s="401" t="s">
        <v>66</v>
      </c>
      <c r="BB20" s="403"/>
      <c r="BC20" s="402"/>
    </row>
    <row r="21" spans="5:70" ht="15.75" customHeight="1">
      <c r="E21" s="412" t="s">
        <v>79</v>
      </c>
      <c r="F21" s="413"/>
      <c r="G21" s="33">
        <f>'Heater 1'!J3</f>
        <v>7322.0170744743427</v>
      </c>
      <c r="L21" s="412" t="s">
        <v>79</v>
      </c>
      <c r="M21" s="413"/>
      <c r="N21" s="33">
        <f>Reactor!D11</f>
        <v>7322.0170744743427</v>
      </c>
      <c r="S21" s="412" t="s">
        <v>79</v>
      </c>
      <c r="T21" s="413"/>
      <c r="U21" s="33">
        <f>'Cooler 1'!E4</f>
        <v>19948.089818118537</v>
      </c>
      <c r="AA21" s="412" t="s">
        <v>79</v>
      </c>
      <c r="AB21" s="413"/>
      <c r="AC21" s="33">
        <f>'Phase Separator'!E19</f>
        <v>19948.089818118537</v>
      </c>
      <c r="AG21" s="34" t="s">
        <v>68</v>
      </c>
      <c r="AH21" s="35"/>
      <c r="AI21" s="35"/>
      <c r="AP21" s="34" t="s">
        <v>67</v>
      </c>
      <c r="AQ21" s="35"/>
      <c r="AR21" s="130">
        <f>'Heater 3'!O12</f>
        <v>1</v>
      </c>
      <c r="BA21" s="34" t="s">
        <v>67</v>
      </c>
      <c r="BB21" s="35"/>
      <c r="BC21" s="35"/>
    </row>
    <row r="22" spans="5:70" ht="15.75" customHeight="1">
      <c r="E22" s="412" t="s">
        <v>80</v>
      </c>
      <c r="F22" s="413"/>
      <c r="G22" s="33">
        <f>'Heater 1'!J4</f>
        <v>429.92290966322253</v>
      </c>
      <c r="L22" s="412" t="s">
        <v>80</v>
      </c>
      <c r="M22" s="413"/>
      <c r="N22" s="33">
        <f>Reactor!D12</f>
        <v>429.92290966322253</v>
      </c>
      <c r="S22" s="412" t="s">
        <v>80</v>
      </c>
      <c r="T22" s="413"/>
      <c r="U22" s="33">
        <f>'Cooler 1'!E5</f>
        <v>497.9940370265661</v>
      </c>
      <c r="AA22" s="412" t="s">
        <v>80</v>
      </c>
      <c r="AB22" s="413"/>
      <c r="AC22" s="33">
        <f>'Phase Separator'!E20</f>
        <v>497.9940370265661</v>
      </c>
      <c r="AG22" s="34" t="s">
        <v>69</v>
      </c>
      <c r="AH22" s="35"/>
      <c r="AI22" s="35"/>
      <c r="AP22" s="34" t="s">
        <v>68</v>
      </c>
      <c r="AQ22" s="35"/>
      <c r="AR22" s="35"/>
      <c r="BA22" s="34" t="s">
        <v>68</v>
      </c>
      <c r="BB22" s="43"/>
      <c r="BC22" s="35"/>
      <c r="BQ22" s="38" t="s">
        <v>87</v>
      </c>
    </row>
    <row r="23" spans="5:70" ht="15.75" customHeight="1">
      <c r="E23" s="401" t="s">
        <v>66</v>
      </c>
      <c r="F23" s="403"/>
      <c r="G23" s="402"/>
      <c r="L23" s="401" t="s">
        <v>66</v>
      </c>
      <c r="M23" s="403"/>
      <c r="N23" s="402"/>
      <c r="S23" s="401" t="s">
        <v>66</v>
      </c>
      <c r="T23" s="403"/>
      <c r="U23" s="402"/>
      <c r="AA23" s="401" t="s">
        <v>66</v>
      </c>
      <c r="AB23" s="403"/>
      <c r="AC23" s="402"/>
      <c r="AG23" s="34" t="s">
        <v>70</v>
      </c>
      <c r="AH23" s="35"/>
      <c r="AI23" s="35"/>
      <c r="AP23" s="34" t="s">
        <v>69</v>
      </c>
      <c r="AQ23" s="35"/>
      <c r="AR23" s="35"/>
      <c r="BA23" s="34" t="s">
        <v>69</v>
      </c>
      <c r="BB23" s="35"/>
      <c r="BC23" s="35"/>
    </row>
    <row r="24" spans="5:70" ht="15.75" customHeight="1">
      <c r="E24" s="34" t="s">
        <v>67</v>
      </c>
      <c r="F24" s="40" t="s">
        <v>88</v>
      </c>
      <c r="G24" s="36">
        <f>'Heater 1'!J6</f>
        <v>429.92290966322253</v>
      </c>
      <c r="L24" s="34" t="s">
        <v>67</v>
      </c>
      <c r="M24" s="40" t="s">
        <v>88</v>
      </c>
      <c r="N24" s="36">
        <f>Reactor!D14</f>
        <v>429.92290966322253</v>
      </c>
      <c r="S24" s="34" t="s">
        <v>67</v>
      </c>
      <c r="T24" s="40" t="s">
        <v>89</v>
      </c>
      <c r="U24" s="41">
        <f>'Cooler 1'!E7</f>
        <v>257.95374579793349</v>
      </c>
      <c r="AA24" s="34" t="s">
        <v>67</v>
      </c>
      <c r="AB24" s="40" t="s">
        <v>89</v>
      </c>
      <c r="AC24" s="41">
        <f>'Phase Separator'!E22</f>
        <v>257.95374579793349</v>
      </c>
      <c r="AG24" s="34" t="s">
        <v>71</v>
      </c>
      <c r="AH24" s="35"/>
      <c r="AI24" s="35"/>
      <c r="AP24" s="34" t="s">
        <v>70</v>
      </c>
      <c r="AQ24" s="35"/>
      <c r="AR24" s="35"/>
      <c r="BA24" s="34" t="s">
        <v>70</v>
      </c>
      <c r="BB24" s="35"/>
      <c r="BC24" s="35"/>
    </row>
    <row r="25" spans="5:70" ht="15.75" customHeight="1">
      <c r="E25" s="34" t="s">
        <v>68</v>
      </c>
      <c r="F25" s="42"/>
      <c r="G25" s="35"/>
      <c r="L25" s="34" t="s">
        <v>68</v>
      </c>
      <c r="M25" s="42"/>
      <c r="N25" s="35"/>
      <c r="S25" s="34" t="s">
        <v>68</v>
      </c>
      <c r="T25" s="40" t="s">
        <v>90</v>
      </c>
      <c r="U25" s="41">
        <f>'Cooler 1'!E8</f>
        <v>68.071127363343578</v>
      </c>
      <c r="AA25" s="34" t="s">
        <v>68</v>
      </c>
      <c r="AB25" s="40" t="s">
        <v>90</v>
      </c>
      <c r="AC25" s="41">
        <f>'Phase Separator'!E23</f>
        <v>68.071127363343578</v>
      </c>
      <c r="AG25" s="34" t="s">
        <v>72</v>
      </c>
      <c r="AH25" s="35"/>
      <c r="AI25" s="35"/>
      <c r="AP25" s="34" t="s">
        <v>71</v>
      </c>
      <c r="AQ25" s="35"/>
      <c r="AR25" s="35"/>
      <c r="BA25" s="34" t="s">
        <v>71</v>
      </c>
      <c r="BB25" s="35"/>
      <c r="BC25" s="43"/>
      <c r="BP25" s="407" t="s">
        <v>79</v>
      </c>
      <c r="BQ25" s="389"/>
      <c r="BR25" s="20">
        <f>'Distillation Column 3'!L9</f>
        <v>19520.659622981686</v>
      </c>
    </row>
    <row r="26" spans="5:70" ht="15.75" customHeight="1">
      <c r="E26" s="34" t="s">
        <v>69</v>
      </c>
      <c r="F26" s="35"/>
      <c r="G26" s="35"/>
      <c r="L26" s="34" t="s">
        <v>69</v>
      </c>
      <c r="M26" s="35"/>
      <c r="N26" s="35"/>
      <c r="S26" s="34" t="s">
        <v>69</v>
      </c>
      <c r="T26" s="40" t="s">
        <v>91</v>
      </c>
      <c r="U26" s="41">
        <f>'Cooler 1'!E9</f>
        <v>143.30763655440751</v>
      </c>
      <c r="AA26" s="34" t="s">
        <v>69</v>
      </c>
      <c r="AB26" s="40" t="s">
        <v>91</v>
      </c>
      <c r="AC26" s="41">
        <f>'Phase Separator'!E24</f>
        <v>143.30763655440751</v>
      </c>
      <c r="AG26" s="400" t="s">
        <v>99</v>
      </c>
      <c r="AH26" s="400"/>
      <c r="AI26" s="162">
        <f>'Heater 3'!E18</f>
        <v>1</v>
      </c>
      <c r="AP26" s="34" t="s">
        <v>72</v>
      </c>
      <c r="AQ26" s="35"/>
      <c r="AR26" s="35"/>
      <c r="BA26" s="34" t="s">
        <v>72</v>
      </c>
      <c r="BB26" s="40" t="s">
        <v>95</v>
      </c>
      <c r="BC26" s="39">
        <f>'Liquid-liquid Extractor '!M21</f>
        <v>312.93013787111806</v>
      </c>
      <c r="BP26" s="407" t="s">
        <v>80</v>
      </c>
      <c r="BQ26" s="389"/>
      <c r="BR26" s="33">
        <f>'Distillation Column 3'!L10</f>
        <v>314.44203343676708</v>
      </c>
    </row>
    <row r="27" spans="5:70" ht="15.6">
      <c r="E27" s="34" t="s">
        <v>70</v>
      </c>
      <c r="F27" s="35"/>
      <c r="G27" s="35"/>
      <c r="L27" s="34" t="s">
        <v>70</v>
      </c>
      <c r="M27" s="35"/>
      <c r="N27" s="35"/>
      <c r="S27" s="34" t="s">
        <v>70</v>
      </c>
      <c r="T27" s="40" t="s">
        <v>93</v>
      </c>
      <c r="U27" s="41">
        <f>'Cooler 1'!E10</f>
        <v>10.748072741580565</v>
      </c>
      <c r="AA27" s="34" t="s">
        <v>70</v>
      </c>
      <c r="AB27" s="40" t="s">
        <v>93</v>
      </c>
      <c r="AC27" s="41">
        <f>'Phase Separator'!E25</f>
        <v>10.748072741580565</v>
      </c>
      <c r="AG27" s="397" t="s">
        <v>92</v>
      </c>
      <c r="AH27" s="398"/>
      <c r="AI27" s="162">
        <f>'Heater 3'!E19</f>
        <v>1</v>
      </c>
      <c r="AP27" s="400" t="s">
        <v>99</v>
      </c>
      <c r="AQ27" s="400"/>
      <c r="AR27" s="162">
        <f>'Heater 3'!O18</f>
        <v>0</v>
      </c>
      <c r="BA27" s="408" t="s">
        <v>85</v>
      </c>
      <c r="BB27" s="409"/>
      <c r="BC27" s="410"/>
      <c r="BP27" s="401" t="s">
        <v>66</v>
      </c>
      <c r="BQ27" s="391"/>
      <c r="BR27" s="389"/>
    </row>
    <row r="28" spans="5:70" ht="15.6">
      <c r="E28" s="34" t="s">
        <v>71</v>
      </c>
      <c r="F28" s="35"/>
      <c r="G28" s="35"/>
      <c r="L28" s="34" t="s">
        <v>71</v>
      </c>
      <c r="M28" s="35"/>
      <c r="N28" s="35"/>
      <c r="S28" s="34" t="s">
        <v>71</v>
      </c>
      <c r="T28" s="40" t="s">
        <v>94</v>
      </c>
      <c r="U28" s="41">
        <f>'Cooler 1'!E11</f>
        <v>17.913454569300939</v>
      </c>
      <c r="AA28" s="34" t="s">
        <v>71</v>
      </c>
      <c r="AB28" s="40" t="s">
        <v>94</v>
      </c>
      <c r="AC28" s="41">
        <f>'Phase Separator'!E26</f>
        <v>17.913454569300939</v>
      </c>
      <c r="AG28" s="396" t="s">
        <v>75</v>
      </c>
      <c r="AH28" s="399"/>
      <c r="AI28" s="162">
        <f>'Heater 3'!E20</f>
        <v>10</v>
      </c>
      <c r="AP28" s="414" t="s">
        <v>92</v>
      </c>
      <c r="AQ28" s="415"/>
      <c r="AR28" s="162">
        <f>'Heater 3'!O19</f>
        <v>1</v>
      </c>
      <c r="BA28" s="34" t="s">
        <v>67</v>
      </c>
      <c r="BB28" s="35"/>
      <c r="BC28" s="46"/>
      <c r="BP28" s="34" t="s">
        <v>67</v>
      </c>
      <c r="BQ28" s="35"/>
      <c r="BR28" s="35"/>
    </row>
    <row r="29" spans="5:70" ht="15.6">
      <c r="E29" s="34" t="s">
        <v>72</v>
      </c>
      <c r="F29" s="35"/>
      <c r="G29" s="35"/>
      <c r="L29" s="34" t="s">
        <v>72</v>
      </c>
      <c r="M29" s="35"/>
      <c r="N29" s="35"/>
      <c r="S29" s="34" t="s">
        <v>72</v>
      </c>
      <c r="T29" s="35"/>
      <c r="U29" s="35"/>
      <c r="AA29" s="34" t="s">
        <v>72</v>
      </c>
      <c r="AB29" s="35"/>
      <c r="AC29" s="35"/>
      <c r="AG29" s="396" t="s">
        <v>76</v>
      </c>
      <c r="AH29" s="399"/>
      <c r="AI29" s="162">
        <f>'Heater 3'!E21</f>
        <v>1</v>
      </c>
      <c r="AP29" s="396" t="s">
        <v>75</v>
      </c>
      <c r="AQ29" s="399"/>
      <c r="AR29" s="162">
        <f>'Heater 3'!O20</f>
        <v>50</v>
      </c>
      <c r="BA29" s="34" t="s">
        <v>68</v>
      </c>
      <c r="BB29" s="35"/>
      <c r="BC29" s="35"/>
      <c r="BP29" s="34" t="s">
        <v>68</v>
      </c>
      <c r="BQ29" s="35"/>
      <c r="BR29" s="35"/>
    </row>
    <row r="30" spans="5:70" ht="15.6">
      <c r="E30" s="408" t="s">
        <v>85</v>
      </c>
      <c r="F30" s="409"/>
      <c r="G30" s="410"/>
      <c r="L30" s="408" t="s">
        <v>85</v>
      </c>
      <c r="M30" s="409"/>
      <c r="N30" s="410"/>
      <c r="S30" s="408" t="s">
        <v>85</v>
      </c>
      <c r="T30" s="409"/>
      <c r="U30" s="410"/>
      <c r="AA30" s="408" t="s">
        <v>85</v>
      </c>
      <c r="AB30" s="409"/>
      <c r="AC30" s="410"/>
      <c r="AG30" s="400" t="s">
        <v>548</v>
      </c>
      <c r="AH30" s="400"/>
      <c r="AI30" s="216">
        <f>'Heater 3'!E22</f>
        <v>-138511.69863363699</v>
      </c>
      <c r="AP30" s="396" t="s">
        <v>76</v>
      </c>
      <c r="AQ30" s="399"/>
      <c r="AR30" s="162">
        <f>'Heater 3'!O21</f>
        <v>1</v>
      </c>
      <c r="BA30" s="34" t="s">
        <v>69</v>
      </c>
      <c r="BB30" s="35"/>
      <c r="BC30" s="35"/>
      <c r="BO30" s="5"/>
      <c r="BP30" s="34" t="s">
        <v>69</v>
      </c>
      <c r="BQ30" s="40" t="s">
        <v>96</v>
      </c>
      <c r="BR30" s="41">
        <f>'Distillation Column 3'!L14</f>
        <v>1.4044148382332082</v>
      </c>
    </row>
    <row r="31" spans="5:70" ht="15.6">
      <c r="E31" s="34" t="s">
        <v>67</v>
      </c>
      <c r="F31" s="35"/>
      <c r="G31" s="146">
        <f>'Heater 1'!$J$13</f>
        <v>1</v>
      </c>
      <c r="L31" s="34" t="s">
        <v>67</v>
      </c>
      <c r="M31" s="35"/>
      <c r="N31" s="33">
        <f>Reactor!D21</f>
        <v>1</v>
      </c>
      <c r="S31" s="34" t="s">
        <v>67</v>
      </c>
      <c r="T31" s="35"/>
      <c r="U31" s="41">
        <f>'Cooler 1'!E14</f>
        <v>0.51798561151079126</v>
      </c>
      <c r="AA31" s="34" t="s">
        <v>67</v>
      </c>
      <c r="AB31" s="35"/>
      <c r="AC31" s="41">
        <f>'Phase Separator'!E29</f>
        <v>0.51798561151079126</v>
      </c>
      <c r="AP31" s="400" t="s">
        <v>548</v>
      </c>
      <c r="AQ31" s="400"/>
      <c r="AR31" s="216">
        <f>'Heater 3'!O22</f>
        <v>-4849643.8491577543</v>
      </c>
      <c r="BA31" s="34" t="s">
        <v>70</v>
      </c>
      <c r="BB31" s="35"/>
      <c r="BC31" s="35"/>
      <c r="BJ31" s="159" t="s">
        <v>541</v>
      </c>
      <c r="BO31" s="5"/>
      <c r="BP31" s="34" t="s">
        <v>70</v>
      </c>
      <c r="BQ31" s="40" t="s">
        <v>97</v>
      </c>
      <c r="BR31" s="41">
        <f>'Distillation Column 3'!L15</f>
        <v>0.10748072741580565</v>
      </c>
    </row>
    <row r="32" spans="5:70" ht="15.6">
      <c r="E32" s="34" t="s">
        <v>68</v>
      </c>
      <c r="F32" s="35"/>
      <c r="G32" s="35"/>
      <c r="L32" s="34" t="s">
        <v>68</v>
      </c>
      <c r="M32" s="35"/>
      <c r="N32" s="35"/>
      <c r="S32" s="34" t="s">
        <v>68</v>
      </c>
      <c r="T32" s="35"/>
      <c r="U32" s="41">
        <f>'Cooler 1'!E15</f>
        <v>0.1366906474820144</v>
      </c>
      <c r="AA32" s="34" t="s">
        <v>68</v>
      </c>
      <c r="AB32" s="35"/>
      <c r="AC32" s="41">
        <f>'Phase Separator'!E30</f>
        <v>0.1366906474820144</v>
      </c>
      <c r="BA32" s="34" t="s">
        <v>71</v>
      </c>
      <c r="BB32" s="35"/>
      <c r="BC32" s="35"/>
      <c r="BO32" s="5"/>
      <c r="BP32" s="34" t="s">
        <v>71</v>
      </c>
      <c r="BQ32" s="35"/>
      <c r="BR32" s="35"/>
    </row>
    <row r="33" spans="5:70" ht="15.6">
      <c r="E33" s="34" t="s">
        <v>69</v>
      </c>
      <c r="F33" s="35"/>
      <c r="G33" s="35"/>
      <c r="L33" s="34" t="s">
        <v>69</v>
      </c>
      <c r="M33" s="35"/>
      <c r="N33" s="35"/>
      <c r="S33" s="34" t="s">
        <v>69</v>
      </c>
      <c r="T33" s="35"/>
      <c r="U33" s="41">
        <f>'Cooler 1'!E16</f>
        <v>0.28776978417266186</v>
      </c>
      <c r="AA33" s="34" t="s">
        <v>69</v>
      </c>
      <c r="AB33" s="35"/>
      <c r="AC33" s="41">
        <f>'Phase Separator'!E31</f>
        <v>0.28776978417266186</v>
      </c>
      <c r="BA33" s="34" t="s">
        <v>72</v>
      </c>
      <c r="BB33" s="35"/>
      <c r="BC33" s="36">
        <f>'Liquid-liquid Extractor '!M28</f>
        <v>1</v>
      </c>
      <c r="BO33" s="5"/>
      <c r="BP33" s="34" t="s">
        <v>72</v>
      </c>
      <c r="BQ33" s="40" t="s">
        <v>98</v>
      </c>
      <c r="BR33" s="36">
        <f>'Distillation Column 3'!L17</f>
        <v>312.93013787111806</v>
      </c>
    </row>
    <row r="34" spans="5:70" ht="15.6">
      <c r="E34" s="34" t="s">
        <v>70</v>
      </c>
      <c r="F34" s="35"/>
      <c r="G34" s="35"/>
      <c r="L34" s="34" t="s">
        <v>70</v>
      </c>
      <c r="M34" s="35"/>
      <c r="N34" s="35"/>
      <c r="S34" s="34" t="s">
        <v>70</v>
      </c>
      <c r="T34" s="35"/>
      <c r="U34" s="41">
        <f>'Cooler 1'!E17</f>
        <v>2.1582733812949641E-2</v>
      </c>
      <c r="AA34" s="34" t="s">
        <v>70</v>
      </c>
      <c r="AB34" s="35"/>
      <c r="AC34" s="41">
        <f>'Phase Separator'!E32</f>
        <v>2.1582733812949641E-2</v>
      </c>
      <c r="BA34" s="406" t="s">
        <v>99</v>
      </c>
      <c r="BB34" s="411"/>
      <c r="BC34" s="50">
        <f>'Liquid-liquid Extractor '!M29</f>
        <v>0</v>
      </c>
      <c r="BO34" s="5"/>
      <c r="BP34" s="404" t="s">
        <v>85</v>
      </c>
      <c r="BQ34" s="405"/>
      <c r="BR34" s="398"/>
    </row>
    <row r="35" spans="5:70" ht="15.6">
      <c r="E35" s="34" t="s">
        <v>71</v>
      </c>
      <c r="F35" s="35"/>
      <c r="G35" s="35"/>
      <c r="L35" s="34" t="s">
        <v>71</v>
      </c>
      <c r="M35" s="35"/>
      <c r="N35" s="35"/>
      <c r="S35" s="34" t="s">
        <v>71</v>
      </c>
      <c r="T35" s="35"/>
      <c r="U35" s="41">
        <f>'Cooler 1'!E18</f>
        <v>3.5971223021582732E-2</v>
      </c>
      <c r="AA35" s="34" t="s">
        <v>71</v>
      </c>
      <c r="AB35" s="35"/>
      <c r="AC35" s="41">
        <f>'Phase Separator'!E33</f>
        <v>3.5971223021582732E-2</v>
      </c>
      <c r="BA35" s="396" t="s">
        <v>92</v>
      </c>
      <c r="BB35" s="399"/>
      <c r="BC35" s="50">
        <f>'Liquid-liquid Extractor '!M30</f>
        <v>1</v>
      </c>
      <c r="BO35" s="5"/>
      <c r="BP35" s="34" t="s">
        <v>67</v>
      </c>
      <c r="BQ35" s="35"/>
      <c r="BR35" s="46"/>
    </row>
    <row r="36" spans="5:70" ht="15.6">
      <c r="E36" s="160" t="s">
        <v>72</v>
      </c>
      <c r="F36" s="161"/>
      <c r="G36" s="161"/>
      <c r="L36" s="34" t="s">
        <v>72</v>
      </c>
      <c r="M36" s="35"/>
      <c r="N36" s="35"/>
      <c r="S36" s="34" t="s">
        <v>72</v>
      </c>
      <c r="T36" s="35"/>
      <c r="U36" s="35"/>
      <c r="AA36" s="34" t="s">
        <v>72</v>
      </c>
      <c r="AB36" s="35"/>
      <c r="AC36" s="35"/>
      <c r="BA36" s="396" t="s">
        <v>75</v>
      </c>
      <c r="BB36" s="399"/>
      <c r="BC36" s="50">
        <f>'Liquid-liquid Extractor '!M31</f>
        <v>6</v>
      </c>
      <c r="BO36" s="5"/>
      <c r="BP36" s="34" t="s">
        <v>68</v>
      </c>
      <c r="BQ36" s="35"/>
      <c r="BR36" s="46"/>
    </row>
    <row r="37" spans="5:70" ht="15.6">
      <c r="E37" s="400" t="s">
        <v>99</v>
      </c>
      <c r="F37" s="400"/>
      <c r="G37" s="162">
        <f>'Heater 1'!$J$19</f>
        <v>1</v>
      </c>
      <c r="L37" s="400" t="s">
        <v>99</v>
      </c>
      <c r="M37" s="400"/>
      <c r="N37" s="162">
        <f>Reactor!D27</f>
        <v>1</v>
      </c>
      <c r="S37" s="400" t="s">
        <v>99</v>
      </c>
      <c r="T37" s="400"/>
      <c r="U37" s="162">
        <f>'Cooler 1'!E20</f>
        <v>1</v>
      </c>
      <c r="AA37" s="400" t="s">
        <v>99</v>
      </c>
      <c r="AB37" s="400"/>
      <c r="AC37" s="166">
        <f>'Phase Separator'!E35</f>
        <v>0.51798561151079126</v>
      </c>
      <c r="BA37" s="396" t="s">
        <v>76</v>
      </c>
      <c r="BB37" s="389"/>
      <c r="BC37" s="50">
        <f>'Liquid-liquid Extractor '!M32</f>
        <v>1</v>
      </c>
      <c r="BO37" s="5"/>
      <c r="BP37" s="34" t="s">
        <v>69</v>
      </c>
      <c r="BQ37" s="35"/>
      <c r="BR37" s="41">
        <f>'Distillation Column 3'!L21</f>
        <v>4.4663711873483671E-3</v>
      </c>
    </row>
    <row r="38" spans="5:70" ht="15.6">
      <c r="E38" s="397" t="s">
        <v>92</v>
      </c>
      <c r="F38" s="398"/>
      <c r="G38" s="48">
        <f>'Heater 1'!$J$20</f>
        <v>1</v>
      </c>
      <c r="L38" s="397" t="s">
        <v>92</v>
      </c>
      <c r="M38" s="398"/>
      <c r="N38" s="162">
        <f>Reactor!D28</f>
        <v>1</v>
      </c>
      <c r="S38" s="396" t="s">
        <v>92</v>
      </c>
      <c r="T38" s="389"/>
      <c r="U38" s="162">
        <f>'Cooler 1'!E21</f>
        <v>0.99999999999999989</v>
      </c>
      <c r="AA38" s="396" t="s">
        <v>92</v>
      </c>
      <c r="AB38" s="399"/>
      <c r="AC38" s="162">
        <f>'Phase Separator'!E36</f>
        <v>0.99999999999999989</v>
      </c>
      <c r="BA38" s="400" t="s">
        <v>548</v>
      </c>
      <c r="BB38" s="400"/>
      <c r="BC38" s="216">
        <f>'Liquid-liquid Extractor '!M33</f>
        <v>-22289383.776380934</v>
      </c>
      <c r="BO38" s="5"/>
      <c r="BP38" s="34" t="s">
        <v>70</v>
      </c>
      <c r="BQ38" s="35"/>
      <c r="BR38" s="41">
        <f>'Distillation Column 3'!L22</f>
        <v>3.4181412148073884E-4</v>
      </c>
    </row>
    <row r="39" spans="5:70" ht="15.6">
      <c r="E39" s="396" t="s">
        <v>75</v>
      </c>
      <c r="F39" s="399"/>
      <c r="G39" s="40">
        <f>'Heater 1'!$J$21</f>
        <v>25</v>
      </c>
      <c r="L39" s="396" t="s">
        <v>75</v>
      </c>
      <c r="M39" s="399"/>
      <c r="N39" s="162">
        <f>Reactor!D29</f>
        <v>350</v>
      </c>
      <c r="S39" s="396" t="s">
        <v>75</v>
      </c>
      <c r="T39" s="399"/>
      <c r="U39" s="162">
        <f>'Cooler 1'!E22</f>
        <v>350</v>
      </c>
      <c r="AA39" s="396" t="s">
        <v>75</v>
      </c>
      <c r="AB39" s="399"/>
      <c r="AC39" s="162">
        <f>'Phase Separator'!E37</f>
        <v>10</v>
      </c>
      <c r="AU39" s="47"/>
      <c r="BO39" s="5"/>
      <c r="BP39" s="34" t="s">
        <v>71</v>
      </c>
      <c r="BQ39" s="35"/>
      <c r="BR39" s="35"/>
    </row>
    <row r="40" spans="5:70" ht="15.6">
      <c r="E40" s="396" t="s">
        <v>76</v>
      </c>
      <c r="F40" s="399"/>
      <c r="G40" s="45">
        <f>'Heater 1'!$J$22</f>
        <v>1</v>
      </c>
      <c r="L40" s="396" t="s">
        <v>76</v>
      </c>
      <c r="M40" s="399"/>
      <c r="N40" s="162">
        <f>Reactor!D30</f>
        <v>1</v>
      </c>
      <c r="S40" s="396" t="s">
        <v>76</v>
      </c>
      <c r="T40" s="399"/>
      <c r="U40" s="162">
        <f>'Cooler 1'!E23</f>
        <v>1</v>
      </c>
      <c r="AA40" s="396" t="s">
        <v>76</v>
      </c>
      <c r="AB40" s="399"/>
      <c r="AC40" s="162">
        <f>'Phase Separator'!E38</f>
        <v>1</v>
      </c>
      <c r="BO40" s="5"/>
      <c r="BP40" s="34" t="s">
        <v>72</v>
      </c>
      <c r="BQ40" s="35"/>
      <c r="BR40" s="36">
        <f>'Distillation Column 3'!L24</f>
        <v>0.99519181469117091</v>
      </c>
    </row>
    <row r="41" spans="5:70" ht="15.6">
      <c r="E41" s="400" t="s">
        <v>548</v>
      </c>
      <c r="F41" s="400"/>
      <c r="G41" s="216">
        <f>'Heater 1'!J23</f>
        <v>0</v>
      </c>
      <c r="L41" s="400" t="s">
        <v>548</v>
      </c>
      <c r="M41" s="400"/>
      <c r="N41" s="216">
        <f>Reactor!D31</f>
        <v>5670422.0474850787</v>
      </c>
      <c r="S41" s="400" t="s">
        <v>548</v>
      </c>
      <c r="T41" s="400"/>
      <c r="U41" s="216">
        <f>'Cooler 1'!E24</f>
        <v>12522338.039641868</v>
      </c>
      <c r="AA41" s="400" t="s">
        <v>548</v>
      </c>
      <c r="AB41" s="400"/>
      <c r="AC41" s="216">
        <f>'Phase Separator'!E39</f>
        <v>-15092870.994543552</v>
      </c>
      <c r="AO41" s="32" t="s">
        <v>102</v>
      </c>
      <c r="AU41" s="32" t="s">
        <v>103</v>
      </c>
      <c r="BI41" s="32" t="s">
        <v>104</v>
      </c>
      <c r="BO41" s="5"/>
      <c r="BP41" s="406" t="s">
        <v>99</v>
      </c>
      <c r="BQ41" s="389"/>
      <c r="BR41" s="50">
        <f>'Distillation Column 3'!$L$25</f>
        <v>0</v>
      </c>
    </row>
    <row r="42" spans="5:70" ht="15.6">
      <c r="BO42" s="5"/>
      <c r="BP42" s="397" t="s">
        <v>92</v>
      </c>
      <c r="BQ42" s="398"/>
      <c r="BR42" s="40">
        <f>'Distillation Column 3'!$L$26</f>
        <v>1</v>
      </c>
    </row>
    <row r="43" spans="5:70" ht="15.6">
      <c r="S43" s="32" t="s">
        <v>100</v>
      </c>
      <c r="BO43" s="5"/>
      <c r="BP43" s="397" t="s">
        <v>75</v>
      </c>
      <c r="BQ43" s="398"/>
      <c r="BR43" s="40">
        <f>'Distillation Column 3'!$L$27</f>
        <v>190</v>
      </c>
    </row>
    <row r="44" spans="5:70" ht="15.6">
      <c r="S44" s="412" t="s">
        <v>79</v>
      </c>
      <c r="T44" s="413"/>
      <c r="U44" s="33">
        <f>Reactor!F40</f>
        <v>12626.262626262627</v>
      </c>
      <c r="AM44" s="401" t="s">
        <v>79</v>
      </c>
      <c r="AN44" s="402"/>
      <c r="AO44" s="33">
        <f>'Cooler 2'!$E$3</f>
        <v>11588.624623874779</v>
      </c>
      <c r="AT44" s="401" t="s">
        <v>79</v>
      </c>
      <c r="AU44" s="402"/>
      <c r="AV44" s="33">
        <f>'Liquid-liquid Extractor '!E16</f>
        <v>11588.624623874779</v>
      </c>
      <c r="BH44" s="412" t="s">
        <v>79</v>
      </c>
      <c r="BI44" s="413"/>
      <c r="BJ44" s="20">
        <f>'Distillation Column 3'!E17</f>
        <v>28073.435655272449</v>
      </c>
      <c r="BO44" s="5"/>
      <c r="BP44" s="396" t="s">
        <v>76</v>
      </c>
      <c r="BQ44" s="389"/>
      <c r="BR44" s="40">
        <f>'Distillation Column 3'!$L$28</f>
        <v>1</v>
      </c>
    </row>
    <row r="45" spans="5:70" ht="15.6">
      <c r="S45" s="412" t="s">
        <v>80</v>
      </c>
      <c r="T45" s="413"/>
      <c r="U45" s="33">
        <f>Reactor!F41</f>
        <v>286.61527310881502</v>
      </c>
      <c r="AM45" s="401" t="s">
        <v>80</v>
      </c>
      <c r="AN45" s="402"/>
      <c r="AO45" s="33">
        <f>'Cooler 2'!$E$4</f>
        <v>208.62009191407873</v>
      </c>
      <c r="AT45" s="401" t="s">
        <v>80</v>
      </c>
      <c r="AU45" s="402"/>
      <c r="AV45" s="33">
        <f>'Liquid-liquid Extractor '!E17</f>
        <v>208.62009191407873</v>
      </c>
      <c r="BH45" s="412" t="s">
        <v>80</v>
      </c>
      <c r="BI45" s="413"/>
      <c r="BJ45" s="33">
        <f>'Distillation Column 3'!E18</f>
        <v>454.84052496912011</v>
      </c>
      <c r="BO45" s="5"/>
      <c r="BP45" s="400" t="s">
        <v>548</v>
      </c>
      <c r="BQ45" s="400"/>
      <c r="BR45" s="216">
        <f>'Distillation Column 3'!L29</f>
        <v>-12312097.440022456</v>
      </c>
    </row>
    <row r="46" spans="5:70" ht="15.6">
      <c r="S46" s="401" t="s">
        <v>66</v>
      </c>
      <c r="T46" s="403"/>
      <c r="U46" s="402"/>
      <c r="AM46" s="401" t="s">
        <v>66</v>
      </c>
      <c r="AN46" s="403"/>
      <c r="AO46" s="402"/>
      <c r="AT46" s="401" t="s">
        <v>66</v>
      </c>
      <c r="AU46" s="403"/>
      <c r="AV46" s="402"/>
      <c r="BH46" s="401" t="s">
        <v>66</v>
      </c>
      <c r="BI46" s="403"/>
      <c r="BJ46" s="402"/>
      <c r="BO46" s="5"/>
    </row>
    <row r="47" spans="5:70" ht="15.6">
      <c r="S47" s="34" t="s">
        <v>67</v>
      </c>
      <c r="T47" s="35"/>
      <c r="U47" s="35"/>
      <c r="AM47" s="34" t="s">
        <v>67</v>
      </c>
      <c r="AN47" s="35"/>
      <c r="AO47" s="35"/>
      <c r="AT47" s="34" t="s">
        <v>67</v>
      </c>
      <c r="AU47" s="35"/>
      <c r="AV47" s="35"/>
      <c r="BH47" s="34" t="s">
        <v>67</v>
      </c>
      <c r="BI47" s="35"/>
      <c r="BJ47" s="35"/>
      <c r="BO47" s="5"/>
    </row>
    <row r="48" spans="5:70" ht="15.6">
      <c r="S48" s="34" t="s">
        <v>68</v>
      </c>
      <c r="T48" s="40" t="s">
        <v>101</v>
      </c>
      <c r="U48" s="41">
        <f>Reactor!F44</f>
        <v>286.61527310881502</v>
      </c>
      <c r="AM48" s="34" t="s">
        <v>68</v>
      </c>
      <c r="AN48" s="40" t="s">
        <v>105</v>
      </c>
      <c r="AO48" s="41">
        <f>'Cooler 2'!$E$7</f>
        <v>68.071127363343578</v>
      </c>
      <c r="AT48" s="34" t="s">
        <v>68</v>
      </c>
      <c r="AU48" s="218" t="str">
        <f>'Cooler 2'!M7</f>
        <v>ṅ15a</v>
      </c>
      <c r="AV48" s="41">
        <f>'Liquid-liquid Extractor '!E20</f>
        <v>68.071127363343578</v>
      </c>
      <c r="BH48" s="34" t="s">
        <v>68</v>
      </c>
      <c r="BI48" s="40" t="s">
        <v>108</v>
      </c>
      <c r="BJ48" s="39">
        <f>'Distillation Column 3'!E21</f>
        <v>1.3614225472668693</v>
      </c>
      <c r="BO48" s="5"/>
    </row>
    <row r="49" spans="19:70" ht="15.6">
      <c r="S49" s="34" t="s">
        <v>69</v>
      </c>
      <c r="T49" s="35"/>
      <c r="U49" s="35"/>
      <c r="AM49" s="34" t="s">
        <v>69</v>
      </c>
      <c r="AN49" s="40" t="s">
        <v>107</v>
      </c>
      <c r="AO49" s="41">
        <f>'Cooler 2'!$E$8</f>
        <v>140.44148382331934</v>
      </c>
      <c r="AT49" s="34" t="s">
        <v>69</v>
      </c>
      <c r="AU49" s="52" t="str">
        <f>'Cooler 2'!M8</f>
        <v>ṅ15b</v>
      </c>
      <c r="AV49" s="41">
        <f>'Liquid-liquid Extractor '!E21</f>
        <v>140.44148382331934</v>
      </c>
      <c r="BH49" s="34" t="s">
        <v>69</v>
      </c>
      <c r="BI49" s="40" t="s">
        <v>110</v>
      </c>
      <c r="BJ49" s="54">
        <f>'Distillation Column 3'!E22</f>
        <v>140.44148382331934</v>
      </c>
      <c r="BO49" s="5"/>
    </row>
    <row r="50" spans="19:70" ht="15.6">
      <c r="S50" s="34" t="s">
        <v>70</v>
      </c>
      <c r="T50" s="35"/>
      <c r="U50" s="35"/>
      <c r="AM50" s="34" t="s">
        <v>70</v>
      </c>
      <c r="AN50" s="40" t="s">
        <v>109</v>
      </c>
      <c r="AO50" s="41">
        <f>'Cooler 2'!$E$9</f>
        <v>0.10748072741580565</v>
      </c>
      <c r="AT50" s="34" t="s">
        <v>70</v>
      </c>
      <c r="AU50" s="53" t="str">
        <f>'Cooler 2'!M9</f>
        <v>ṅ15c</v>
      </c>
      <c r="AV50" s="41">
        <f>'Liquid-liquid Extractor '!E22</f>
        <v>0.10748072741580565</v>
      </c>
      <c r="BH50" s="34" t="s">
        <v>70</v>
      </c>
      <c r="BI50" s="40" t="s">
        <v>111</v>
      </c>
      <c r="BJ50" s="39">
        <f>'Distillation Column 3'!E23</f>
        <v>0.10748072741580565</v>
      </c>
      <c r="BO50" s="5"/>
    </row>
    <row r="51" spans="19:70" ht="15.6">
      <c r="S51" s="34" t="s">
        <v>71</v>
      </c>
      <c r="T51" s="35"/>
      <c r="U51" s="35"/>
      <c r="AM51" s="34" t="s">
        <v>71</v>
      </c>
      <c r="AN51" s="35"/>
      <c r="AO51" s="35"/>
      <c r="AT51" s="34" t="s">
        <v>71</v>
      </c>
      <c r="AU51" s="35"/>
      <c r="AV51" s="35"/>
      <c r="BH51" s="34" t="s">
        <v>71</v>
      </c>
      <c r="BI51" s="35"/>
      <c r="BJ51" s="35"/>
    </row>
    <row r="52" spans="19:70" ht="15.6">
      <c r="S52" s="34" t="s">
        <v>72</v>
      </c>
      <c r="T52" s="35"/>
      <c r="U52" s="35"/>
      <c r="AM52" s="34" t="s">
        <v>72</v>
      </c>
      <c r="AN52" s="35"/>
      <c r="AO52" s="35"/>
      <c r="AT52" s="34" t="s">
        <v>72</v>
      </c>
      <c r="AU52" s="35"/>
      <c r="AV52" s="35"/>
      <c r="BH52" s="34" t="s">
        <v>72</v>
      </c>
      <c r="BI52" s="40" t="s">
        <v>112</v>
      </c>
      <c r="BJ52" s="36">
        <f>'Distillation Column 3'!E25</f>
        <v>312.93013787111806</v>
      </c>
    </row>
    <row r="53" spans="19:70" ht="15.6">
      <c r="S53" s="408" t="s">
        <v>85</v>
      </c>
      <c r="T53" s="409"/>
      <c r="U53" s="410"/>
      <c r="AM53" s="408" t="s">
        <v>85</v>
      </c>
      <c r="AN53" s="409"/>
      <c r="AO53" s="410"/>
      <c r="AT53" s="408" t="s">
        <v>85</v>
      </c>
      <c r="AU53" s="409"/>
      <c r="AV53" s="410"/>
      <c r="BA53" s="32" t="s">
        <v>106</v>
      </c>
      <c r="BH53" s="408" t="s">
        <v>85</v>
      </c>
      <c r="BI53" s="409"/>
      <c r="BJ53" s="410"/>
    </row>
    <row r="54" spans="19:70" ht="15.6">
      <c r="S54" s="34" t="s">
        <v>67</v>
      </c>
      <c r="T54" s="35"/>
      <c r="U54" s="35"/>
      <c r="AM54" s="34" t="s">
        <v>67</v>
      </c>
      <c r="AN54" s="35"/>
      <c r="AO54" s="55"/>
      <c r="AT54" s="34" t="s">
        <v>67</v>
      </c>
      <c r="AU54" s="35"/>
      <c r="AV54" s="55"/>
      <c r="BH54" s="34" t="s">
        <v>67</v>
      </c>
      <c r="BI54" s="35"/>
      <c r="BJ54" s="46"/>
    </row>
    <row r="55" spans="19:70" ht="16.8">
      <c r="S55" s="34" t="s">
        <v>68</v>
      </c>
      <c r="T55" s="35"/>
      <c r="U55" s="41">
        <f>Reactor!F51</f>
        <v>1</v>
      </c>
      <c r="AM55" s="34" t="s">
        <v>68</v>
      </c>
      <c r="AN55" s="35"/>
      <c r="AO55" s="41">
        <f>'Cooler 2'!$E$14</f>
        <v>0.32629228919800796</v>
      </c>
      <c r="AT55" s="34" t="s">
        <v>68</v>
      </c>
      <c r="AU55" s="35"/>
      <c r="AV55" s="163">
        <f>'Liquid-liquid Extractor '!E27</f>
        <v>0.32629228919800796</v>
      </c>
      <c r="BA55" s="401" t="s">
        <v>79</v>
      </c>
      <c r="BB55" s="402"/>
      <c r="BC55" s="33">
        <f>'Heater 4'!$J$4</f>
        <v>2938.7626262626272</v>
      </c>
      <c r="BH55" s="34" t="s">
        <v>68</v>
      </c>
      <c r="BI55" s="35"/>
      <c r="BJ55" s="41">
        <f>'Distillation Column 3'!E28</f>
        <v>2.9931865621676927E-3</v>
      </c>
    </row>
    <row r="56" spans="19:70" ht="16.8">
      <c r="S56" s="34" t="s">
        <v>69</v>
      </c>
      <c r="T56" s="35"/>
      <c r="U56" s="35"/>
      <c r="AM56" s="34" t="s">
        <v>69</v>
      </c>
      <c r="AN56" s="35"/>
      <c r="AO56" s="41">
        <f>'Cooler 2'!$E$15</f>
        <v>0.67319251245062672</v>
      </c>
      <c r="AT56" s="34" t="s">
        <v>69</v>
      </c>
      <c r="AU56" s="35"/>
      <c r="AV56" s="163">
        <f>'Liquid-liquid Extractor '!E28</f>
        <v>0.67319251245062672</v>
      </c>
      <c r="BA56" s="401" t="s">
        <v>80</v>
      </c>
      <c r="BB56" s="402"/>
      <c r="BC56" s="33">
        <f>'Heater 4'!$J$5</f>
        <v>66.709704816076709</v>
      </c>
      <c r="BH56" s="34" t="s">
        <v>69</v>
      </c>
      <c r="BI56" s="35"/>
      <c r="BJ56" s="41">
        <f>'Distillation Column 3'!E29</f>
        <v>0.3087708243078256</v>
      </c>
    </row>
    <row r="57" spans="19:70" ht="16.8">
      <c r="S57" s="34" t="s">
        <v>70</v>
      </c>
      <c r="T57" s="35"/>
      <c r="U57" s="35"/>
      <c r="AM57" s="34" t="s">
        <v>70</v>
      </c>
      <c r="AN57" s="35"/>
      <c r="AO57" s="41">
        <f>'Cooler 2'!$E$16</f>
        <v>5.1519835136527577E-4</v>
      </c>
      <c r="AT57" s="34" t="s">
        <v>70</v>
      </c>
      <c r="AU57" s="35"/>
      <c r="AV57" s="163">
        <f>'Liquid-liquid Extractor '!E29</f>
        <v>5.1519835136527577E-4</v>
      </c>
      <c r="BA57" s="401" t="s">
        <v>66</v>
      </c>
      <c r="BB57" s="403"/>
      <c r="BC57" s="402"/>
      <c r="BH57" s="34" t="s">
        <v>70</v>
      </c>
      <c r="BI57" s="35"/>
      <c r="BJ57" s="41">
        <f>'Distillation Column 3'!E30</f>
        <v>2.3630420227639722E-4</v>
      </c>
    </row>
    <row r="58" spans="19:70" ht="15.6">
      <c r="S58" s="34" t="s">
        <v>71</v>
      </c>
      <c r="T58" s="35"/>
      <c r="U58" s="35"/>
      <c r="AM58" s="34" t="s">
        <v>71</v>
      </c>
      <c r="AN58" s="35"/>
      <c r="AO58" s="35"/>
      <c r="AT58" s="34" t="s">
        <v>71</v>
      </c>
      <c r="AU58" s="35"/>
      <c r="AV58" s="35"/>
      <c r="BA58" s="34" t="s">
        <v>67</v>
      </c>
      <c r="BB58" s="35"/>
      <c r="BC58" s="35"/>
      <c r="BH58" s="34" t="s">
        <v>71</v>
      </c>
      <c r="BI58" s="35"/>
      <c r="BJ58" s="35"/>
    </row>
    <row r="59" spans="19:70" ht="15.6">
      <c r="S59" s="34" t="s">
        <v>72</v>
      </c>
      <c r="T59" s="35"/>
      <c r="U59" s="35"/>
      <c r="AM59" s="34" t="s">
        <v>72</v>
      </c>
      <c r="AN59" s="35"/>
      <c r="AO59" s="35"/>
      <c r="AT59" s="34" t="s">
        <v>72</v>
      </c>
      <c r="AU59" s="35"/>
      <c r="AV59" s="35"/>
      <c r="BA59" s="34" t="s">
        <v>68</v>
      </c>
      <c r="BB59" s="40" t="s">
        <v>113</v>
      </c>
      <c r="BC59" s="41">
        <f>'Heater 4'!$J$8</f>
        <v>66.709704816076709</v>
      </c>
      <c r="BH59" s="34" t="s">
        <v>72</v>
      </c>
      <c r="BI59" s="35"/>
      <c r="BJ59" s="36">
        <f>'Distillation Column 3'!E32</f>
        <v>0.68799968492773023</v>
      </c>
    </row>
    <row r="60" spans="19:70" ht="15.6">
      <c r="S60" s="400" t="s">
        <v>99</v>
      </c>
      <c r="T60" s="400"/>
      <c r="U60" s="162">
        <f>Reactor!F56</f>
        <v>1</v>
      </c>
      <c r="AM60" s="406" t="s">
        <v>99</v>
      </c>
      <c r="AN60" s="411"/>
      <c r="AO60" s="50">
        <f>'Cooler 2'!$E$19</f>
        <v>1</v>
      </c>
      <c r="AT60" s="406" t="s">
        <v>99</v>
      </c>
      <c r="AU60" s="411"/>
      <c r="AV60" s="50">
        <f>'Liquid-liquid Extractor '!E32</f>
        <v>0</v>
      </c>
      <c r="BA60" s="34" t="s">
        <v>69</v>
      </c>
      <c r="BB60" s="35"/>
      <c r="BC60" s="35"/>
      <c r="BH60" s="406" t="s">
        <v>99</v>
      </c>
      <c r="BI60" s="411"/>
      <c r="BJ60" s="50">
        <f>'Distillation Column 3'!$E$33</f>
        <v>0</v>
      </c>
    </row>
    <row r="61" spans="19:70" ht="15.6">
      <c r="S61" s="414" t="s">
        <v>92</v>
      </c>
      <c r="T61" s="415"/>
      <c r="U61" s="162">
        <f>Reactor!F57</f>
        <v>1</v>
      </c>
      <c r="AM61" s="396" t="s">
        <v>92</v>
      </c>
      <c r="AN61" s="399"/>
      <c r="AO61" s="40">
        <f>'Cooler 2'!$E$20</f>
        <v>0.99999999999999989</v>
      </c>
      <c r="AT61" s="396" t="s">
        <v>92</v>
      </c>
      <c r="AU61" s="399"/>
      <c r="AV61" s="50">
        <f>'Liquid-liquid Extractor '!E33</f>
        <v>0.99999999999999989</v>
      </c>
      <c r="BA61" s="34" t="s">
        <v>70</v>
      </c>
      <c r="BB61" s="35"/>
      <c r="BC61" s="35"/>
      <c r="BH61" s="396" t="s">
        <v>92</v>
      </c>
      <c r="BI61" s="399"/>
      <c r="BJ61" s="40">
        <f>'Distillation Column 3'!$E$34</f>
        <v>0.99999999999999989</v>
      </c>
    </row>
    <row r="62" spans="19:70" ht="15.6">
      <c r="S62" s="396" t="s">
        <v>75</v>
      </c>
      <c r="T62" s="399"/>
      <c r="U62" s="162">
        <f>Reactor!F58</f>
        <v>350</v>
      </c>
      <c r="AM62" s="396" t="s">
        <v>75</v>
      </c>
      <c r="AN62" s="399"/>
      <c r="AO62" s="40">
        <f>'Cooler 2'!$E$21</f>
        <v>170</v>
      </c>
      <c r="AT62" s="396" t="s">
        <v>75</v>
      </c>
      <c r="AU62" s="399"/>
      <c r="AV62" s="50">
        <f>'Liquid-liquid Extractor '!E34</f>
        <v>6</v>
      </c>
      <c r="BA62" s="34" t="s">
        <v>71</v>
      </c>
      <c r="BB62" s="35"/>
      <c r="BC62" s="35"/>
      <c r="BH62" s="396" t="s">
        <v>75</v>
      </c>
      <c r="BI62" s="399"/>
      <c r="BJ62" s="40">
        <f>'Distillation Column 3'!$E$35</f>
        <v>6</v>
      </c>
      <c r="BR62" s="38" t="s">
        <v>114</v>
      </c>
    </row>
    <row r="63" spans="19:70" ht="15.6">
      <c r="S63" s="396" t="s">
        <v>76</v>
      </c>
      <c r="T63" s="399"/>
      <c r="U63" s="162">
        <f>Reactor!F59</f>
        <v>1</v>
      </c>
      <c r="AM63" s="396" t="s">
        <v>76</v>
      </c>
      <c r="AN63" s="399"/>
      <c r="AO63" s="45">
        <f>'Cooler 2'!$E$22</f>
        <v>1</v>
      </c>
      <c r="AT63" s="396" t="s">
        <v>76</v>
      </c>
      <c r="AU63" s="399"/>
      <c r="AV63" s="50">
        <f>'Liquid-liquid Extractor '!E35</f>
        <v>1</v>
      </c>
      <c r="BA63" s="34" t="s">
        <v>72</v>
      </c>
      <c r="BB63" s="35"/>
      <c r="BC63" s="35"/>
      <c r="BH63" s="396" t="s">
        <v>76</v>
      </c>
      <c r="BI63" s="399"/>
      <c r="BJ63" s="45">
        <f>'Distillation Column 3'!$E$36</f>
        <v>1</v>
      </c>
    </row>
    <row r="64" spans="19:70" ht="15.6">
      <c r="S64" s="400" t="s">
        <v>548</v>
      </c>
      <c r="T64" s="400"/>
      <c r="U64" s="216">
        <f>Reactor!F60</f>
        <v>6362282.7733717831</v>
      </c>
      <c r="AM64" s="400" t="s">
        <v>548</v>
      </c>
      <c r="AN64" s="400"/>
      <c r="AO64" s="216">
        <f>'Cooler 2'!E23</f>
        <v>2604648.2917141812</v>
      </c>
      <c r="AT64" s="400" t="s">
        <v>548</v>
      </c>
      <c r="AU64" s="400"/>
      <c r="AV64" s="216">
        <f>'Liquid-liquid Extractor '!E36</f>
        <v>-11767907.896419466</v>
      </c>
      <c r="BA64" s="408" t="s">
        <v>85</v>
      </c>
      <c r="BB64" s="409"/>
      <c r="BC64" s="410"/>
      <c r="BH64" s="400" t="s">
        <v>548</v>
      </c>
      <c r="BI64" s="400"/>
      <c r="BJ64" s="216">
        <f>'Distillation Column 3'!E37</f>
        <v>-32268994.750618525</v>
      </c>
    </row>
    <row r="65" spans="5:70" ht="15.6">
      <c r="BA65" s="34" t="s">
        <v>67</v>
      </c>
      <c r="BB65" s="35"/>
      <c r="BC65" s="46"/>
      <c r="BP65" s="407" t="s">
        <v>79</v>
      </c>
      <c r="BQ65" s="389"/>
      <c r="BR65" s="33">
        <f>'Distillation Column 3'!H49</f>
        <v>8552.7760322907634</v>
      </c>
    </row>
    <row r="66" spans="5:70" ht="15.6">
      <c r="G66" s="32" t="s">
        <v>115</v>
      </c>
      <c r="N66" s="56" t="s">
        <v>116</v>
      </c>
      <c r="BA66" s="34" t="s">
        <v>68</v>
      </c>
      <c r="BB66" s="35"/>
      <c r="BC66" s="41">
        <f>'Heater 4'!$J$15</f>
        <v>1</v>
      </c>
      <c r="BP66" s="407" t="s">
        <v>80</v>
      </c>
      <c r="BQ66" s="389"/>
      <c r="BR66" s="33">
        <f>'Distillation Column 3'!H50</f>
        <v>140.39849153235301</v>
      </c>
    </row>
    <row r="67" spans="5:70" ht="15.6">
      <c r="BA67" s="34" t="s">
        <v>69</v>
      </c>
      <c r="BB67" s="35"/>
      <c r="BC67" s="35"/>
      <c r="BP67" s="401" t="s">
        <v>66</v>
      </c>
      <c r="BQ67" s="391"/>
      <c r="BR67" s="389"/>
    </row>
    <row r="68" spans="5:70" ht="15.6">
      <c r="BA68" s="34" t="s">
        <v>70</v>
      </c>
      <c r="BB68" s="35"/>
      <c r="BC68" s="35"/>
      <c r="BP68" s="34" t="s">
        <v>67</v>
      </c>
      <c r="BQ68" s="35"/>
      <c r="BR68" s="35"/>
    </row>
    <row r="69" spans="5:70" ht="15.6">
      <c r="BA69" s="34" t="s">
        <v>71</v>
      </c>
      <c r="BB69" s="35"/>
      <c r="BC69" s="35"/>
      <c r="BP69" s="34" t="s">
        <v>68</v>
      </c>
      <c r="BQ69" s="40" t="s">
        <v>108</v>
      </c>
      <c r="BR69" s="41">
        <f>'Distillation Column 3'!H53</f>
        <v>1.3614225472668693</v>
      </c>
    </row>
    <row r="70" spans="5:70" ht="15.6">
      <c r="E70" s="412" t="s">
        <v>79</v>
      </c>
      <c r="F70" s="413"/>
      <c r="G70" s="33">
        <f>'Heater 2'!I11</f>
        <v>9687.5</v>
      </c>
      <c r="L70" s="412" t="s">
        <v>79</v>
      </c>
      <c r="M70" s="413"/>
      <c r="N70" s="33">
        <f>'Holding Tank'!$E$7</f>
        <v>9687.5</v>
      </c>
      <c r="AH70" s="32" t="s">
        <v>117</v>
      </c>
      <c r="BA70" s="34" t="s">
        <v>72</v>
      </c>
      <c r="BB70" s="35"/>
      <c r="BC70" s="35"/>
      <c r="BP70" s="34" t="s">
        <v>69</v>
      </c>
      <c r="BQ70" s="40" t="s">
        <v>110</v>
      </c>
      <c r="BR70" s="41">
        <f>'Distillation Column 3'!H54</f>
        <v>139.03706898508614</v>
      </c>
    </row>
    <row r="71" spans="5:70" ht="15.6">
      <c r="E71" s="412" t="s">
        <v>80</v>
      </c>
      <c r="F71" s="413"/>
      <c r="G71" s="33">
        <f>'Heater 2'!I12</f>
        <v>219.90556829273831</v>
      </c>
      <c r="L71" s="412" t="s">
        <v>80</v>
      </c>
      <c r="M71" s="413"/>
      <c r="N71" s="33">
        <f>'Holding Tank'!$E$8</f>
        <v>219.90556829273831</v>
      </c>
      <c r="BA71" s="406" t="s">
        <v>99</v>
      </c>
      <c r="BB71" s="411"/>
      <c r="BC71" s="50">
        <f>'Heater 4'!$J$20</f>
        <v>0</v>
      </c>
      <c r="BP71" s="34" t="s">
        <v>70</v>
      </c>
      <c r="BQ71" s="35"/>
      <c r="BR71" s="35"/>
    </row>
    <row r="72" spans="5:70" ht="15.6">
      <c r="E72" s="401" t="s">
        <v>66</v>
      </c>
      <c r="F72" s="403"/>
      <c r="G72" s="402"/>
      <c r="L72" s="401" t="s">
        <v>66</v>
      </c>
      <c r="M72" s="403"/>
      <c r="N72" s="402"/>
      <c r="BA72" s="396" t="s">
        <v>92</v>
      </c>
      <c r="BB72" s="399"/>
      <c r="BC72" s="40">
        <f>'Heater 4'!$J$21</f>
        <v>1</v>
      </c>
      <c r="BP72" s="34" t="s">
        <v>71</v>
      </c>
      <c r="BQ72" s="35"/>
      <c r="BR72" s="35"/>
    </row>
    <row r="73" spans="5:70" ht="15.6">
      <c r="E73" s="34" t="s">
        <v>67</v>
      </c>
      <c r="F73" s="35"/>
      <c r="G73" s="35"/>
      <c r="L73" s="34" t="s">
        <v>67</v>
      </c>
      <c r="M73" s="35"/>
      <c r="N73" s="35"/>
      <c r="R73" s="38" t="s">
        <v>118</v>
      </c>
      <c r="AF73" s="401" t="s">
        <v>79</v>
      </c>
      <c r="AG73" s="402"/>
      <c r="AH73" s="33">
        <f>'Distillation Column 1 '!G13</f>
        <v>15554.879573433933</v>
      </c>
      <c r="BA73" s="396" t="s">
        <v>75</v>
      </c>
      <c r="BB73" s="399"/>
      <c r="BC73" s="40">
        <f>'Heater 4'!$J$22</f>
        <v>6</v>
      </c>
      <c r="BP73" s="34" t="s">
        <v>72</v>
      </c>
      <c r="BQ73" s="35"/>
      <c r="BR73" s="35"/>
    </row>
    <row r="74" spans="5:70" ht="15.6">
      <c r="E74" s="34" t="s">
        <v>68</v>
      </c>
      <c r="F74" s="40" t="s">
        <v>119</v>
      </c>
      <c r="G74" s="41">
        <f>'Heater 2'!I15</f>
        <v>219.90556829273831</v>
      </c>
      <c r="L74" s="34" t="s">
        <v>68</v>
      </c>
      <c r="M74" s="40" t="s">
        <v>120</v>
      </c>
      <c r="N74" s="41">
        <f>'Holding Tank'!$E$11</f>
        <v>219.90556829273831</v>
      </c>
      <c r="AF74" s="401" t="s">
        <v>80</v>
      </c>
      <c r="AG74" s="402"/>
      <c r="AH74" s="33">
        <f>'Distillation Column 1 '!G14</f>
        <v>240.04029122863258</v>
      </c>
      <c r="BA74" s="396" t="s">
        <v>76</v>
      </c>
      <c r="BB74" s="399"/>
      <c r="BC74" s="40">
        <f>'Heater 4'!$J$23</f>
        <v>1</v>
      </c>
      <c r="BP74" s="404" t="s">
        <v>85</v>
      </c>
      <c r="BQ74" s="405"/>
      <c r="BR74" s="398"/>
    </row>
    <row r="75" spans="5:70" ht="15.6">
      <c r="E75" s="34" t="s">
        <v>69</v>
      </c>
      <c r="F75" s="35"/>
      <c r="G75" s="35"/>
      <c r="L75" s="34" t="s">
        <v>69</v>
      </c>
      <c r="M75" s="35"/>
      <c r="N75" s="35"/>
      <c r="R75" s="401" t="s">
        <v>79</v>
      </c>
      <c r="S75" s="402"/>
      <c r="T75" s="33">
        <f>'Holding Tank'!H37</f>
        <v>2938.7626262626272</v>
      </c>
      <c r="AF75" s="401" t="s">
        <v>66</v>
      </c>
      <c r="AG75" s="403"/>
      <c r="AH75" s="402"/>
      <c r="BA75" s="400" t="s">
        <v>548</v>
      </c>
      <c r="BB75" s="400"/>
      <c r="BC75" s="216">
        <f>'Heater 4'!J24</f>
        <v>-1788296.9221818727</v>
      </c>
      <c r="BP75" s="34" t="s">
        <v>67</v>
      </c>
      <c r="BQ75" s="35"/>
      <c r="BR75" s="46"/>
    </row>
    <row r="76" spans="5:70" ht="15.6">
      <c r="E76" s="34" t="s">
        <v>70</v>
      </c>
      <c r="F76" s="35"/>
      <c r="G76" s="35"/>
      <c r="L76" s="34" t="s">
        <v>70</v>
      </c>
      <c r="M76" s="35"/>
      <c r="N76" s="35"/>
      <c r="R76" s="401" t="s">
        <v>80</v>
      </c>
      <c r="S76" s="402"/>
      <c r="T76" s="33">
        <f>'Holding Tank'!H38</f>
        <v>66.709704816076709</v>
      </c>
      <c r="AF76" s="34" t="s">
        <v>67</v>
      </c>
      <c r="AG76" s="35"/>
      <c r="AH76" s="35"/>
      <c r="BP76" s="34" t="s">
        <v>68</v>
      </c>
      <c r="BQ76" s="35"/>
      <c r="BR76" s="41">
        <f>'Distillation Column 3'!H60</f>
        <v>9.6968459732571077E-3</v>
      </c>
    </row>
    <row r="77" spans="5:70" ht="15.6">
      <c r="E77" s="34" t="s">
        <v>71</v>
      </c>
      <c r="F77" s="35"/>
      <c r="G77" s="35"/>
      <c r="L77" s="34" t="s">
        <v>71</v>
      </c>
      <c r="M77" s="35"/>
      <c r="N77" s="35"/>
      <c r="R77" s="401" t="s">
        <v>66</v>
      </c>
      <c r="S77" s="403"/>
      <c r="T77" s="402"/>
      <c r="AF77" s="34" t="s">
        <v>68</v>
      </c>
      <c r="AG77" s="37"/>
      <c r="AH77" s="41">
        <f>'Distillation Column 1 '!G17</f>
        <v>68.071127363343578</v>
      </c>
      <c r="BP77" s="34" t="s">
        <v>69</v>
      </c>
      <c r="BQ77" s="35"/>
      <c r="BR77" s="39">
        <f>'Distillation Column 3'!H61</f>
        <v>0.99030315402674285</v>
      </c>
    </row>
    <row r="78" spans="5:70" ht="15.6">
      <c r="E78" s="34" t="s">
        <v>72</v>
      </c>
      <c r="F78" s="35"/>
      <c r="G78" s="35"/>
      <c r="L78" s="34" t="s">
        <v>72</v>
      </c>
      <c r="M78" s="35"/>
      <c r="N78" s="35"/>
      <c r="R78" s="34" t="s">
        <v>67</v>
      </c>
      <c r="S78" s="35"/>
      <c r="T78" s="35"/>
      <c r="AF78" s="34" t="s">
        <v>69</v>
      </c>
      <c r="AG78" s="35"/>
      <c r="AH78" s="41">
        <f>'Distillation Column 1 '!G18</f>
        <v>143.30763655440751</v>
      </c>
      <c r="BP78" s="34" t="s">
        <v>70</v>
      </c>
      <c r="BQ78" s="35"/>
      <c r="BR78" s="35"/>
    </row>
    <row r="79" spans="5:70" ht="15.6">
      <c r="E79" s="404" t="s">
        <v>85</v>
      </c>
      <c r="F79" s="405"/>
      <c r="G79" s="398"/>
      <c r="L79" s="404" t="s">
        <v>85</v>
      </c>
      <c r="M79" s="405"/>
      <c r="N79" s="398"/>
      <c r="R79" s="34" t="s">
        <v>68</v>
      </c>
      <c r="S79" s="40" t="s">
        <v>121</v>
      </c>
      <c r="T79" s="41">
        <f>'Holding Tank'!H41</f>
        <v>66.709704816076709</v>
      </c>
      <c r="AF79" s="34" t="s">
        <v>70</v>
      </c>
      <c r="AG79" s="35"/>
      <c r="AH79" s="41">
        <f>'Distillation Column 1 '!G19</f>
        <v>10.748072741580565</v>
      </c>
      <c r="BP79" s="34" t="s">
        <v>71</v>
      </c>
      <c r="BQ79" s="35"/>
      <c r="BR79" s="35"/>
    </row>
    <row r="80" spans="5:70" ht="15.6">
      <c r="E80" s="34" t="s">
        <v>67</v>
      </c>
      <c r="F80" s="35"/>
      <c r="G80" s="46"/>
      <c r="L80" s="34" t="s">
        <v>67</v>
      </c>
      <c r="M80" s="35"/>
      <c r="N80" s="46"/>
      <c r="R80" s="34" t="s">
        <v>69</v>
      </c>
      <c r="S80" s="35"/>
      <c r="T80" s="35"/>
      <c r="AF80" s="34" t="s">
        <v>71</v>
      </c>
      <c r="AG80" s="35"/>
      <c r="AH80" s="41">
        <f>'Distillation Column 1 '!G20</f>
        <v>17.913454569300939</v>
      </c>
      <c r="BP80" s="34" t="s">
        <v>72</v>
      </c>
      <c r="BQ80" s="35"/>
      <c r="BR80" s="35"/>
    </row>
    <row r="81" spans="5:70" ht="15.6">
      <c r="E81" s="34" t="s">
        <v>68</v>
      </c>
      <c r="F81" s="35"/>
      <c r="G81" s="41">
        <f>'Heater 2'!I22</f>
        <v>1</v>
      </c>
      <c r="L81" s="34" t="s">
        <v>68</v>
      </c>
      <c r="M81" s="35"/>
      <c r="N81" s="41">
        <f>'Holding Tank'!$E$18</f>
        <v>1</v>
      </c>
      <c r="R81" s="34" t="s">
        <v>70</v>
      </c>
      <c r="S81" s="35"/>
      <c r="T81" s="35"/>
      <c r="AF81" s="34" t="s">
        <v>72</v>
      </c>
      <c r="AG81" s="35"/>
      <c r="AH81" s="35"/>
      <c r="BP81" s="406" t="s">
        <v>99</v>
      </c>
      <c r="BQ81" s="389"/>
      <c r="BR81" s="50">
        <f>'Distillation Column 3'!H65</f>
        <v>0</v>
      </c>
    </row>
    <row r="82" spans="5:70" ht="15.6">
      <c r="E82" s="34" t="s">
        <v>69</v>
      </c>
      <c r="F82" s="35"/>
      <c r="G82" s="35"/>
      <c r="L82" s="34" t="s">
        <v>69</v>
      </c>
      <c r="M82" s="35"/>
      <c r="N82" s="35"/>
      <c r="R82" s="34" t="s">
        <v>71</v>
      </c>
      <c r="S82" s="35"/>
      <c r="T82" s="35"/>
      <c r="AF82" s="408" t="s">
        <v>85</v>
      </c>
      <c r="AG82" s="409"/>
      <c r="AH82" s="410"/>
      <c r="BP82" s="397" t="s">
        <v>92</v>
      </c>
      <c r="BQ82" s="398"/>
      <c r="BR82" s="50">
        <f>'Distillation Column 3'!H66</f>
        <v>1</v>
      </c>
    </row>
    <row r="83" spans="5:70" ht="15.6">
      <c r="E83" s="34" t="s">
        <v>70</v>
      </c>
      <c r="F83" s="35"/>
      <c r="G83" s="35"/>
      <c r="L83" s="34" t="s">
        <v>70</v>
      </c>
      <c r="M83" s="35"/>
      <c r="N83" s="35"/>
      <c r="R83" s="34" t="s">
        <v>72</v>
      </c>
      <c r="S83" s="35"/>
      <c r="T83" s="35"/>
      <c r="AF83" s="34" t="s">
        <v>67</v>
      </c>
      <c r="AG83" s="35"/>
      <c r="AH83" s="55"/>
      <c r="BP83" s="397" t="s">
        <v>75</v>
      </c>
      <c r="BQ83" s="398"/>
      <c r="BR83" s="50">
        <f>'Distillation Column 3'!H67</f>
        <v>165</v>
      </c>
    </row>
    <row r="84" spans="5:70" ht="15.6">
      <c r="E84" s="34" t="s">
        <v>71</v>
      </c>
      <c r="F84" s="35"/>
      <c r="G84" s="35"/>
      <c r="L84" s="34" t="s">
        <v>71</v>
      </c>
      <c r="M84" s="35"/>
      <c r="N84" s="35"/>
      <c r="R84" s="404" t="s">
        <v>85</v>
      </c>
      <c r="S84" s="405"/>
      <c r="T84" s="398"/>
      <c r="AF84" s="34" t="s">
        <v>68</v>
      </c>
      <c r="AG84" s="35"/>
      <c r="AH84" s="41">
        <f>'Distillation Column 1 '!G24</f>
        <v>0.28358208955223885</v>
      </c>
      <c r="BP84" s="396" t="s">
        <v>76</v>
      </c>
      <c r="BQ84" s="389"/>
      <c r="BR84" s="50">
        <f>'Distillation Column 3'!H68</f>
        <v>1</v>
      </c>
    </row>
    <row r="85" spans="5:70" ht="15.6">
      <c r="E85" s="34" t="s">
        <v>72</v>
      </c>
      <c r="F85" s="35"/>
      <c r="G85" s="35"/>
      <c r="L85" s="34" t="s">
        <v>72</v>
      </c>
      <c r="M85" s="35"/>
      <c r="N85" s="35"/>
      <c r="R85" s="34" t="s">
        <v>67</v>
      </c>
      <c r="S85" s="35"/>
      <c r="T85" s="46"/>
      <c r="AF85" s="34" t="s">
        <v>69</v>
      </c>
      <c r="AG85" s="35"/>
      <c r="AH85" s="41">
        <f>'Distillation Column 1 '!G25</f>
        <v>0.59701492537313428</v>
      </c>
      <c r="BP85" s="400" t="s">
        <v>548</v>
      </c>
      <c r="BQ85" s="400"/>
      <c r="BR85" s="216">
        <f>'Distillation Column 3'!H69</f>
        <v>-5321475.7101747822</v>
      </c>
    </row>
    <row r="86" spans="5:70" ht="15.6">
      <c r="E86" s="406" t="s">
        <v>99</v>
      </c>
      <c r="F86" s="389"/>
      <c r="G86" s="50">
        <f>'Heater 2'!$I$27</f>
        <v>1</v>
      </c>
      <c r="L86" s="406" t="s">
        <v>99</v>
      </c>
      <c r="M86" s="389"/>
      <c r="N86" s="50">
        <f>'Holding Tank'!$E$23</f>
        <v>1</v>
      </c>
      <c r="R86" s="34" t="s">
        <v>68</v>
      </c>
      <c r="S86" s="35"/>
      <c r="T86" s="41">
        <f>'Holding Tank'!H48</f>
        <v>1</v>
      </c>
      <c r="AF86" s="34" t="s">
        <v>70</v>
      </c>
      <c r="AG86" s="35"/>
      <c r="AH86" s="41">
        <f>'Distillation Column 1 '!G26</f>
        <v>4.4776119402985079E-2</v>
      </c>
    </row>
    <row r="87" spans="5:70" ht="15.6">
      <c r="E87" s="397" t="s">
        <v>92</v>
      </c>
      <c r="F87" s="398"/>
      <c r="G87" s="50">
        <f>'Heater 2'!$I$28</f>
        <v>1</v>
      </c>
      <c r="L87" s="397" t="s">
        <v>92</v>
      </c>
      <c r="M87" s="398"/>
      <c r="N87" s="50">
        <f>'Holding Tank'!$E$24</f>
        <v>1</v>
      </c>
      <c r="R87" s="34" t="s">
        <v>69</v>
      </c>
      <c r="S87" s="35"/>
      <c r="T87" s="35"/>
      <c r="AF87" s="34" t="s">
        <v>71</v>
      </c>
      <c r="AG87" s="35"/>
      <c r="AH87" s="41">
        <f>'Distillation Column 1 '!G27</f>
        <v>7.4626865671641784E-2</v>
      </c>
    </row>
    <row r="88" spans="5:70" ht="15.6">
      <c r="E88" s="397" t="s">
        <v>75</v>
      </c>
      <c r="F88" s="398"/>
      <c r="G88" s="50">
        <f>'Heater 2'!$I$29</f>
        <v>25</v>
      </c>
      <c r="L88" s="397" t="s">
        <v>75</v>
      </c>
      <c r="M88" s="398"/>
      <c r="N88" s="50">
        <f>'Holding Tank'!$E$25</f>
        <v>350</v>
      </c>
      <c r="R88" s="34" t="s">
        <v>70</v>
      </c>
      <c r="S88" s="35"/>
      <c r="T88" s="35"/>
      <c r="AF88" s="34" t="s">
        <v>72</v>
      </c>
      <c r="AG88" s="35"/>
      <c r="AH88" s="35"/>
    </row>
    <row r="89" spans="5:70" ht="15.6">
      <c r="E89" s="396" t="s">
        <v>76</v>
      </c>
      <c r="F89" s="389"/>
      <c r="G89" s="50">
        <f>'Heater 2'!$I$30</f>
        <v>1</v>
      </c>
      <c r="L89" s="396" t="s">
        <v>76</v>
      </c>
      <c r="M89" s="389"/>
      <c r="N89" s="50">
        <f>'Holding Tank'!$E$26</f>
        <v>1</v>
      </c>
      <c r="R89" s="34" t="s">
        <v>71</v>
      </c>
      <c r="S89" s="35"/>
      <c r="T89" s="35"/>
      <c r="AF89" s="406" t="s">
        <v>99</v>
      </c>
      <c r="AG89" s="411"/>
      <c r="AH89" s="50">
        <f>'Distillation Column 1 '!G29</f>
        <v>0</v>
      </c>
    </row>
    <row r="90" spans="5:70" ht="15.6">
      <c r="E90" s="400" t="s">
        <v>548</v>
      </c>
      <c r="F90" s="400"/>
      <c r="G90" s="216">
        <f>'Heater 2'!I31</f>
        <v>0</v>
      </c>
      <c r="L90" s="400" t="s">
        <v>548</v>
      </c>
      <c r="M90" s="400"/>
      <c r="N90" s="216">
        <f>'Holding Tank'!E27</f>
        <v>4881461.4578694999</v>
      </c>
      <c r="R90" s="34" t="s">
        <v>72</v>
      </c>
      <c r="S90" s="35"/>
      <c r="T90" s="35"/>
      <c r="AF90" s="396" t="s">
        <v>92</v>
      </c>
      <c r="AG90" s="399"/>
      <c r="AH90" s="50">
        <f>'Distillation Column 1 '!G30</f>
        <v>1</v>
      </c>
    </row>
    <row r="91" spans="5:70" ht="15.6">
      <c r="R91" s="406" t="s">
        <v>99</v>
      </c>
      <c r="S91" s="389"/>
      <c r="T91" s="50">
        <f>'Holding Tank'!$H$53</f>
        <v>1</v>
      </c>
      <c r="AF91" s="396" t="s">
        <v>75</v>
      </c>
      <c r="AG91" s="399"/>
      <c r="AH91" s="50">
        <f>'Distillation Column 1 '!G31</f>
        <v>10</v>
      </c>
    </row>
    <row r="92" spans="5:70" ht="15.6">
      <c r="R92" s="397" t="s">
        <v>92</v>
      </c>
      <c r="S92" s="398"/>
      <c r="T92" s="50">
        <f>'Holding Tank'!$H$54</f>
        <v>1</v>
      </c>
      <c r="AF92" s="396" t="s">
        <v>76</v>
      </c>
      <c r="AG92" s="399"/>
      <c r="AH92" s="50">
        <f>'Distillation Column 1 '!G32</f>
        <v>1</v>
      </c>
    </row>
    <row r="93" spans="5:70" ht="15.6">
      <c r="R93" s="397" t="s">
        <v>75</v>
      </c>
      <c r="S93" s="398"/>
      <c r="T93" s="50">
        <f>'Holding Tank'!$H$55</f>
        <v>350</v>
      </c>
      <c r="AF93" s="400" t="s">
        <v>548</v>
      </c>
      <c r="AG93" s="400"/>
      <c r="AH93" s="216">
        <f>'Distillation Column 1 '!G33</f>
        <v>-14954359.295909915</v>
      </c>
    </row>
    <row r="94" spans="5:70" ht="15.6">
      <c r="R94" s="396" t="s">
        <v>76</v>
      </c>
      <c r="S94" s="389"/>
      <c r="T94" s="50">
        <f>'Holding Tank'!$H$56</f>
        <v>1</v>
      </c>
    </row>
    <row r="95" spans="5:70" ht="15.6">
      <c r="R95" s="400" t="s">
        <v>548</v>
      </c>
      <c r="S95" s="400"/>
      <c r="T95" s="216">
        <f>'Holding Tank'!H57</f>
        <v>1480821.3155022827</v>
      </c>
    </row>
    <row r="96" spans="5:70" ht="13.2"/>
    <row r="97" spans="37:54" ht="13.2"/>
    <row r="98" spans="37:54" ht="13.2"/>
    <row r="99" spans="37:54" ht="13.2"/>
    <row r="100" spans="37:54" ht="15.6">
      <c r="AL100" s="38" t="s">
        <v>123</v>
      </c>
      <c r="BA100" s="32" t="s">
        <v>122</v>
      </c>
    </row>
    <row r="101" spans="37:54" ht="13.2"/>
    <row r="102" spans="37:54" ht="13.2"/>
    <row r="103" spans="37:54" ht="15.6">
      <c r="AK103" s="401" t="s">
        <v>79</v>
      </c>
      <c r="AL103" s="402"/>
      <c r="AM103" s="33">
        <f>'Distillation Column 2'!$E$4</f>
        <v>3966.254949559152</v>
      </c>
      <c r="AZ103" s="407" t="s">
        <v>79</v>
      </c>
      <c r="BA103" s="389"/>
      <c r="BB103" s="33">
        <f>'Distillation Column 2'!N4</f>
        <v>2304.492695839057</v>
      </c>
    </row>
    <row r="104" spans="37:54" ht="15.6">
      <c r="AK104" s="401" t="s">
        <v>80</v>
      </c>
      <c r="AL104" s="402"/>
      <c r="AM104" s="33">
        <f>'Distillation Column 2'!$E$5</f>
        <v>31.420199314553848</v>
      </c>
      <c r="AZ104" s="401" t="s">
        <v>80</v>
      </c>
      <c r="BA104" s="402"/>
      <c r="BB104" s="33">
        <f>'Distillation Column 2'!N5</f>
        <v>15.541162001107978</v>
      </c>
    </row>
    <row r="105" spans="37:54" ht="15.6">
      <c r="AK105" s="401" t="s">
        <v>66</v>
      </c>
      <c r="AL105" s="403"/>
      <c r="AM105" s="402"/>
      <c r="AZ105" s="401" t="s">
        <v>66</v>
      </c>
      <c r="BA105" s="403"/>
      <c r="BB105" s="402"/>
    </row>
    <row r="106" spans="37:54" ht="15.6">
      <c r="AK106" s="34" t="s">
        <v>67</v>
      </c>
      <c r="AL106" s="35"/>
      <c r="AM106" s="35"/>
      <c r="AV106" s="38" t="s">
        <v>124</v>
      </c>
      <c r="AZ106" s="34" t="s">
        <v>67</v>
      </c>
      <c r="BA106" s="35"/>
      <c r="BB106" s="35"/>
    </row>
    <row r="107" spans="37:54" ht="15.6">
      <c r="AK107" s="34" t="s">
        <v>68</v>
      </c>
      <c r="AL107" s="35"/>
      <c r="AM107" s="35"/>
      <c r="AZ107" s="34" t="s">
        <v>68</v>
      </c>
      <c r="BA107" s="35"/>
      <c r="BB107" s="35"/>
    </row>
    <row r="108" spans="37:54" ht="15.75" customHeight="1">
      <c r="AK108" s="34" t="s">
        <v>69</v>
      </c>
      <c r="AL108" s="40" t="s">
        <v>125</v>
      </c>
      <c r="AM108" s="41">
        <f>'Distillation Column 2'!$E$9</f>
        <v>2.8661527310881501</v>
      </c>
      <c r="AT108" s="407" t="s">
        <v>79</v>
      </c>
      <c r="AU108" s="389"/>
      <c r="AV108" s="33">
        <f>'Distillation Column 2'!H34</f>
        <v>1661.7622537200943</v>
      </c>
      <c r="AZ108" s="34" t="s">
        <v>69</v>
      </c>
      <c r="BA108" s="35"/>
      <c r="BB108" s="35"/>
    </row>
    <row r="109" spans="37:54" ht="15.75" customHeight="1">
      <c r="AK109" s="34" t="s">
        <v>70</v>
      </c>
      <c r="AL109" s="40" t="s">
        <v>127</v>
      </c>
      <c r="AM109" s="41">
        <f>'Distillation Column 2'!$E$10</f>
        <v>10.640592014164758</v>
      </c>
      <c r="AT109" s="407" t="s">
        <v>80</v>
      </c>
      <c r="AU109" s="389"/>
      <c r="AV109" s="33">
        <f>'Distillation Column 2'!H35</f>
        <v>15.879037313445869</v>
      </c>
      <c r="AZ109" s="34" t="s">
        <v>70</v>
      </c>
      <c r="BA109" s="40" t="s">
        <v>126</v>
      </c>
      <c r="BB109" s="41">
        <f>'Distillation Column 2'!N10</f>
        <v>0.31921776042494265</v>
      </c>
    </row>
    <row r="110" spans="37:54" ht="15.6">
      <c r="AK110" s="34" t="s">
        <v>71</v>
      </c>
      <c r="AL110" s="40" t="s">
        <v>129</v>
      </c>
      <c r="AM110" s="41">
        <f>'Distillation Column 2'!$E$11</f>
        <v>17.913454569300939</v>
      </c>
      <c r="AT110" s="401" t="s">
        <v>66</v>
      </c>
      <c r="AU110" s="391"/>
      <c r="AV110" s="389"/>
      <c r="AZ110" s="34" t="s">
        <v>71</v>
      </c>
      <c r="BA110" s="40" t="s">
        <v>128</v>
      </c>
      <c r="BB110" s="41">
        <f>'Distillation Column 2'!N11</f>
        <v>15.221944240683035</v>
      </c>
    </row>
    <row r="111" spans="37:54" ht="15.6">
      <c r="AK111" s="34" t="s">
        <v>72</v>
      </c>
      <c r="AL111" s="35"/>
      <c r="AM111" s="35"/>
      <c r="AT111" s="34" t="s">
        <v>67</v>
      </c>
      <c r="AU111" s="35"/>
      <c r="AV111" s="35"/>
      <c r="AZ111" s="34" t="s">
        <v>72</v>
      </c>
      <c r="BA111" s="35"/>
      <c r="BB111" s="35"/>
    </row>
    <row r="112" spans="37:54" ht="15.6">
      <c r="AK112" s="408" t="s">
        <v>85</v>
      </c>
      <c r="AL112" s="409"/>
      <c r="AM112" s="410"/>
      <c r="AT112" s="34" t="s">
        <v>68</v>
      </c>
      <c r="AU112" s="35"/>
      <c r="AV112" s="35"/>
      <c r="AZ112" s="408" t="s">
        <v>85</v>
      </c>
      <c r="BA112" s="409"/>
      <c r="BB112" s="410"/>
    </row>
    <row r="113" spans="37:54" ht="15.6">
      <c r="AK113" s="34" t="s">
        <v>67</v>
      </c>
      <c r="AL113" s="35"/>
      <c r="AM113" s="55"/>
      <c r="AT113" s="34" t="s">
        <v>69</v>
      </c>
      <c r="AU113" s="40" t="s">
        <v>130</v>
      </c>
      <c r="AV113" s="41">
        <f>'Distillation Column 2'!H39</f>
        <v>2.8661527310881501</v>
      </c>
      <c r="AZ113" s="34" t="s">
        <v>67</v>
      </c>
      <c r="BA113" s="35"/>
      <c r="BB113" s="55"/>
    </row>
    <row r="114" spans="37:54" ht="15.6">
      <c r="AK114" s="34" t="s">
        <v>68</v>
      </c>
      <c r="AL114" s="35"/>
      <c r="AM114" s="35"/>
      <c r="AT114" s="34" t="s">
        <v>70</v>
      </c>
      <c r="AU114" s="40" t="s">
        <v>131</v>
      </c>
      <c r="AV114" s="41">
        <f>'Distillation Column 2'!H40</f>
        <v>10.321374253739815</v>
      </c>
      <c r="AZ114" s="34" t="s">
        <v>68</v>
      </c>
      <c r="BA114" s="35"/>
      <c r="BB114" s="35"/>
    </row>
    <row r="115" spans="37:54" ht="15.6">
      <c r="AK115" s="34" t="s">
        <v>69</v>
      </c>
      <c r="AL115" s="35"/>
      <c r="AM115" s="41">
        <f>'Distillation Column 2'!$E$16</f>
        <v>9.12200684150513E-2</v>
      </c>
      <c r="AT115" s="34" t="s">
        <v>71</v>
      </c>
      <c r="AU115" s="40" t="s">
        <v>132</v>
      </c>
      <c r="AV115" s="41">
        <f>'Distillation Column 2'!H41</f>
        <v>2.6915103286179036</v>
      </c>
      <c r="AZ115" s="34" t="s">
        <v>69</v>
      </c>
      <c r="BA115" s="35"/>
      <c r="BB115" s="35"/>
    </row>
    <row r="116" spans="37:54" ht="15.6">
      <c r="AK116" s="34" t="s">
        <v>70</v>
      </c>
      <c r="AL116" s="35"/>
      <c r="AM116" s="41">
        <f>'Distillation Column 2'!$E$17</f>
        <v>0.33865450399087799</v>
      </c>
      <c r="AT116" s="34" t="s">
        <v>72</v>
      </c>
      <c r="AU116" s="35"/>
      <c r="AV116" s="35"/>
      <c r="AZ116" s="34" t="s">
        <v>70</v>
      </c>
      <c r="BA116" s="35"/>
      <c r="BB116" s="41">
        <f>'Distillation Column 2'!N17</f>
        <v>2.054014753865796E-2</v>
      </c>
    </row>
    <row r="117" spans="37:54" ht="15.6">
      <c r="AK117" s="34" t="s">
        <v>71</v>
      </c>
      <c r="AL117" s="35"/>
      <c r="AM117" s="41">
        <f>'Distillation Column 2'!$E$18</f>
        <v>0.5701254275940707</v>
      </c>
      <c r="AT117" s="404" t="s">
        <v>85</v>
      </c>
      <c r="AU117" s="405"/>
      <c r="AV117" s="398"/>
      <c r="AZ117" s="34" t="s">
        <v>71</v>
      </c>
      <c r="BA117" s="35"/>
      <c r="BB117" s="41">
        <f>'Distillation Column 2'!N18</f>
        <v>0.97945985246134204</v>
      </c>
    </row>
    <row r="118" spans="37:54" ht="15.6">
      <c r="AK118" s="34" t="s">
        <v>72</v>
      </c>
      <c r="AL118" s="35"/>
      <c r="AM118" s="35"/>
      <c r="AT118" s="34" t="s">
        <v>67</v>
      </c>
      <c r="AU118" s="35"/>
      <c r="AV118" s="55"/>
      <c r="AZ118" s="34" t="s">
        <v>72</v>
      </c>
      <c r="BA118" s="35"/>
      <c r="BB118" s="35"/>
    </row>
    <row r="119" spans="37:54" ht="15.6">
      <c r="AK119" s="406" t="s">
        <v>99</v>
      </c>
      <c r="AL119" s="411"/>
      <c r="AM119" s="50">
        <f>'Distillation Column 2'!$E$20</f>
        <v>0</v>
      </c>
      <c r="AT119" s="34" t="s">
        <v>68</v>
      </c>
      <c r="AU119" s="35"/>
      <c r="AV119" s="35"/>
      <c r="AZ119" s="406" t="s">
        <v>99</v>
      </c>
      <c r="BA119" s="411"/>
      <c r="BB119" s="50">
        <f>'Distillation Column 2'!$N$20</f>
        <v>0</v>
      </c>
    </row>
    <row r="120" spans="37:54" ht="15.6">
      <c r="AK120" s="396" t="s">
        <v>92</v>
      </c>
      <c r="AL120" s="399"/>
      <c r="AM120" s="50">
        <f>'Distillation Column 2'!$E$21</f>
        <v>1</v>
      </c>
      <c r="AT120" s="34" t="s">
        <v>69</v>
      </c>
      <c r="AU120" s="35"/>
      <c r="AV120" s="41">
        <f>'Distillation Column 2'!H46</f>
        <v>0.18049914957131452</v>
      </c>
      <c r="AZ120" s="396" t="s">
        <v>92</v>
      </c>
      <c r="BA120" s="399"/>
      <c r="BB120" s="50">
        <f>'Distillation Column 2'!$N$21</f>
        <v>1</v>
      </c>
    </row>
    <row r="121" spans="37:54" ht="15.6">
      <c r="AK121" s="396" t="s">
        <v>75</v>
      </c>
      <c r="AL121" s="399"/>
      <c r="AM121" s="50">
        <f>'Distillation Column 2'!$E$22</f>
        <v>250</v>
      </c>
      <c r="AT121" s="34" t="s">
        <v>70</v>
      </c>
      <c r="AU121" s="35"/>
      <c r="AV121" s="41">
        <f>'Distillation Column 2'!H47</f>
        <v>0.65</v>
      </c>
      <c r="AZ121" s="396" t="s">
        <v>75</v>
      </c>
      <c r="BA121" s="399"/>
      <c r="BB121" s="50">
        <f>'Distillation Column 2'!$N$22</f>
        <v>335</v>
      </c>
    </row>
    <row r="122" spans="37:54" ht="15.6">
      <c r="AK122" s="396" t="s">
        <v>76</v>
      </c>
      <c r="AL122" s="399"/>
      <c r="AM122" s="50">
        <f>'Distillation Column 2'!$E$23</f>
        <v>1</v>
      </c>
      <c r="AT122" s="34" t="s">
        <v>71</v>
      </c>
      <c r="AU122" s="35"/>
      <c r="AV122" s="41">
        <f>'Distillation Column 2'!H48</f>
        <v>0.16950085042868546</v>
      </c>
      <c r="AZ122" s="396" t="s">
        <v>76</v>
      </c>
      <c r="BA122" s="399"/>
      <c r="BB122" s="50">
        <f>'Distillation Column 2'!$N$23</f>
        <v>1</v>
      </c>
    </row>
    <row r="123" spans="37:54" ht="15.6">
      <c r="AK123" s="400" t="s">
        <v>548</v>
      </c>
      <c r="AL123" s="400"/>
      <c r="AM123" s="216">
        <f>'Distillation Column 2'!E24</f>
        <v>-785407.12633622356</v>
      </c>
      <c r="AT123" s="34" t="s">
        <v>72</v>
      </c>
      <c r="AU123" s="35"/>
      <c r="AV123" s="35"/>
      <c r="AZ123" s="400" t="s">
        <v>548</v>
      </c>
      <c r="BA123" s="400"/>
      <c r="BB123" s="216">
        <f>'Distillation Column 2'!N24</f>
        <v>197749.89720677325</v>
      </c>
    </row>
    <row r="124" spans="37:54" ht="15.6">
      <c r="AT124" s="406" t="s">
        <v>99</v>
      </c>
      <c r="AU124" s="389"/>
      <c r="AV124" s="50">
        <f>'Distillation Column 2'!$H$50</f>
        <v>0</v>
      </c>
    </row>
    <row r="125" spans="37:54" ht="15.6">
      <c r="AT125" s="397" t="s">
        <v>92</v>
      </c>
      <c r="AU125" s="398"/>
      <c r="AV125" s="40">
        <f>'Distillation Column 2'!$H$51</f>
        <v>1</v>
      </c>
    </row>
    <row r="126" spans="37:54" ht="15.6">
      <c r="AT126" s="397" t="s">
        <v>75</v>
      </c>
      <c r="AU126" s="398"/>
      <c r="AV126" s="50">
        <f>'Distillation Column 2'!$H$52</f>
        <v>269</v>
      </c>
    </row>
    <row r="127" spans="37:54" ht="15.6">
      <c r="AT127" s="396" t="s">
        <v>76</v>
      </c>
      <c r="AU127" s="389"/>
      <c r="AV127" s="40">
        <f>'Distillation Column 2'!$H$53</f>
        <v>1</v>
      </c>
    </row>
    <row r="128" spans="37:54" ht="15.6">
      <c r="AT128" s="400" t="s">
        <v>548</v>
      </c>
      <c r="AU128" s="400"/>
      <c r="AV128" s="216">
        <f>'Distillation Column 2'!H54</f>
        <v>-294328.4782612953</v>
      </c>
    </row>
    <row r="129" ht="13.2"/>
    <row r="130" ht="13.2"/>
    <row r="131" ht="13.2"/>
    <row r="132" ht="13.2"/>
    <row r="133" ht="13.2"/>
    <row r="134" ht="13.2"/>
    <row r="135" ht="13.2"/>
  </sheetData>
  <mergeCells count="189">
    <mergeCell ref="E90:F90"/>
    <mergeCell ref="L90:M90"/>
    <mergeCell ref="S64:T64"/>
    <mergeCell ref="S41:T41"/>
    <mergeCell ref="AA41:AB41"/>
    <mergeCell ref="AG30:AH30"/>
    <mergeCell ref="AP31:AQ31"/>
    <mergeCell ref="BA38:BB38"/>
    <mergeCell ref="BA75:BB75"/>
    <mergeCell ref="AT64:AU64"/>
    <mergeCell ref="AM64:AN64"/>
    <mergeCell ref="E70:F70"/>
    <mergeCell ref="E71:F71"/>
    <mergeCell ref="E72:G72"/>
    <mergeCell ref="S60:T60"/>
    <mergeCell ref="S61:T61"/>
    <mergeCell ref="S62:T62"/>
    <mergeCell ref="S63:T63"/>
    <mergeCell ref="AT46:AV46"/>
    <mergeCell ref="AT53:AV53"/>
    <mergeCell ref="L87:M87"/>
    <mergeCell ref="L88:M88"/>
    <mergeCell ref="L86:M86"/>
    <mergeCell ref="L89:M89"/>
    <mergeCell ref="AK123:AL123"/>
    <mergeCell ref="AT128:AU128"/>
    <mergeCell ref="AF93:AG93"/>
    <mergeCell ref="AZ123:BA123"/>
    <mergeCell ref="AK104:AL104"/>
    <mergeCell ref="AK105:AM105"/>
    <mergeCell ref="L70:M70"/>
    <mergeCell ref="L71:M71"/>
    <mergeCell ref="L72:N72"/>
    <mergeCell ref="R95:S95"/>
    <mergeCell ref="AT127:AU127"/>
    <mergeCell ref="AZ121:BA121"/>
    <mergeCell ref="AT117:AV117"/>
    <mergeCell ref="AT124:AU124"/>
    <mergeCell ref="AT125:AU125"/>
    <mergeCell ref="AT126:AU126"/>
    <mergeCell ref="AK112:AM112"/>
    <mergeCell ref="AZ104:BA104"/>
    <mergeCell ref="AZ105:BB105"/>
    <mergeCell ref="AZ112:BB112"/>
    <mergeCell ref="R91:S91"/>
    <mergeCell ref="R92:S92"/>
    <mergeCell ref="R93:S93"/>
    <mergeCell ref="R94:S94"/>
    <mergeCell ref="AZ122:BA122"/>
    <mergeCell ref="AF82:AH82"/>
    <mergeCell ref="AF73:AG73"/>
    <mergeCell ref="AF74:AG74"/>
    <mergeCell ref="AF75:AH75"/>
    <mergeCell ref="AF89:AG89"/>
    <mergeCell ref="AF90:AG90"/>
    <mergeCell ref="AF91:AG91"/>
    <mergeCell ref="AF92:AG92"/>
    <mergeCell ref="AK119:AL119"/>
    <mergeCell ref="AK120:AL120"/>
    <mergeCell ref="AK121:AL121"/>
    <mergeCell ref="AK122:AL122"/>
    <mergeCell ref="AK103:AL103"/>
    <mergeCell ref="AT108:AU108"/>
    <mergeCell ref="AT109:AU109"/>
    <mergeCell ref="AT110:AV110"/>
    <mergeCell ref="AP11:AQ11"/>
    <mergeCell ref="AP12:AQ12"/>
    <mergeCell ref="AP13:AR13"/>
    <mergeCell ref="AP20:AR20"/>
    <mergeCell ref="AP27:AQ27"/>
    <mergeCell ref="AP28:AQ28"/>
    <mergeCell ref="AP29:AQ29"/>
    <mergeCell ref="AP30:AQ30"/>
    <mergeCell ref="BA36:BB36"/>
    <mergeCell ref="BA35:BB35"/>
    <mergeCell ref="BA34:BB34"/>
    <mergeCell ref="BA27:BC27"/>
    <mergeCell ref="BA20:BC20"/>
    <mergeCell ref="BA18:BB18"/>
    <mergeCell ref="BA19:BB19"/>
    <mergeCell ref="AG10:AH10"/>
    <mergeCell ref="AG11:AH11"/>
    <mergeCell ref="AG12:AI12"/>
    <mergeCell ref="AG19:AI19"/>
    <mergeCell ref="AA30:AC30"/>
    <mergeCell ref="AA23:AC23"/>
    <mergeCell ref="AA21:AB21"/>
    <mergeCell ref="AA22:AB22"/>
    <mergeCell ref="AG26:AH26"/>
    <mergeCell ref="AG29:AH29"/>
    <mergeCell ref="L21:M21"/>
    <mergeCell ref="L22:M22"/>
    <mergeCell ref="L23:N23"/>
    <mergeCell ref="AZ119:BA119"/>
    <mergeCell ref="AZ120:BA120"/>
    <mergeCell ref="E21:F21"/>
    <mergeCell ref="E22:F22"/>
    <mergeCell ref="E23:G23"/>
    <mergeCell ref="E30:G30"/>
    <mergeCell ref="S30:U30"/>
    <mergeCell ref="S21:T21"/>
    <mergeCell ref="S22:T22"/>
    <mergeCell ref="S23:U23"/>
    <mergeCell ref="AA38:AB38"/>
    <mergeCell ref="AA39:AB39"/>
    <mergeCell ref="E37:F37"/>
    <mergeCell ref="E40:F40"/>
    <mergeCell ref="L37:M37"/>
    <mergeCell ref="L40:M40"/>
    <mergeCell ref="S37:T37"/>
    <mergeCell ref="S40:T40"/>
    <mergeCell ref="S44:T44"/>
    <mergeCell ref="BA37:BB37"/>
    <mergeCell ref="AT60:AU60"/>
    <mergeCell ref="BH60:BI60"/>
    <mergeCell ref="BH61:BI61"/>
    <mergeCell ref="BH62:BI62"/>
    <mergeCell ref="BP41:BQ41"/>
    <mergeCell ref="BP42:BQ42"/>
    <mergeCell ref="BP43:BQ43"/>
    <mergeCell ref="BP44:BQ44"/>
    <mergeCell ref="BP67:BR67"/>
    <mergeCell ref="L30:N30"/>
    <mergeCell ref="BH45:BI45"/>
    <mergeCell ref="BH46:BJ46"/>
    <mergeCell ref="BH53:BJ53"/>
    <mergeCell ref="AT61:AU61"/>
    <mergeCell ref="AT62:AU62"/>
    <mergeCell ref="AT63:AU63"/>
    <mergeCell ref="BH64:BI64"/>
    <mergeCell ref="BP45:BQ45"/>
    <mergeCell ref="BH44:BI44"/>
    <mergeCell ref="S38:T38"/>
    <mergeCell ref="S39:T39"/>
    <mergeCell ref="S45:T45"/>
    <mergeCell ref="S46:U46"/>
    <mergeCell ref="S53:U53"/>
    <mergeCell ref="BP74:BR74"/>
    <mergeCell ref="BP81:BQ81"/>
    <mergeCell ref="BP82:BQ82"/>
    <mergeCell ref="BP83:BQ83"/>
    <mergeCell ref="BP84:BQ84"/>
    <mergeCell ref="BP65:BQ65"/>
    <mergeCell ref="BP66:BQ66"/>
    <mergeCell ref="AZ103:BA103"/>
    <mergeCell ref="BH63:BI63"/>
    <mergeCell ref="BA71:BB71"/>
    <mergeCell ref="BA72:BB72"/>
    <mergeCell ref="BA64:BC64"/>
    <mergeCell ref="BP85:BQ85"/>
    <mergeCell ref="BP25:BQ25"/>
    <mergeCell ref="BP26:BQ26"/>
    <mergeCell ref="BP27:BR27"/>
    <mergeCell ref="BP34:BR34"/>
    <mergeCell ref="AG27:AH27"/>
    <mergeCell ref="AG28:AH28"/>
    <mergeCell ref="AA37:AB37"/>
    <mergeCell ref="AA40:AB40"/>
    <mergeCell ref="R84:T84"/>
    <mergeCell ref="BA73:BB73"/>
    <mergeCell ref="BA74:BB74"/>
    <mergeCell ref="AM44:AN44"/>
    <mergeCell ref="AM45:AN45"/>
    <mergeCell ref="AM46:AO46"/>
    <mergeCell ref="AM53:AO53"/>
    <mergeCell ref="AM60:AN60"/>
    <mergeCell ref="AM61:AN61"/>
    <mergeCell ref="AM62:AN62"/>
    <mergeCell ref="AM63:AN63"/>
    <mergeCell ref="BA55:BB55"/>
    <mergeCell ref="BA56:BB56"/>
    <mergeCell ref="BA57:BC57"/>
    <mergeCell ref="AT44:AU44"/>
    <mergeCell ref="AT45:AU45"/>
    <mergeCell ref="E89:F89"/>
    <mergeCell ref="E38:F38"/>
    <mergeCell ref="L38:M38"/>
    <mergeCell ref="L39:M39"/>
    <mergeCell ref="E39:F39"/>
    <mergeCell ref="E41:F41"/>
    <mergeCell ref="R75:S75"/>
    <mergeCell ref="R76:S76"/>
    <mergeCell ref="R77:T77"/>
    <mergeCell ref="L41:M41"/>
    <mergeCell ref="E79:G79"/>
    <mergeCell ref="L79:N79"/>
    <mergeCell ref="E86:F86"/>
    <mergeCell ref="E87:F87"/>
    <mergeCell ref="E88:F88"/>
  </mergeCell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7"/>
  <sheetViews>
    <sheetView workbookViewId="0">
      <selection activeCell="D20" sqref="D20"/>
    </sheetView>
  </sheetViews>
  <sheetFormatPr defaultColWidth="12.6640625" defaultRowHeight="15.75" customHeight="1"/>
  <cols>
    <col min="2" max="2" width="14.6640625" customWidth="1"/>
    <col min="3" max="3" width="20" customWidth="1"/>
    <col min="5" max="5" width="21.21875" customWidth="1"/>
    <col min="6" max="6" width="13.77734375" customWidth="1"/>
    <col min="9" max="9" width="9.6640625" customWidth="1"/>
    <col min="10" max="10" width="11.6640625" customWidth="1"/>
    <col min="11" max="11" width="14" customWidth="1"/>
  </cols>
  <sheetData>
    <row r="1" spans="1:15" ht="15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.75" customHeight="1">
      <c r="A3" s="5"/>
      <c r="B3" s="57" t="s">
        <v>133</v>
      </c>
      <c r="C3" s="58"/>
      <c r="D3" s="58"/>
      <c r="E3" s="58"/>
      <c r="F3" s="58"/>
      <c r="G3" s="5"/>
      <c r="H3" s="5"/>
      <c r="I3" s="5"/>
      <c r="J3" s="5"/>
      <c r="K3" s="5"/>
      <c r="L3" s="5"/>
      <c r="M3" s="5"/>
      <c r="N3" s="5"/>
      <c r="O3" s="5"/>
    </row>
    <row r="4" spans="1:15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.75" customHeight="1">
      <c r="A5" s="5"/>
      <c r="B5" s="1">
        <v>1E-3</v>
      </c>
      <c r="C5" s="2" t="s">
        <v>134</v>
      </c>
      <c r="D5" s="59" t="s">
        <v>135</v>
      </c>
      <c r="E5" s="2">
        <v>1</v>
      </c>
      <c r="F5" s="3" t="s">
        <v>136</v>
      </c>
      <c r="G5" s="5"/>
      <c r="H5" s="5"/>
      <c r="I5" s="5"/>
      <c r="J5" s="5"/>
      <c r="K5" s="5"/>
      <c r="L5" s="5"/>
      <c r="M5" s="5"/>
      <c r="N5" s="5"/>
      <c r="O5" s="5"/>
    </row>
    <row r="6" spans="1:15" ht="15.75" customHeight="1">
      <c r="A6" s="5"/>
      <c r="B6" s="4">
        <v>1</v>
      </c>
      <c r="C6" s="60" t="s">
        <v>137</v>
      </c>
      <c r="D6" s="61" t="s">
        <v>135</v>
      </c>
      <c r="E6" s="5">
        <v>44.052999999999997</v>
      </c>
      <c r="F6" s="62" t="s">
        <v>138</v>
      </c>
      <c r="G6" s="5"/>
      <c r="H6" s="5"/>
      <c r="I6" s="5"/>
      <c r="J6" s="5"/>
      <c r="K6" s="5"/>
      <c r="L6" s="5"/>
      <c r="M6" s="5"/>
      <c r="N6" s="5"/>
      <c r="O6" s="5"/>
    </row>
    <row r="7" spans="1:15" ht="15.75" customHeight="1">
      <c r="A7" s="5"/>
      <c r="B7" s="4">
        <v>1</v>
      </c>
      <c r="C7" s="5" t="s">
        <v>139</v>
      </c>
      <c r="D7" s="61" t="s">
        <v>135</v>
      </c>
      <c r="E7" s="5">
        <v>330</v>
      </c>
      <c r="F7" s="6" t="s">
        <v>140</v>
      </c>
      <c r="G7" s="5"/>
      <c r="H7" s="5"/>
      <c r="I7" s="5"/>
      <c r="J7" s="5"/>
      <c r="K7" s="5"/>
      <c r="L7" s="5"/>
      <c r="M7" s="5"/>
      <c r="N7" s="5"/>
      <c r="O7" s="5"/>
    </row>
    <row r="8" spans="1:15" ht="15.75" customHeight="1">
      <c r="A8" s="5"/>
      <c r="B8" s="10">
        <v>1</v>
      </c>
      <c r="C8" s="11" t="s">
        <v>141</v>
      </c>
      <c r="D8" s="63" t="s">
        <v>135</v>
      </c>
      <c r="E8" s="11">
        <v>24</v>
      </c>
      <c r="F8" s="12" t="s">
        <v>142</v>
      </c>
      <c r="G8" s="5"/>
      <c r="H8" s="5"/>
      <c r="I8" s="64"/>
      <c r="J8" s="5"/>
      <c r="K8" s="5"/>
      <c r="L8" s="5"/>
      <c r="M8" s="5"/>
      <c r="N8" s="5"/>
      <c r="O8" s="5"/>
    </row>
    <row r="9" spans="1:15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15.75" customHeight="1">
      <c r="A12" s="5"/>
      <c r="B12" s="58" t="s">
        <v>143</v>
      </c>
      <c r="C12" s="58"/>
      <c r="D12" s="58"/>
      <c r="E12" s="58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15.75" customHeight="1">
      <c r="A14" s="5"/>
      <c r="B14" s="11">
        <v>100000</v>
      </c>
      <c r="C14" s="65" t="s">
        <v>144</v>
      </c>
      <c r="D14" s="11">
        <v>1</v>
      </c>
      <c r="E14" s="65" t="s">
        <v>145</v>
      </c>
      <c r="F14" s="11">
        <v>1</v>
      </c>
      <c r="G14" s="65" t="s">
        <v>146</v>
      </c>
      <c r="H14" s="11">
        <v>1</v>
      </c>
      <c r="I14" s="12" t="s">
        <v>139</v>
      </c>
      <c r="J14" s="11">
        <v>1</v>
      </c>
      <c r="K14" s="66" t="s">
        <v>141</v>
      </c>
      <c r="L14" s="416" t="s">
        <v>147</v>
      </c>
      <c r="M14" s="417">
        <f>B14/(D15*F15*H15*J15)</f>
        <v>286.61527310881502</v>
      </c>
      <c r="N14" s="418" t="s">
        <v>148</v>
      </c>
      <c r="O14" s="5"/>
    </row>
    <row r="15" spans="1:15" ht="15.75" customHeight="1">
      <c r="A15" s="5"/>
      <c r="B15" s="419" t="s">
        <v>149</v>
      </c>
      <c r="C15" s="378"/>
      <c r="D15" s="5">
        <v>1E-3</v>
      </c>
      <c r="E15" s="67" t="s">
        <v>150</v>
      </c>
      <c r="F15" s="5">
        <v>44.052999999999997</v>
      </c>
      <c r="G15" s="68" t="s">
        <v>145</v>
      </c>
      <c r="H15" s="5">
        <v>330</v>
      </c>
      <c r="I15" s="6" t="s">
        <v>140</v>
      </c>
      <c r="J15" s="5">
        <v>24</v>
      </c>
      <c r="K15" s="64" t="s">
        <v>142</v>
      </c>
      <c r="L15" s="376"/>
      <c r="M15" s="376"/>
      <c r="N15" s="376"/>
      <c r="O15" s="5"/>
    </row>
    <row r="16" spans="1:15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</sheetData>
  <mergeCells count="4">
    <mergeCell ref="L14:L15"/>
    <mergeCell ref="M14:M15"/>
    <mergeCell ref="N14:N15"/>
    <mergeCell ref="B15:C1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O89"/>
  <sheetViews>
    <sheetView zoomScale="95" zoomScaleNormal="95" workbookViewId="0">
      <selection activeCell="K47" sqref="K47"/>
    </sheetView>
  </sheetViews>
  <sheetFormatPr defaultColWidth="12.6640625" defaultRowHeight="15.75" customHeight="1"/>
  <cols>
    <col min="2" max="2" width="22.88671875" customWidth="1"/>
    <col min="3" max="3" width="29.109375" customWidth="1"/>
    <col min="4" max="4" width="17.6640625" customWidth="1"/>
    <col min="5" max="5" width="21.88671875" customWidth="1"/>
    <col min="6" max="6" width="25.33203125" customWidth="1"/>
    <col min="7" max="7" width="25.44140625" customWidth="1"/>
    <col min="8" max="8" width="27.5546875" customWidth="1"/>
    <col min="9" max="9" width="25.88671875" customWidth="1"/>
    <col min="10" max="10" width="23.6640625" customWidth="1"/>
    <col min="11" max="11" width="22.33203125" customWidth="1"/>
    <col min="12" max="12" width="30.88671875" customWidth="1"/>
    <col min="13" max="13" width="60.109375" customWidth="1"/>
    <col min="14" max="14" width="22.77734375" customWidth="1"/>
    <col min="15" max="15" width="23.6640625" customWidth="1"/>
  </cols>
  <sheetData>
    <row r="1" spans="2:15" ht="15.75" customHeight="1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2:15" ht="15.75" customHeight="1">
      <c r="I2" s="423" t="s">
        <v>594</v>
      </c>
      <c r="J2" s="376"/>
      <c r="K2" s="376"/>
      <c r="L2" s="376"/>
      <c r="M2" s="376"/>
      <c r="N2" s="5"/>
    </row>
    <row r="3" spans="2:15" ht="15.75" customHeight="1">
      <c r="I3" s="424" t="s">
        <v>596</v>
      </c>
      <c r="J3" s="376"/>
      <c r="K3" s="376"/>
      <c r="L3" s="376"/>
      <c r="M3" s="376"/>
      <c r="N3" s="5"/>
      <c r="O3" s="5"/>
    </row>
    <row r="4" spans="2:15" ht="15.75" customHeight="1">
      <c r="I4" s="425" t="s">
        <v>599</v>
      </c>
      <c r="J4" s="376"/>
      <c r="K4" s="376"/>
      <c r="L4" s="376"/>
      <c r="M4" s="376"/>
      <c r="N4" s="5"/>
      <c r="O4" s="5"/>
    </row>
    <row r="5" spans="2:15" ht="15.75" customHeight="1">
      <c r="I5" s="422" t="s">
        <v>600</v>
      </c>
      <c r="J5" s="376"/>
      <c r="K5" s="376"/>
      <c r="L5" s="376"/>
      <c r="M5" s="376"/>
      <c r="N5" s="5"/>
      <c r="O5" s="5"/>
    </row>
    <row r="6" spans="2:15" ht="15.75" customHeight="1">
      <c r="D6" s="5"/>
      <c r="E6" s="5"/>
      <c r="F6" s="5"/>
      <c r="G6" s="5"/>
      <c r="H6" s="5"/>
      <c r="I6" s="422" t="s">
        <v>601</v>
      </c>
      <c r="J6" s="376"/>
      <c r="K6" s="376"/>
      <c r="L6" s="376"/>
      <c r="M6" s="376"/>
      <c r="N6" s="5"/>
      <c r="O6" s="5"/>
    </row>
    <row r="7" spans="2:15" ht="15.75" customHeight="1">
      <c r="B7" s="5" t="s">
        <v>151</v>
      </c>
      <c r="C7" s="5"/>
      <c r="D7" s="5"/>
      <c r="E7" s="5"/>
      <c r="F7" s="5"/>
      <c r="G7" s="5"/>
      <c r="H7" s="5"/>
      <c r="I7" s="422" t="s">
        <v>602</v>
      </c>
      <c r="J7" s="376"/>
      <c r="K7" s="376"/>
      <c r="L7" s="376"/>
      <c r="M7" s="376"/>
      <c r="N7" s="5"/>
      <c r="O7" s="5"/>
    </row>
    <row r="8" spans="2:15" ht="15.75" customHeight="1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9"/>
      <c r="O8" s="5"/>
    </row>
    <row r="9" spans="2:15" ht="15.75" customHeight="1">
      <c r="B9" s="15" t="s">
        <v>152</v>
      </c>
      <c r="C9" s="15" t="s">
        <v>153</v>
      </c>
      <c r="D9" s="15" t="s">
        <v>154</v>
      </c>
      <c r="E9" s="15" t="s">
        <v>155</v>
      </c>
      <c r="F9" s="15" t="s">
        <v>156</v>
      </c>
      <c r="G9" s="15" t="s">
        <v>157</v>
      </c>
      <c r="H9" s="15" t="s">
        <v>158</v>
      </c>
      <c r="I9" s="15" t="s">
        <v>159</v>
      </c>
      <c r="J9" s="15" t="s">
        <v>160</v>
      </c>
      <c r="K9" s="15" t="s">
        <v>161</v>
      </c>
      <c r="L9" s="15" t="s">
        <v>162</v>
      </c>
      <c r="M9" s="15" t="s">
        <v>163</v>
      </c>
      <c r="N9" s="9"/>
      <c r="O9" s="5"/>
    </row>
    <row r="10" spans="2:15" ht="15.75" customHeight="1">
      <c r="B10" s="20" t="s">
        <v>164</v>
      </c>
      <c r="C10" s="20" t="s">
        <v>543</v>
      </c>
      <c r="D10" s="20" t="s">
        <v>67</v>
      </c>
      <c r="E10" s="20">
        <v>17.03</v>
      </c>
      <c r="F10" s="20">
        <v>195.35</v>
      </c>
      <c r="G10" s="20">
        <v>5.6529999999999996</v>
      </c>
      <c r="H10" s="20">
        <v>239.72</v>
      </c>
      <c r="I10" s="20">
        <v>23.350999999999999</v>
      </c>
      <c r="J10" s="20">
        <v>405.5</v>
      </c>
      <c r="K10" s="20">
        <v>112.774725</v>
      </c>
      <c r="L10" s="20">
        <v>-46.19</v>
      </c>
      <c r="M10" s="20" t="s">
        <v>165</v>
      </c>
      <c r="N10" s="5"/>
      <c r="O10" s="5"/>
    </row>
    <row r="11" spans="2:15" ht="15.75" customHeight="1">
      <c r="B11" s="20" t="s">
        <v>166</v>
      </c>
      <c r="C11" s="20" t="s">
        <v>167</v>
      </c>
      <c r="D11" s="20" t="s">
        <v>68</v>
      </c>
      <c r="E11" s="20">
        <v>44.052999999999997</v>
      </c>
      <c r="F11" s="20">
        <v>161.44999999999999</v>
      </c>
      <c r="G11" s="20">
        <v>5.1710000000000003</v>
      </c>
      <c r="H11" s="20">
        <v>283.85000000000002</v>
      </c>
      <c r="I11" s="426" t="s">
        <v>168</v>
      </c>
      <c r="J11" s="20">
        <v>469.15</v>
      </c>
      <c r="K11" s="20">
        <v>71.94</v>
      </c>
      <c r="L11" s="20">
        <v>-52.63</v>
      </c>
      <c r="M11" s="20" t="s">
        <v>169</v>
      </c>
      <c r="N11" s="5"/>
      <c r="O11" s="5"/>
    </row>
    <row r="12" spans="2:15" ht="15.75" customHeight="1">
      <c r="B12" s="20" t="s">
        <v>170</v>
      </c>
      <c r="C12" s="20" t="s">
        <v>544</v>
      </c>
      <c r="D12" s="20" t="s">
        <v>69</v>
      </c>
      <c r="E12" s="20">
        <v>61.084000000000003</v>
      </c>
      <c r="F12" s="20">
        <v>283.64999999999998</v>
      </c>
      <c r="G12" s="20">
        <v>10.220000000000001</v>
      </c>
      <c r="H12" s="49">
        <v>444.15</v>
      </c>
      <c r="I12" s="393"/>
      <c r="J12" s="50">
        <v>638</v>
      </c>
      <c r="K12" s="20">
        <v>68.7</v>
      </c>
      <c r="L12" s="20">
        <v>-203.05</v>
      </c>
      <c r="M12" s="20" t="s">
        <v>171</v>
      </c>
      <c r="N12" s="5"/>
    </row>
    <row r="13" spans="2:15" ht="15.75" customHeight="1">
      <c r="B13" s="20" t="s">
        <v>172</v>
      </c>
      <c r="C13" s="20" t="s">
        <v>545</v>
      </c>
      <c r="D13" s="20" t="s">
        <v>70</v>
      </c>
      <c r="E13" s="20">
        <v>105.1356</v>
      </c>
      <c r="F13" s="20">
        <v>301.14999999999998</v>
      </c>
      <c r="G13" s="20">
        <v>19.39</v>
      </c>
      <c r="H13" s="49">
        <v>542.04</v>
      </c>
      <c r="I13" s="393"/>
      <c r="J13" s="50">
        <v>715</v>
      </c>
      <c r="K13" s="20">
        <v>32.700000000000003</v>
      </c>
      <c r="L13" s="72">
        <v>-397.1</v>
      </c>
      <c r="M13" s="20" t="s">
        <v>173</v>
      </c>
      <c r="N13" s="5"/>
      <c r="O13" s="5"/>
    </row>
    <row r="14" spans="2:15" ht="15.75" customHeight="1">
      <c r="B14" s="20" t="s">
        <v>174</v>
      </c>
      <c r="C14" s="9" t="s">
        <v>546</v>
      </c>
      <c r="D14" s="20" t="s">
        <v>71</v>
      </c>
      <c r="E14" s="20">
        <v>149.19</v>
      </c>
      <c r="F14" s="20">
        <v>294.35000000000002</v>
      </c>
      <c r="G14" s="20">
        <v>26.58</v>
      </c>
      <c r="H14" s="49">
        <f>335.4+273.15</f>
        <v>608.54999999999995</v>
      </c>
      <c r="I14" s="393"/>
      <c r="J14" s="50">
        <v>787</v>
      </c>
      <c r="K14" s="20">
        <v>24.5</v>
      </c>
      <c r="L14" s="72">
        <v>-558.29999999999995</v>
      </c>
      <c r="M14" s="20" t="s">
        <v>175</v>
      </c>
      <c r="N14" s="5"/>
      <c r="O14" s="5"/>
    </row>
    <row r="15" spans="2:15" ht="15.75" customHeight="1">
      <c r="B15" s="20" t="s">
        <v>176</v>
      </c>
      <c r="C15" s="20" t="s">
        <v>547</v>
      </c>
      <c r="D15" s="20" t="s">
        <v>72</v>
      </c>
      <c r="E15" s="20">
        <v>62.07</v>
      </c>
      <c r="F15" s="20">
        <v>260.14999999999998</v>
      </c>
      <c r="G15" s="20">
        <v>9.9580000000000002</v>
      </c>
      <c r="H15" s="272">
        <v>470.35</v>
      </c>
      <c r="I15" s="393"/>
      <c r="J15" s="313">
        <v>744.6</v>
      </c>
      <c r="K15" s="272">
        <v>46</v>
      </c>
      <c r="L15" s="314">
        <v>-387.1</v>
      </c>
      <c r="M15" s="315" t="s">
        <v>542</v>
      </c>
      <c r="N15" s="5"/>
      <c r="O15" s="5"/>
    </row>
    <row r="16" spans="2:15" ht="15.75" customHeight="1">
      <c r="B16" s="258" t="s">
        <v>779</v>
      </c>
      <c r="C16" s="258" t="s">
        <v>780</v>
      </c>
      <c r="D16" s="310" t="s">
        <v>805</v>
      </c>
      <c r="E16" s="310">
        <f>166</f>
        <v>166</v>
      </c>
      <c r="F16" s="311" t="s">
        <v>193</v>
      </c>
      <c r="G16" s="312" t="s">
        <v>193</v>
      </c>
      <c r="H16" s="275">
        <f>530.15</f>
        <v>530.15</v>
      </c>
      <c r="I16" s="316">
        <f>294.2995</f>
        <v>294.29950000000002</v>
      </c>
      <c r="J16" s="317" t="s">
        <v>193</v>
      </c>
      <c r="K16" s="317" t="s">
        <v>193</v>
      </c>
      <c r="L16" s="317" t="s">
        <v>193</v>
      </c>
      <c r="M16" s="317" t="s">
        <v>193</v>
      </c>
      <c r="N16" s="5"/>
      <c r="O16" s="5"/>
    </row>
    <row r="17" spans="2:15" ht="15.75" customHeight="1">
      <c r="B17" s="5"/>
      <c r="C17" s="5"/>
      <c r="D17" s="5"/>
      <c r="E17" s="5"/>
      <c r="F17" s="5"/>
      <c r="G17" s="5"/>
      <c r="H17" s="5"/>
      <c r="I17" s="9" t="s">
        <v>807</v>
      </c>
      <c r="J17" s="5"/>
      <c r="K17" s="5"/>
      <c r="L17" s="5"/>
      <c r="M17" s="5"/>
      <c r="N17" s="5"/>
      <c r="O17" s="5"/>
    </row>
    <row r="18" spans="2:15" ht="31.2" customHeight="1">
      <c r="B18" s="416" t="s">
        <v>177</v>
      </c>
      <c r="C18" s="416"/>
      <c r="D18" s="5"/>
      <c r="E18" s="5"/>
      <c r="F18" s="169" t="s">
        <v>549</v>
      </c>
      <c r="G18" s="167"/>
      <c r="H18" s="5"/>
      <c r="I18" s="69" t="s">
        <v>595</v>
      </c>
      <c r="J18" s="70"/>
      <c r="K18" s="70"/>
      <c r="L18" s="70"/>
      <c r="M18" s="70"/>
      <c r="N18" s="5"/>
      <c r="O18" s="5"/>
    </row>
    <row r="19" spans="2:15" ht="15.75" customHeigh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5" ht="15.75" customHeight="1">
      <c r="B20" s="15" t="s">
        <v>178</v>
      </c>
      <c r="C20" s="15" t="s">
        <v>179</v>
      </c>
      <c r="D20" s="15" t="s">
        <v>160</v>
      </c>
      <c r="E20" s="15" t="s">
        <v>180</v>
      </c>
      <c r="F20" s="15" t="s">
        <v>181</v>
      </c>
      <c r="G20" s="15" t="s">
        <v>182</v>
      </c>
      <c r="H20" s="15" t="s">
        <v>158</v>
      </c>
      <c r="I20" s="15" t="s">
        <v>183</v>
      </c>
      <c r="J20" s="5"/>
      <c r="K20" s="5"/>
      <c r="L20" s="5"/>
      <c r="M20" s="5"/>
      <c r="N20" s="5"/>
      <c r="O20" s="5"/>
    </row>
    <row r="21" spans="2:15" ht="15.75" customHeight="1">
      <c r="B21" s="20" t="s">
        <v>166</v>
      </c>
      <c r="C21" s="20">
        <v>36.473999999999997</v>
      </c>
      <c r="D21" s="20">
        <v>469.15</v>
      </c>
      <c r="E21" s="20">
        <v>0.377</v>
      </c>
      <c r="F21" s="20">
        <v>160.71</v>
      </c>
      <c r="G21" s="20">
        <v>469.15</v>
      </c>
      <c r="H21" s="20">
        <v>283.85000000000002</v>
      </c>
      <c r="I21" s="72">
        <v>25.7</v>
      </c>
      <c r="J21" s="5"/>
      <c r="K21" s="5"/>
      <c r="L21" s="5"/>
      <c r="M21" s="5"/>
      <c r="N21" s="5"/>
      <c r="O21" s="5"/>
    </row>
    <row r="22" spans="2:15" ht="15.75" customHeight="1">
      <c r="B22" s="20" t="s">
        <v>170</v>
      </c>
      <c r="C22" s="20">
        <v>74.024000000000001</v>
      </c>
      <c r="D22" s="20">
        <v>638</v>
      </c>
      <c r="E22" s="20">
        <v>0.30399999999999999</v>
      </c>
      <c r="F22" s="20">
        <v>283.64999999999998</v>
      </c>
      <c r="G22" s="20">
        <v>638</v>
      </c>
      <c r="H22" s="20">
        <v>444.15</v>
      </c>
      <c r="I22" s="20">
        <v>51.53</v>
      </c>
      <c r="J22" s="5"/>
      <c r="K22" s="5"/>
      <c r="L22" s="5"/>
      <c r="M22" s="5"/>
      <c r="N22" s="5"/>
      <c r="O22" s="5"/>
    </row>
    <row r="23" spans="2:15" ht="15.75" customHeight="1">
      <c r="B23" s="20" t="s">
        <v>172</v>
      </c>
      <c r="C23" s="20">
        <v>103.4</v>
      </c>
      <c r="D23" s="20">
        <v>715</v>
      </c>
      <c r="E23" s="20">
        <v>0.33300000000000002</v>
      </c>
      <c r="F23" s="20">
        <v>301.14999999999998</v>
      </c>
      <c r="G23" s="20">
        <v>715</v>
      </c>
      <c r="H23" s="20">
        <v>542.04</v>
      </c>
      <c r="I23" s="20">
        <v>64.459999999999994</v>
      </c>
      <c r="J23" s="5"/>
      <c r="K23" s="5"/>
      <c r="L23" s="5"/>
      <c r="M23" s="5"/>
      <c r="N23" s="71"/>
      <c r="O23" s="5"/>
    </row>
    <row r="24" spans="2:15" ht="15.75" customHeight="1">
      <c r="B24" s="20" t="s">
        <v>174</v>
      </c>
      <c r="C24" s="20">
        <v>120.6</v>
      </c>
      <c r="D24" s="20">
        <v>787</v>
      </c>
      <c r="E24" s="20">
        <v>0.35399999999999998</v>
      </c>
      <c r="F24" s="20">
        <v>294.35000000000002</v>
      </c>
      <c r="G24" s="20">
        <v>787</v>
      </c>
      <c r="H24" s="49">
        <f>335.4+273.15</f>
        <v>608.54999999999995</v>
      </c>
      <c r="I24" s="20">
        <v>70.680000000000007</v>
      </c>
      <c r="J24" s="5"/>
      <c r="K24" s="5"/>
      <c r="L24" s="5"/>
      <c r="M24" s="5"/>
      <c r="N24" s="5"/>
      <c r="O24" s="5"/>
    </row>
    <row r="25" spans="2:15" ht="15.6">
      <c r="B25" s="20" t="s">
        <v>176</v>
      </c>
      <c r="C25" s="20">
        <v>88.2</v>
      </c>
      <c r="D25" s="20">
        <v>645</v>
      </c>
      <c r="E25" s="20">
        <v>0.39700000000000002</v>
      </c>
      <c r="F25" s="20">
        <v>260.14999999999998</v>
      </c>
      <c r="G25" s="20">
        <v>645</v>
      </c>
      <c r="H25" s="20">
        <v>470.35</v>
      </c>
      <c r="I25" s="72">
        <v>56.9</v>
      </c>
      <c r="J25" s="5"/>
      <c r="K25" s="5"/>
      <c r="L25" s="5"/>
      <c r="M25" s="5"/>
      <c r="N25" s="5"/>
      <c r="O25" s="5"/>
    </row>
    <row r="26" spans="2:15" ht="15.6">
      <c r="B26" s="9"/>
      <c r="C26" s="9"/>
      <c r="D26" s="9"/>
      <c r="E26" s="9"/>
      <c r="F26" s="9"/>
      <c r="G26" s="9"/>
      <c r="H26" s="9"/>
      <c r="I26" s="9"/>
      <c r="J26" s="5"/>
      <c r="K26" s="5"/>
      <c r="L26" s="5"/>
      <c r="M26" s="5"/>
      <c r="N26" s="5"/>
      <c r="O26" s="5"/>
    </row>
    <row r="27" spans="2:15" ht="15.6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2:15" ht="30" customHeight="1">
      <c r="B28" s="416" t="s">
        <v>571</v>
      </c>
      <c r="C28" s="416"/>
      <c r="D28" s="5"/>
      <c r="E28" s="168" t="s">
        <v>550</v>
      </c>
      <c r="F28" s="167"/>
      <c r="G28" s="167"/>
      <c r="H28" s="171"/>
      <c r="I28" s="69" t="s">
        <v>597</v>
      </c>
      <c r="J28" s="70"/>
      <c r="K28" s="70"/>
      <c r="L28" s="70"/>
      <c r="M28" s="70"/>
      <c r="N28" s="5"/>
      <c r="O28" s="5"/>
    </row>
    <row r="29" spans="2:15" ht="15.6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2:15" ht="17.399999999999999" customHeight="1">
      <c r="B30" s="15" t="s">
        <v>152</v>
      </c>
      <c r="C30" s="197" t="s">
        <v>179</v>
      </c>
      <c r="D30" s="197" t="s">
        <v>184</v>
      </c>
      <c r="E30" s="197" t="s">
        <v>185</v>
      </c>
      <c r="F30" s="197" t="s">
        <v>188</v>
      </c>
      <c r="G30" s="197" t="s">
        <v>189</v>
      </c>
      <c r="H30" s="197" t="s">
        <v>781</v>
      </c>
      <c r="I30" s="15" t="s">
        <v>181</v>
      </c>
      <c r="J30" s="15" t="s">
        <v>182</v>
      </c>
      <c r="K30" s="5"/>
      <c r="L30" s="5"/>
      <c r="M30" s="5"/>
      <c r="N30" s="5"/>
      <c r="O30" s="5"/>
    </row>
    <row r="31" spans="2:15" ht="15.6">
      <c r="B31" s="49" t="s">
        <v>164</v>
      </c>
      <c r="C31" s="200">
        <v>33.573</v>
      </c>
      <c r="D31" s="201">
        <v>-1.2581E-2</v>
      </c>
      <c r="E31" s="201">
        <v>8.8906000000000006E-5</v>
      </c>
      <c r="F31" s="201">
        <v>-7.1783000000000002E-8</v>
      </c>
      <c r="G31" s="261">
        <v>1.8569000000000001E-11</v>
      </c>
      <c r="H31" s="257" t="s">
        <v>193</v>
      </c>
      <c r="I31" s="50">
        <v>100</v>
      </c>
      <c r="J31" s="20">
        <v>1500</v>
      </c>
      <c r="K31" s="5"/>
      <c r="L31" s="5"/>
      <c r="M31" s="5"/>
      <c r="N31" s="5"/>
      <c r="O31" s="5"/>
    </row>
    <row r="32" spans="2:15" ht="15.6">
      <c r="B32" s="20" t="s">
        <v>166</v>
      </c>
      <c r="C32" s="198">
        <v>30.827000000000002</v>
      </c>
      <c r="D32" s="199">
        <f>-0.0076041</f>
        <v>-7.6040999999999999E-3</v>
      </c>
      <c r="E32" s="199">
        <f>0.00032347</f>
        <v>3.2347000000000002E-4</v>
      </c>
      <c r="F32" s="199">
        <f>-0.00000032747</f>
        <v>-3.2747000000000001E-7</v>
      </c>
      <c r="G32" s="262">
        <f>0.000000000097271</f>
        <v>9.7270999999999999E-11</v>
      </c>
      <c r="H32" s="257" t="s">
        <v>193</v>
      </c>
      <c r="I32" s="50">
        <v>50</v>
      </c>
      <c r="J32" s="20">
        <v>1500</v>
      </c>
      <c r="K32" s="5"/>
      <c r="L32" s="5"/>
      <c r="M32" s="5"/>
      <c r="N32" s="5"/>
      <c r="O32" s="5"/>
    </row>
    <row r="33" spans="2:15" ht="15.6">
      <c r="B33" s="20" t="s">
        <v>190</v>
      </c>
      <c r="C33" s="75">
        <v>-0.55500000000000005</v>
      </c>
      <c r="D33" s="74">
        <v>0.37003000000000003</v>
      </c>
      <c r="E33" s="74">
        <v>-3.1975999999999999E-4</v>
      </c>
      <c r="F33" s="74">
        <v>1.5834E-7</v>
      </c>
      <c r="G33" s="263">
        <v>-3.2343999999999997E-11</v>
      </c>
      <c r="H33" s="257" t="s">
        <v>193</v>
      </c>
      <c r="I33" s="50">
        <v>298</v>
      </c>
      <c r="J33" s="20">
        <v>1500</v>
      </c>
      <c r="K33" s="5"/>
      <c r="L33" s="5"/>
      <c r="M33" s="5"/>
      <c r="N33" s="5"/>
      <c r="O33" s="5"/>
    </row>
    <row r="34" spans="2:15" ht="15.6">
      <c r="B34" s="20" t="s">
        <v>172</v>
      </c>
      <c r="C34" s="75">
        <v>-5.2640000000000002</v>
      </c>
      <c r="D34" s="74">
        <v>0.61929000000000001</v>
      </c>
      <c r="E34" s="74">
        <v>-4.9545000000000004E-4</v>
      </c>
      <c r="F34" s="74">
        <v>2.1789E-7</v>
      </c>
      <c r="G34" s="263">
        <v>-3.8986999999999999E-11</v>
      </c>
      <c r="H34" s="257" t="s">
        <v>193</v>
      </c>
      <c r="I34" s="50">
        <v>298</v>
      </c>
      <c r="J34" s="20">
        <v>1500</v>
      </c>
      <c r="K34" s="5"/>
      <c r="L34" s="5"/>
      <c r="M34" s="5"/>
      <c r="N34" s="5"/>
      <c r="O34" s="5"/>
    </row>
    <row r="35" spans="2:15" ht="15.6">
      <c r="B35" s="20" t="s">
        <v>174</v>
      </c>
      <c r="C35" s="75">
        <v>37.729999999999997</v>
      </c>
      <c r="D35" s="74">
        <v>0.49154999999999999</v>
      </c>
      <c r="E35" s="74">
        <v>3.5952E-4</v>
      </c>
      <c r="F35" s="74">
        <v>-8.2287000000000001E-7</v>
      </c>
      <c r="G35" s="263">
        <v>3.5374000000000001E-10</v>
      </c>
      <c r="H35" s="257" t="s">
        <v>193</v>
      </c>
      <c r="I35" s="50">
        <v>298</v>
      </c>
      <c r="J35" s="20">
        <v>1200</v>
      </c>
      <c r="K35" s="5"/>
      <c r="L35" s="5"/>
      <c r="M35" s="5"/>
      <c r="N35" s="5"/>
      <c r="O35" s="5"/>
    </row>
    <row r="36" spans="2:15" ht="15.6">
      <c r="B36" s="20" t="s">
        <v>176</v>
      </c>
      <c r="C36" s="75">
        <v>48.218000000000004</v>
      </c>
      <c r="D36" s="74">
        <v>0.19073000000000001</v>
      </c>
      <c r="E36" s="74">
        <v>-6.6117000000000004E-5</v>
      </c>
      <c r="F36" s="74">
        <v>-1.8833999999999998E-8</v>
      </c>
      <c r="G36" s="263">
        <v>1.2555000000000001E-11</v>
      </c>
      <c r="H36" s="257" t="s">
        <v>193</v>
      </c>
      <c r="I36" s="50">
        <v>200</v>
      </c>
      <c r="J36" s="20">
        <v>1500</v>
      </c>
      <c r="K36" s="5"/>
      <c r="L36" s="5"/>
      <c r="M36" s="5"/>
      <c r="N36" s="71"/>
      <c r="O36" s="5"/>
    </row>
    <row r="37" spans="2:15" ht="15.6">
      <c r="B37" s="258" t="s">
        <v>806</v>
      </c>
      <c r="C37" s="260">
        <f>-5.426*(10^3)</f>
        <v>-5426</v>
      </c>
      <c r="D37" s="260">
        <f>62.48</f>
        <v>62.48</v>
      </c>
      <c r="E37" s="260">
        <f>-0.2532</f>
        <v>-0.25319999999999998</v>
      </c>
      <c r="F37" s="260">
        <f>5.432*(10^-4)</f>
        <v>5.4320000000000008E-4</v>
      </c>
      <c r="G37" s="260">
        <f>-5.842*(10^-7)</f>
        <v>-5.8419999999999995E-7</v>
      </c>
      <c r="H37" s="264">
        <f>2.508*(10^-10)</f>
        <v>2.508E-10</v>
      </c>
      <c r="I37" s="544" t="s">
        <v>193</v>
      </c>
      <c r="J37" s="545" t="s">
        <v>193</v>
      </c>
      <c r="K37" s="5"/>
      <c r="L37" s="5"/>
      <c r="M37" s="5"/>
      <c r="N37" s="71"/>
      <c r="O37" s="5"/>
    </row>
    <row r="38" spans="2:15" ht="15.6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2:15" ht="15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2:15" ht="28.2" customHeight="1">
      <c r="B40" s="416" t="s">
        <v>572</v>
      </c>
      <c r="C40" s="416"/>
      <c r="D40" s="5"/>
      <c r="E40" s="168" t="s">
        <v>550</v>
      </c>
      <c r="F40" s="170"/>
      <c r="G40" s="170"/>
      <c r="H40" s="5"/>
      <c r="I40" s="69" t="s">
        <v>598</v>
      </c>
      <c r="J40" s="70"/>
      <c r="K40" s="70"/>
      <c r="L40" s="70"/>
      <c r="M40" s="70"/>
      <c r="N40" s="5"/>
      <c r="O40" s="5"/>
    </row>
    <row r="41" spans="2:15" ht="15.6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2:15" ht="18" customHeight="1">
      <c r="B42" s="15" t="s">
        <v>152</v>
      </c>
      <c r="C42" s="15" t="s">
        <v>179</v>
      </c>
      <c r="D42" s="15" t="s">
        <v>184</v>
      </c>
      <c r="E42" s="15" t="s">
        <v>185</v>
      </c>
      <c r="F42" s="15" t="s">
        <v>191</v>
      </c>
      <c r="G42" s="15" t="s">
        <v>186</v>
      </c>
      <c r="H42" s="15" t="s">
        <v>187</v>
      </c>
      <c r="I42" s="15" t="s">
        <v>192</v>
      </c>
      <c r="J42" s="5"/>
      <c r="K42" s="5"/>
      <c r="L42" s="5"/>
      <c r="M42" s="5"/>
      <c r="N42" s="5"/>
      <c r="O42" s="5"/>
    </row>
    <row r="43" spans="2:15" ht="15.6">
      <c r="B43" s="73" t="s">
        <v>164</v>
      </c>
      <c r="C43" s="355">
        <v>-182.15700000000001</v>
      </c>
      <c r="D43" s="76">
        <v>3.3618000000000001</v>
      </c>
      <c r="E43" s="76">
        <v>-1.4397999999999999E-2</v>
      </c>
      <c r="F43" s="76">
        <v>2.0370999999999999E-5</v>
      </c>
      <c r="G43" s="77">
        <v>195</v>
      </c>
      <c r="H43" s="77">
        <v>385</v>
      </c>
      <c r="I43" s="78">
        <v>80.16</v>
      </c>
      <c r="J43" s="5"/>
      <c r="K43" s="5"/>
      <c r="L43" s="5"/>
      <c r="M43" s="5"/>
      <c r="N43" s="5"/>
      <c r="O43" s="5"/>
    </row>
    <row r="44" spans="2:15" ht="15.6" customHeight="1">
      <c r="B44" s="20" t="s">
        <v>166</v>
      </c>
      <c r="C44" s="72">
        <v>35.72</v>
      </c>
      <c r="D44" s="74">
        <v>0.42908000000000002</v>
      </c>
      <c r="E44" s="74">
        <v>-1.5472999999999999E-3</v>
      </c>
      <c r="F44" s="74">
        <v>2.407E-6</v>
      </c>
      <c r="G44" s="20">
        <v>162</v>
      </c>
      <c r="H44" s="20">
        <v>422</v>
      </c>
      <c r="I44" s="20">
        <v>89.9</v>
      </c>
      <c r="J44" s="5"/>
      <c r="K44" s="5"/>
      <c r="L44" s="5"/>
      <c r="M44" s="5"/>
      <c r="N44" s="5"/>
      <c r="O44" s="5"/>
    </row>
    <row r="45" spans="2:15" ht="15.6">
      <c r="B45" s="20" t="s">
        <v>170</v>
      </c>
      <c r="C45" s="20">
        <v>23.111000000000001</v>
      </c>
      <c r="D45" s="74">
        <v>1.2282999999999999</v>
      </c>
      <c r="E45" s="74">
        <v>-3.1218000000000001E-3</v>
      </c>
      <c r="F45" s="74">
        <v>3.0713999999999999E-6</v>
      </c>
      <c r="G45" s="20">
        <v>285</v>
      </c>
      <c r="H45" s="20">
        <v>574</v>
      </c>
      <c r="I45" s="20">
        <v>193.21</v>
      </c>
      <c r="J45" s="5"/>
      <c r="K45" s="5"/>
      <c r="L45" s="5"/>
      <c r="M45" s="5"/>
      <c r="N45" s="5"/>
      <c r="O45" s="5"/>
    </row>
    <row r="46" spans="2:15" ht="15.6">
      <c r="B46" s="20" t="s">
        <v>172</v>
      </c>
      <c r="C46" s="20">
        <v>76.703000000000003</v>
      </c>
      <c r="D46" s="74">
        <v>1.0821000000000001</v>
      </c>
      <c r="E46" s="74">
        <v>-2.4859999999999999E-3</v>
      </c>
      <c r="F46" s="74">
        <v>2.2496999999999998E-6</v>
      </c>
      <c r="G46" s="20">
        <v>302</v>
      </c>
      <c r="H46" s="20">
        <v>644</v>
      </c>
      <c r="I46" s="20" t="s">
        <v>193</v>
      </c>
      <c r="J46" s="5"/>
      <c r="K46" s="5"/>
      <c r="L46" s="5"/>
      <c r="M46" s="5"/>
      <c r="N46" s="5"/>
    </row>
    <row r="47" spans="2:15" ht="15.6">
      <c r="B47" s="20" t="s">
        <v>174</v>
      </c>
      <c r="C47" s="20">
        <v>179.047</v>
      </c>
      <c r="D47" s="74">
        <v>1.2436</v>
      </c>
      <c r="E47" s="74">
        <v>-2.6630999999999998E-3</v>
      </c>
      <c r="F47" s="74">
        <v>2.3379000000000001E-6</v>
      </c>
      <c r="G47" s="20">
        <v>295</v>
      </c>
      <c r="H47" s="20">
        <v>708</v>
      </c>
      <c r="I47" s="20">
        <v>375.06</v>
      </c>
      <c r="J47" s="5"/>
      <c r="K47" s="5"/>
      <c r="L47" s="5"/>
      <c r="M47" s="5"/>
    </row>
    <row r="48" spans="2:15" ht="15.6">
      <c r="B48" s="20" t="s">
        <v>176</v>
      </c>
      <c r="C48" s="20">
        <v>75.878</v>
      </c>
      <c r="D48" s="73">
        <v>0.64181999999999995</v>
      </c>
      <c r="E48" s="74">
        <v>-1.6493E-3</v>
      </c>
      <c r="F48" s="74">
        <v>1.6937E-6</v>
      </c>
      <c r="G48" s="20">
        <v>261</v>
      </c>
      <c r="H48" s="20">
        <v>581</v>
      </c>
      <c r="I48" s="20">
        <v>165.52</v>
      </c>
    </row>
    <row r="49" spans="2:13" ht="15.6">
      <c r="B49" s="258" t="s">
        <v>806</v>
      </c>
      <c r="C49" s="259">
        <v>382.11</v>
      </c>
      <c r="D49" s="259">
        <f>4.342</f>
        <v>4.3419999999999996</v>
      </c>
      <c r="E49" s="259">
        <v>-1.4499999999999999E-3</v>
      </c>
      <c r="F49" s="259" t="s">
        <v>193</v>
      </c>
      <c r="G49" s="545" t="s">
        <v>193</v>
      </c>
      <c r="H49" s="545" t="s">
        <v>193</v>
      </c>
      <c r="I49" s="20">
        <v>2.1280000000000001</v>
      </c>
      <c r="J49" s="148" t="s">
        <v>972</v>
      </c>
    </row>
    <row r="50" spans="2:13" ht="13.2"/>
    <row r="51" spans="2:13" ht="15.6">
      <c r="B51" s="416" t="s">
        <v>803</v>
      </c>
      <c r="C51" s="416"/>
      <c r="D51" s="5"/>
      <c r="E51" s="433" t="s">
        <v>550</v>
      </c>
      <c r="F51" s="435"/>
      <c r="G51" s="435"/>
      <c r="H51" s="5"/>
      <c r="I51" s="434" t="s">
        <v>598</v>
      </c>
      <c r="J51" s="434"/>
      <c r="K51" s="434"/>
      <c r="L51" s="434"/>
      <c r="M51" s="434"/>
    </row>
    <row r="52" spans="2:13" ht="13.2">
      <c r="B52" s="416"/>
      <c r="C52" s="416"/>
      <c r="E52" s="433"/>
      <c r="F52" s="435"/>
      <c r="G52" s="435"/>
      <c r="I52" s="434"/>
      <c r="J52" s="434"/>
      <c r="K52" s="434"/>
      <c r="L52" s="434"/>
      <c r="M52" s="434"/>
    </row>
    <row r="53" spans="2:13" ht="15.6">
      <c r="I53" s="249"/>
      <c r="J53" s="249"/>
      <c r="K53" s="249"/>
      <c r="L53" s="249"/>
      <c r="M53" s="249"/>
    </row>
    <row r="54" spans="2:13" ht="15.6">
      <c r="B54" s="241" t="s">
        <v>178</v>
      </c>
      <c r="C54" s="248" t="s">
        <v>179</v>
      </c>
      <c r="D54" s="248" t="s">
        <v>184</v>
      </c>
      <c r="E54" s="248" t="s">
        <v>185</v>
      </c>
      <c r="F54" s="248" t="s">
        <v>191</v>
      </c>
      <c r="G54" s="248" t="s">
        <v>189</v>
      </c>
    </row>
    <row r="55" spans="2:13" ht="15.6">
      <c r="B55" s="373" t="s">
        <v>164</v>
      </c>
      <c r="C55" s="374">
        <v>37.157499999999999</v>
      </c>
      <c r="D55" s="236">
        <v>-2027.7</v>
      </c>
      <c r="E55" s="236">
        <v>-11.601000000000001</v>
      </c>
      <c r="F55" s="236">
        <v>7.4625000000000004E-3</v>
      </c>
      <c r="G55" s="236">
        <v>-9.5810999999999992E-12</v>
      </c>
    </row>
    <row r="56" spans="2:13" ht="15.6">
      <c r="B56" s="20" t="s">
        <v>166</v>
      </c>
      <c r="C56" s="351">
        <v>39.923499999999997</v>
      </c>
      <c r="D56" s="353">
        <v>-2359.5</v>
      </c>
      <c r="E56" s="353">
        <v>-12.516999999999999</v>
      </c>
      <c r="F56" s="353">
        <v>6.9835000000000001E-3</v>
      </c>
      <c r="G56" s="353">
        <v>-1.1101E-13</v>
      </c>
    </row>
    <row r="57" spans="2:13" ht="15.6">
      <c r="B57" s="20" t="s">
        <v>170</v>
      </c>
      <c r="C57" s="241">
        <v>72.912499999999994</v>
      </c>
      <c r="D57" s="201">
        <v>-5859.5</v>
      </c>
      <c r="E57" s="201">
        <v>-21.914000000000001</v>
      </c>
      <c r="F57" s="201">
        <v>-7.1511000000000003E-10</v>
      </c>
      <c r="G57" s="201">
        <v>5.9841E-6</v>
      </c>
    </row>
    <row r="58" spans="2:13" ht="15.6">
      <c r="B58" s="20" t="s">
        <v>172</v>
      </c>
      <c r="C58" s="248">
        <v>122.0877</v>
      </c>
      <c r="D58" s="352">
        <v>-8842.2000000000007</v>
      </c>
      <c r="E58" s="352">
        <v>-40.421999999999997</v>
      </c>
      <c r="F58" s="352">
        <v>1.4062E-2</v>
      </c>
      <c r="G58" s="352">
        <v>1.1986E-12</v>
      </c>
    </row>
    <row r="59" spans="2:13" ht="15.6">
      <c r="B59" s="49" t="s">
        <v>174</v>
      </c>
      <c r="C59" s="235">
        <v>135.32060000000001</v>
      </c>
      <c r="D59" s="354">
        <v>-10312</v>
      </c>
      <c r="E59" s="354">
        <v>-44.637</v>
      </c>
      <c r="F59" s="354">
        <v>1.4368000000000001E-2</v>
      </c>
      <c r="G59" s="354">
        <v>-1.7551999999999999E-13</v>
      </c>
    </row>
    <row r="60" spans="2:13" ht="15.6">
      <c r="B60" s="20" t="s">
        <v>176</v>
      </c>
      <c r="C60" s="351">
        <v>82.406199999999998</v>
      </c>
      <c r="D60" s="353">
        <v>-6347.2</v>
      </c>
      <c r="E60" s="353">
        <v>-25.433</v>
      </c>
      <c r="F60" s="353">
        <v>-2.3732E-9</v>
      </c>
      <c r="G60" s="353">
        <v>8.7467000000000005E-6</v>
      </c>
    </row>
    <row r="61" spans="2:13" ht="13.2"/>
    <row r="62" spans="2:13" ht="31.2" customHeight="1">
      <c r="B62" s="427" t="s">
        <v>660</v>
      </c>
      <c r="C62" s="427"/>
      <c r="D62" s="171"/>
      <c r="E62" s="240" t="s">
        <v>656</v>
      </c>
      <c r="F62" s="232"/>
      <c r="G62" s="232"/>
      <c r="H62" s="171"/>
      <c r="I62" s="428" t="s">
        <v>661</v>
      </c>
      <c r="J62" s="428"/>
      <c r="K62" s="428"/>
      <c r="L62" s="428"/>
      <c r="M62" s="428"/>
    </row>
    <row r="63" spans="2:13" ht="13.2"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64" spans="2:13" ht="15.6">
      <c r="B64" s="233" t="s">
        <v>178</v>
      </c>
      <c r="C64" s="233" t="s">
        <v>179</v>
      </c>
      <c r="D64" s="233" t="s">
        <v>184</v>
      </c>
      <c r="E64" s="233" t="s">
        <v>180</v>
      </c>
      <c r="F64" s="233" t="s">
        <v>657</v>
      </c>
      <c r="G64" s="233" t="s">
        <v>186</v>
      </c>
      <c r="H64" s="233" t="s">
        <v>187</v>
      </c>
      <c r="I64" s="233" t="s">
        <v>658</v>
      </c>
      <c r="J64" s="171"/>
      <c r="K64" s="171"/>
      <c r="L64" s="171"/>
      <c r="M64" s="171"/>
    </row>
    <row r="65" spans="2:13" ht="15.75" customHeight="1">
      <c r="B65" s="234" t="s">
        <v>164</v>
      </c>
      <c r="C65" s="234">
        <v>0.23688999999999999</v>
      </c>
      <c r="D65" s="234">
        <v>0.25470999999999999</v>
      </c>
      <c r="E65" s="234">
        <v>0.28870000000000001</v>
      </c>
      <c r="F65" s="234">
        <v>405.65</v>
      </c>
      <c r="G65" s="234">
        <v>195.41</v>
      </c>
      <c r="H65" s="234">
        <v>405.65</v>
      </c>
      <c r="I65" s="234">
        <v>0.60199999999999998</v>
      </c>
      <c r="J65" s="171"/>
      <c r="K65" s="171"/>
      <c r="L65" s="171"/>
      <c r="M65" s="171"/>
    </row>
    <row r="66" spans="2:13" ht="15.75" customHeight="1">
      <c r="B66" s="234" t="s">
        <v>166</v>
      </c>
      <c r="C66" s="234">
        <v>0.31402000000000002</v>
      </c>
      <c r="D66" s="234">
        <v>0.26089000000000001</v>
      </c>
      <c r="E66" s="234">
        <v>0.28253</v>
      </c>
      <c r="F66" s="234">
        <v>469.15</v>
      </c>
      <c r="G66" s="234">
        <v>161.44999999999999</v>
      </c>
      <c r="H66" s="234">
        <v>469.15</v>
      </c>
      <c r="I66" s="234">
        <v>0.86199999999999999</v>
      </c>
      <c r="J66" s="171"/>
      <c r="K66" s="171"/>
      <c r="L66" s="171"/>
      <c r="M66" s="171"/>
    </row>
    <row r="67" spans="2:13" ht="15.75" customHeight="1">
      <c r="B67" s="234" t="s">
        <v>170</v>
      </c>
      <c r="C67" s="234">
        <v>0.27149000000000001</v>
      </c>
      <c r="D67" s="234">
        <v>0.22411</v>
      </c>
      <c r="E67" s="234">
        <v>0.20150000000000001</v>
      </c>
      <c r="F67" s="234">
        <v>638</v>
      </c>
      <c r="G67" s="234">
        <v>283.64999999999998</v>
      </c>
      <c r="H67" s="234">
        <v>638</v>
      </c>
      <c r="I67" s="234">
        <v>1.014</v>
      </c>
      <c r="J67" s="171"/>
      <c r="K67" s="171"/>
      <c r="L67" s="171"/>
      <c r="M67" s="171"/>
    </row>
    <row r="68" spans="2:13" ht="15.75" customHeight="1">
      <c r="B68" s="234" t="s">
        <v>172</v>
      </c>
      <c r="C68" s="235">
        <v>0.30125999999999997</v>
      </c>
      <c r="D68" s="235">
        <v>0.23968</v>
      </c>
      <c r="E68" s="235">
        <v>0.18920000000000001</v>
      </c>
      <c r="F68" s="235">
        <v>715</v>
      </c>
      <c r="G68" s="234">
        <v>301.14999999999998</v>
      </c>
      <c r="H68" s="234">
        <v>715</v>
      </c>
      <c r="I68" s="234" t="s">
        <v>193</v>
      </c>
      <c r="J68" s="171"/>
      <c r="K68" s="171"/>
      <c r="L68" s="171"/>
      <c r="M68" s="171"/>
    </row>
    <row r="69" spans="2:13" ht="15.75" customHeight="1">
      <c r="B69" s="234" t="s">
        <v>174</v>
      </c>
      <c r="C69" s="234">
        <v>0.31608000000000003</v>
      </c>
      <c r="D69" s="234">
        <v>0.24801000000000001</v>
      </c>
      <c r="E69" s="234">
        <v>0.20349999999999999</v>
      </c>
      <c r="F69" s="234">
        <v>787</v>
      </c>
      <c r="G69" s="234">
        <v>294.35000000000002</v>
      </c>
      <c r="H69" s="234">
        <v>787</v>
      </c>
      <c r="I69" s="234">
        <v>1.1200000000000001</v>
      </c>
      <c r="J69" s="171"/>
      <c r="K69" s="171"/>
      <c r="L69" s="171"/>
      <c r="M69" s="171"/>
    </row>
    <row r="70" spans="2:13" ht="15.75" customHeight="1">
      <c r="B70" s="234" t="s">
        <v>176</v>
      </c>
      <c r="C70" s="234">
        <v>0.32502999999999999</v>
      </c>
      <c r="D70" s="234">
        <v>0.25498999999999999</v>
      </c>
      <c r="E70" s="234">
        <v>0.17199999999999999</v>
      </c>
      <c r="F70" s="234">
        <v>645</v>
      </c>
      <c r="G70" s="234">
        <v>260.14999999999998</v>
      </c>
      <c r="H70" s="234">
        <v>645</v>
      </c>
      <c r="I70" s="234">
        <v>1.1100000000000001</v>
      </c>
      <c r="J70" s="171"/>
      <c r="K70" s="171"/>
      <c r="L70" s="171"/>
      <c r="M70" s="171"/>
    </row>
    <row r="71" spans="2:13" ht="15.75" customHeight="1"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</row>
    <row r="72" spans="2:13" ht="31.2" customHeight="1">
      <c r="B72" s="427" t="s">
        <v>663</v>
      </c>
      <c r="C72" s="427"/>
      <c r="D72" s="171"/>
      <c r="E72" s="239" t="s">
        <v>656</v>
      </c>
      <c r="F72" s="232"/>
      <c r="G72" s="232"/>
      <c r="H72" s="171"/>
      <c r="I72" s="428" t="s">
        <v>661</v>
      </c>
      <c r="J72" s="428"/>
      <c r="K72" s="428"/>
      <c r="L72" s="428"/>
      <c r="M72" s="428"/>
    </row>
    <row r="73" spans="2:13" ht="15.75" customHeight="1"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</row>
    <row r="74" spans="2:13" ht="15.75" customHeight="1">
      <c r="B74" s="233" t="s">
        <v>178</v>
      </c>
      <c r="C74" s="233" t="s">
        <v>179</v>
      </c>
      <c r="D74" s="233" t="s">
        <v>184</v>
      </c>
      <c r="E74" s="233" t="s">
        <v>185</v>
      </c>
      <c r="F74" s="233" t="s">
        <v>191</v>
      </c>
      <c r="G74" s="233" t="s">
        <v>186</v>
      </c>
      <c r="H74" s="233" t="s">
        <v>187</v>
      </c>
      <c r="I74" s="233" t="s">
        <v>659</v>
      </c>
      <c r="J74" s="171"/>
      <c r="K74" s="171"/>
      <c r="L74" s="171"/>
      <c r="M74" s="171"/>
    </row>
    <row r="75" spans="2:13" ht="15.75" customHeight="1">
      <c r="B75" s="234" t="s">
        <v>164</v>
      </c>
      <c r="C75" s="234">
        <v>-8.5909999999999993</v>
      </c>
      <c r="D75" s="236">
        <v>876.4</v>
      </c>
      <c r="E75" s="236">
        <v>2.681E-2</v>
      </c>
      <c r="F75" s="236">
        <v>-3.612E-5</v>
      </c>
      <c r="G75" s="234">
        <v>195</v>
      </c>
      <c r="H75" s="234">
        <v>406</v>
      </c>
      <c r="I75" s="234">
        <v>0.13500000000000001</v>
      </c>
      <c r="J75" s="171"/>
      <c r="K75" s="171"/>
      <c r="L75" s="171"/>
      <c r="M75" s="171"/>
    </row>
    <row r="76" spans="2:13" ht="15.75" customHeight="1">
      <c r="B76" s="234" t="s">
        <v>166</v>
      </c>
      <c r="C76" s="234">
        <v>-5.7793999999999999</v>
      </c>
      <c r="D76" s="236">
        <v>670.2</v>
      </c>
      <c r="E76" s="236">
        <v>1.5685999999999999E-2</v>
      </c>
      <c r="F76" s="236">
        <v>-1.9462000000000001E-5</v>
      </c>
      <c r="G76" s="234">
        <v>190</v>
      </c>
      <c r="H76" s="234">
        <v>469</v>
      </c>
      <c r="I76" s="234">
        <v>0.26</v>
      </c>
      <c r="J76" s="171"/>
      <c r="K76" s="171"/>
      <c r="L76" s="171"/>
      <c r="M76" s="171"/>
    </row>
    <row r="77" spans="2:13" ht="15.75" customHeight="1">
      <c r="B77" s="234" t="s">
        <v>170</v>
      </c>
      <c r="C77" s="234">
        <v>-13.181800000000001</v>
      </c>
      <c r="D77" s="236">
        <v>2859.6</v>
      </c>
      <c r="E77" s="236">
        <v>2.0826000000000001E-2</v>
      </c>
      <c r="F77" s="236">
        <v>-1.4229999999999999E-5</v>
      </c>
      <c r="G77" s="234">
        <v>288</v>
      </c>
      <c r="H77" s="234">
        <v>638</v>
      </c>
      <c r="I77" s="234">
        <v>22.577000000000002</v>
      </c>
      <c r="J77" s="171"/>
      <c r="K77" s="171"/>
      <c r="L77" s="171"/>
      <c r="M77" s="171"/>
    </row>
    <row r="78" spans="2:13" ht="15.75" customHeight="1">
      <c r="B78" s="234" t="s">
        <v>172</v>
      </c>
      <c r="C78" s="235">
        <v>-27.938500000000001</v>
      </c>
      <c r="D78" s="237">
        <v>5954.7</v>
      </c>
      <c r="E78" s="237">
        <v>4.4119999999999999E-2</v>
      </c>
      <c r="F78" s="237">
        <v>-2.5871E-5</v>
      </c>
      <c r="G78" s="234">
        <v>301</v>
      </c>
      <c r="H78" s="234">
        <v>715</v>
      </c>
      <c r="I78" s="234" t="s">
        <v>193</v>
      </c>
      <c r="J78" s="171"/>
      <c r="K78" s="171"/>
      <c r="L78" s="171"/>
      <c r="M78" s="171"/>
    </row>
    <row r="79" spans="2:13" ht="15.75" customHeight="1">
      <c r="B79" s="234" t="s">
        <v>174</v>
      </c>
      <c r="C79" s="234">
        <v>-21.0078</v>
      </c>
      <c r="D79" s="236">
        <v>4793.5</v>
      </c>
      <c r="E79" s="236">
        <v>3.1279000000000001E-2</v>
      </c>
      <c r="F79" s="236">
        <v>-1.7784000000000001E-5</v>
      </c>
      <c r="G79" s="234">
        <v>294</v>
      </c>
      <c r="H79" s="234">
        <v>787</v>
      </c>
      <c r="I79" s="234">
        <v>652.57600000000002</v>
      </c>
      <c r="J79" s="171"/>
      <c r="K79" s="171"/>
      <c r="L79" s="171"/>
      <c r="M79" s="171"/>
    </row>
    <row r="80" spans="2:13" ht="15.75" customHeight="1">
      <c r="B80" s="234" t="s">
        <v>176</v>
      </c>
      <c r="C80" s="234">
        <v>-16.972799999999999</v>
      </c>
      <c r="D80" s="236">
        <v>3188.6</v>
      </c>
      <c r="E80" s="236">
        <v>3.2537000000000003E-2</v>
      </c>
      <c r="F80" s="236">
        <v>-2.4479999999999999E-5</v>
      </c>
      <c r="G80" s="234">
        <v>261</v>
      </c>
      <c r="H80" s="234">
        <v>645</v>
      </c>
      <c r="I80" s="234">
        <v>17.645</v>
      </c>
      <c r="J80" s="171"/>
      <c r="K80" s="171"/>
      <c r="L80" s="171"/>
      <c r="M80" s="171"/>
    </row>
    <row r="81" spans="2:13" ht="15.75" customHeight="1"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</row>
    <row r="82" spans="2:13" ht="15.75" customHeight="1">
      <c r="B82" s="432" t="s">
        <v>662</v>
      </c>
      <c r="C82" s="432"/>
      <c r="D82" s="171"/>
      <c r="E82" s="429" t="s">
        <v>656</v>
      </c>
      <c r="F82" s="430"/>
      <c r="G82" s="430"/>
      <c r="H82" s="171"/>
      <c r="I82" s="431" t="s">
        <v>661</v>
      </c>
      <c r="J82" s="431"/>
      <c r="K82" s="431"/>
      <c r="L82" s="431"/>
      <c r="M82" s="431"/>
    </row>
    <row r="83" spans="2:13" ht="15.75" customHeight="1">
      <c r="B83" s="432"/>
      <c r="C83" s="432"/>
      <c r="D83" s="171"/>
      <c r="E83" s="429"/>
      <c r="F83" s="430"/>
      <c r="G83" s="430"/>
      <c r="H83" s="171"/>
      <c r="I83" s="431"/>
      <c r="J83" s="431"/>
      <c r="K83" s="431"/>
      <c r="L83" s="431"/>
      <c r="M83" s="431"/>
    </row>
    <row r="84" spans="2:13" ht="15.6" customHeight="1">
      <c r="D84" s="171"/>
      <c r="E84" s="171"/>
      <c r="F84" s="171"/>
      <c r="G84" s="171"/>
      <c r="H84" s="171"/>
      <c r="I84" s="171"/>
      <c r="J84" s="171"/>
      <c r="K84" s="171"/>
      <c r="L84" s="171"/>
      <c r="M84" s="171"/>
    </row>
    <row r="85" spans="2:13" ht="15.75" customHeight="1">
      <c r="B85" s="255" t="s">
        <v>178</v>
      </c>
      <c r="C85" s="255" t="s">
        <v>179</v>
      </c>
      <c r="D85" s="255" t="s">
        <v>657</v>
      </c>
      <c r="E85" s="255" t="s">
        <v>180</v>
      </c>
      <c r="F85" s="255" t="s">
        <v>186</v>
      </c>
      <c r="G85" s="255" t="s">
        <v>187</v>
      </c>
      <c r="H85" s="255" t="s">
        <v>971</v>
      </c>
      <c r="I85" s="171"/>
      <c r="J85" s="171"/>
      <c r="K85" s="171"/>
      <c r="L85" s="171"/>
      <c r="M85" s="171"/>
    </row>
    <row r="86" spans="2:13" ht="15.75" customHeight="1">
      <c r="B86" s="234" t="s">
        <v>166</v>
      </c>
      <c r="C86" s="254">
        <v>74.7</v>
      </c>
      <c r="D86" s="254">
        <v>469.15</v>
      </c>
      <c r="E86" s="254">
        <v>1.141</v>
      </c>
      <c r="F86" s="253">
        <v>160.71</v>
      </c>
      <c r="G86" s="253">
        <v>469.15</v>
      </c>
      <c r="H86" s="234">
        <v>23.63</v>
      </c>
      <c r="I86" s="171"/>
      <c r="J86" s="171"/>
      <c r="K86" s="171"/>
      <c r="L86" s="171"/>
      <c r="M86" s="171"/>
    </row>
    <row r="87" spans="2:13" ht="15.75" customHeight="1">
      <c r="B87" s="234" t="s">
        <v>170</v>
      </c>
      <c r="C87" s="254">
        <v>108</v>
      </c>
      <c r="D87" s="254">
        <v>638</v>
      </c>
      <c r="E87" s="254">
        <v>1.22</v>
      </c>
      <c r="F87" s="253">
        <v>283.64999999999998</v>
      </c>
      <c r="G87" s="253">
        <v>638</v>
      </c>
      <c r="H87" s="234">
        <v>50.24</v>
      </c>
      <c r="I87" s="171"/>
      <c r="J87" s="171"/>
      <c r="K87" s="171"/>
      <c r="L87" s="171"/>
      <c r="M87" s="171"/>
    </row>
    <row r="88" spans="2:13" ht="15.75" customHeight="1">
      <c r="B88" s="234" t="s">
        <v>172</v>
      </c>
      <c r="C88" s="254">
        <v>78.3</v>
      </c>
      <c r="D88" s="254">
        <v>715</v>
      </c>
      <c r="E88" s="254">
        <v>0.93700000000000006</v>
      </c>
      <c r="F88" s="253">
        <v>301.14999999999998</v>
      </c>
      <c r="G88" s="253">
        <v>542.04</v>
      </c>
      <c r="H88" s="238" t="s">
        <v>193</v>
      </c>
      <c r="I88" s="171"/>
      <c r="J88" s="171"/>
      <c r="K88" s="171"/>
      <c r="L88" s="171"/>
      <c r="M88" s="171"/>
    </row>
    <row r="89" spans="2:13" ht="15.75" customHeight="1">
      <c r="B89" s="234" t="s">
        <v>174</v>
      </c>
      <c r="C89" s="254">
        <v>70.105999999999995</v>
      </c>
      <c r="D89" s="254">
        <v>787</v>
      </c>
      <c r="E89" s="254">
        <v>0.92</v>
      </c>
      <c r="F89" s="253">
        <v>294.35000000000002</v>
      </c>
      <c r="G89" s="253">
        <v>787</v>
      </c>
      <c r="H89" s="234">
        <v>45.24</v>
      </c>
      <c r="I89" s="171"/>
      <c r="J89" s="171"/>
      <c r="K89" s="171"/>
      <c r="L89" s="171"/>
      <c r="M89" s="171"/>
    </row>
  </sheetData>
  <mergeCells count="23">
    <mergeCell ref="B51:C52"/>
    <mergeCell ref="E51:E52"/>
    <mergeCell ref="I51:M52"/>
    <mergeCell ref="B62:C62"/>
    <mergeCell ref="I62:M62"/>
    <mergeCell ref="F51:G52"/>
    <mergeCell ref="B72:C72"/>
    <mergeCell ref="I72:M72"/>
    <mergeCell ref="E82:E83"/>
    <mergeCell ref="F82:F83"/>
    <mergeCell ref="G82:G83"/>
    <mergeCell ref="I82:M83"/>
    <mergeCell ref="B82:C83"/>
    <mergeCell ref="I5:M5"/>
    <mergeCell ref="I6:M6"/>
    <mergeCell ref="B28:C28"/>
    <mergeCell ref="B40:C40"/>
    <mergeCell ref="I2:M2"/>
    <mergeCell ref="I3:M3"/>
    <mergeCell ref="I4:M4"/>
    <mergeCell ref="B18:C18"/>
    <mergeCell ref="I7:M7"/>
    <mergeCell ref="I11:I15"/>
  </mergeCells>
  <hyperlinks>
    <hyperlink ref="I4" r:id="rId1" display="             iv. Link: https://www.chemeo.com/cid/20-170-0/Monoethanolamine" xr:uid="{00000000-0004-0000-0400-000000000000}"/>
    <hyperlink ref="I5" r:id="rId2" display="             vi. Link: https://www.chemeo.com/cid/30-006-1/Diethanolamine" xr:uid="{00000000-0004-0000-0400-000002000000}"/>
    <hyperlink ref="I6" r:id="rId3" display="            vii. Link: https://www.chemeo.com/cid/64-895-8/Triethanolamine" xr:uid="{00000000-0004-0000-0400-000003000000}"/>
    <hyperlink ref="I7" r:id="rId4" display="           viii. Link: https://webbook.nist.gov/cgi/cbook.cgi?ID=C107211&amp;Mask=1EFF" xr:uid="{00000000-0004-0000-0400-000004000000}"/>
  </hyperlinks>
  <pageMargins left="0.7" right="0.7" top="0.75" bottom="0.75" header="0.3" footer="0.3"/>
  <pageSetup orientation="portrait" r:id="rId5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J272"/>
  <sheetViews>
    <sheetView topLeftCell="O1" zoomScale="70" zoomScaleNormal="70" workbookViewId="0">
      <selection activeCell="AA143" sqref="AA143"/>
    </sheetView>
  </sheetViews>
  <sheetFormatPr defaultColWidth="12.6640625" defaultRowHeight="15.75" customHeight="1"/>
  <cols>
    <col min="3" max="3" width="16" customWidth="1"/>
    <col min="4" max="4" width="13.88671875" bestFit="1" customWidth="1"/>
    <col min="5" max="5" width="16.109375" customWidth="1"/>
    <col min="6" max="6" width="16.33203125" customWidth="1"/>
    <col min="12" max="12" width="16.5546875" customWidth="1"/>
    <col min="13" max="13" width="15" bestFit="1" customWidth="1"/>
    <col min="16" max="16" width="20.6640625" customWidth="1"/>
    <col min="17" max="17" width="27.88671875" customWidth="1"/>
    <col min="19" max="19" width="35.77734375" customWidth="1"/>
    <col min="20" max="20" width="27.77734375" customWidth="1"/>
    <col min="21" max="21" width="37.21875" customWidth="1"/>
    <col min="22" max="22" width="16.77734375" customWidth="1"/>
    <col min="23" max="23" width="24" customWidth="1"/>
    <col min="24" max="24" width="28.77734375" customWidth="1"/>
    <col min="25" max="25" width="16.21875" customWidth="1"/>
    <col min="26" max="26" width="17.109375" customWidth="1"/>
    <col min="27" max="27" width="29" customWidth="1"/>
    <col min="28" max="28" width="26" customWidth="1"/>
    <col min="29" max="29" width="27.44140625" customWidth="1"/>
    <col min="30" max="32" width="26" customWidth="1"/>
  </cols>
  <sheetData>
    <row r="1" spans="1:25" ht="15.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.6">
      <c r="A2" s="5"/>
      <c r="B2" s="5"/>
      <c r="C2" s="5"/>
      <c r="D2" s="5"/>
      <c r="E2" s="5"/>
      <c r="F2" s="448" t="s">
        <v>194</v>
      </c>
      <c r="G2" s="376"/>
      <c r="H2" s="376"/>
      <c r="I2" s="376"/>
      <c r="J2" s="376"/>
      <c r="K2" s="79" t="s">
        <v>195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5.6">
      <c r="A3" s="5"/>
      <c r="B3" s="5"/>
      <c r="C3" s="5"/>
      <c r="D3" s="5"/>
      <c r="E3" s="5"/>
      <c r="F3" s="448" t="s">
        <v>196</v>
      </c>
      <c r="G3" s="376"/>
      <c r="H3" s="376"/>
      <c r="I3" s="376"/>
      <c r="J3" s="376"/>
      <c r="K3" s="7" t="s">
        <v>197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5.6">
      <c r="A4" s="5"/>
      <c r="B4" s="5"/>
      <c r="C4" s="5"/>
      <c r="D4" s="5"/>
      <c r="E4" s="5"/>
      <c r="F4" s="448" t="s">
        <v>198</v>
      </c>
      <c r="G4" s="376"/>
      <c r="H4" s="376"/>
      <c r="I4" s="376"/>
      <c r="J4" s="376"/>
      <c r="K4" s="7" t="s">
        <v>199</v>
      </c>
      <c r="L4" s="5"/>
      <c r="M4" s="5"/>
      <c r="N4" s="5"/>
      <c r="O4" s="5"/>
      <c r="P4" s="15" t="s">
        <v>6</v>
      </c>
      <c r="Q4" s="15" t="s">
        <v>7</v>
      </c>
      <c r="R4" s="5"/>
      <c r="S4" s="449" t="s">
        <v>200</v>
      </c>
      <c r="T4" s="391"/>
      <c r="U4" s="81"/>
      <c r="V4" s="5"/>
      <c r="W4" s="5"/>
    </row>
    <row r="5" spans="1:25" ht="15.6">
      <c r="A5" s="5"/>
      <c r="B5" s="5"/>
      <c r="C5" s="5"/>
      <c r="D5" s="5"/>
      <c r="E5" s="5"/>
      <c r="M5" s="5"/>
      <c r="N5" s="5"/>
      <c r="O5" s="5"/>
      <c r="P5" s="19" t="s">
        <v>30</v>
      </c>
      <c r="Q5" s="20">
        <f>17.031</f>
        <v>17.030999999999999</v>
      </c>
      <c r="R5" s="5"/>
      <c r="S5" s="82" t="s">
        <v>201</v>
      </c>
      <c r="T5" s="49">
        <v>6</v>
      </c>
      <c r="U5" s="83" t="s">
        <v>202</v>
      </c>
      <c r="V5" s="84"/>
      <c r="W5" s="84"/>
    </row>
    <row r="6" spans="1:25" ht="15.6">
      <c r="A6" s="5"/>
      <c r="B6" s="5"/>
      <c r="C6" s="5"/>
      <c r="D6" s="5"/>
      <c r="E6" s="5"/>
      <c r="L6" s="5"/>
      <c r="M6" s="5"/>
      <c r="N6" s="5"/>
      <c r="O6" s="5"/>
      <c r="P6" s="19" t="s">
        <v>48</v>
      </c>
      <c r="Q6" s="20">
        <v>44.052999999999997</v>
      </c>
      <c r="R6" s="5"/>
      <c r="S6" s="82" t="s">
        <v>203</v>
      </c>
      <c r="T6" s="85">
        <v>3</v>
      </c>
      <c r="U6" s="83" t="s">
        <v>204</v>
      </c>
      <c r="V6" s="84"/>
      <c r="W6" s="84"/>
    </row>
    <row r="7" spans="1:25" ht="15.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9" t="s">
        <v>59</v>
      </c>
      <c r="Q7" s="20">
        <v>61.082999999999998</v>
      </c>
      <c r="R7" s="5"/>
      <c r="S7" s="82" t="s">
        <v>205</v>
      </c>
      <c r="T7" s="85">
        <v>-5</v>
      </c>
      <c r="U7" s="83" t="s">
        <v>206</v>
      </c>
      <c r="W7" s="84"/>
    </row>
    <row r="8" spans="1:25" ht="16.5" customHeight="1">
      <c r="A8" s="9"/>
      <c r="E8" s="9"/>
      <c r="F8" s="9"/>
      <c r="G8" s="9"/>
      <c r="H8" s="9"/>
      <c r="I8" s="9"/>
      <c r="J8" s="9"/>
      <c r="K8" s="9"/>
      <c r="L8" s="9"/>
      <c r="M8" s="9"/>
      <c r="N8" s="9"/>
      <c r="O8" s="5"/>
      <c r="P8" s="19" t="s">
        <v>61</v>
      </c>
      <c r="Q8" s="20">
        <v>105.136</v>
      </c>
      <c r="R8" s="5"/>
      <c r="S8" s="82" t="s">
        <v>207</v>
      </c>
      <c r="T8" s="85">
        <v>0</v>
      </c>
      <c r="U8" s="86" t="s">
        <v>208</v>
      </c>
      <c r="V8" s="64"/>
      <c r="W8" s="64"/>
    </row>
    <row r="9" spans="1:25" ht="15.6">
      <c r="A9" s="9"/>
      <c r="E9" s="9"/>
      <c r="F9" s="9"/>
      <c r="G9" s="9"/>
      <c r="H9" s="9"/>
      <c r="I9" s="9"/>
      <c r="J9" s="9"/>
      <c r="K9" s="9"/>
      <c r="L9" s="9"/>
      <c r="M9" s="9"/>
      <c r="N9" s="9"/>
      <c r="O9" s="5"/>
      <c r="P9" s="19" t="s">
        <v>63</v>
      </c>
      <c r="Q9" s="20">
        <v>149.18799999999999</v>
      </c>
      <c r="R9" s="5"/>
      <c r="S9" s="450" t="s">
        <v>209</v>
      </c>
      <c r="T9" s="453">
        <v>-4</v>
      </c>
      <c r="U9" s="229" t="s">
        <v>210</v>
      </c>
      <c r="V9" s="84"/>
      <c r="W9" s="84"/>
    </row>
    <row r="10" spans="1:25" ht="15.6">
      <c r="A10" s="9"/>
      <c r="E10" s="9"/>
      <c r="F10" s="9"/>
      <c r="G10" s="9"/>
      <c r="H10" s="9"/>
      <c r="I10" s="9"/>
      <c r="J10" s="9"/>
      <c r="K10" s="9"/>
      <c r="M10" s="9"/>
      <c r="N10" s="9"/>
      <c r="O10" s="5"/>
      <c r="P10" s="19" t="s">
        <v>65</v>
      </c>
      <c r="Q10" s="24">
        <v>62.07</v>
      </c>
      <c r="R10" s="5"/>
      <c r="S10" s="451"/>
      <c r="T10" s="451"/>
      <c r="U10" s="6" t="s">
        <v>211</v>
      </c>
      <c r="V10" s="84"/>
      <c r="W10" s="84"/>
    </row>
    <row r="11" spans="1:25" ht="15.6">
      <c r="A11" s="9"/>
      <c r="B11" s="401" t="s">
        <v>79</v>
      </c>
      <c r="C11" s="389"/>
      <c r="D11" s="33">
        <f>Q5*D14</f>
        <v>7322.0170744743427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5"/>
      <c r="P11" s="5"/>
      <c r="Q11" s="5"/>
      <c r="R11" s="5"/>
      <c r="S11" s="451"/>
      <c r="T11" s="451"/>
      <c r="U11" s="6" t="s">
        <v>212</v>
      </c>
      <c r="V11" s="84"/>
      <c r="W11" s="84"/>
      <c r="X11" s="9"/>
      <c r="Y11" s="9"/>
    </row>
    <row r="12" spans="1:25" ht="15.6">
      <c r="A12" s="9"/>
      <c r="B12" s="401" t="s">
        <v>80</v>
      </c>
      <c r="C12" s="389"/>
      <c r="D12" s="33">
        <f>D14</f>
        <v>429.92290966322253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5"/>
      <c r="P12" s="5"/>
      <c r="Q12" s="5"/>
      <c r="R12" s="5"/>
      <c r="S12" s="452"/>
      <c r="T12" s="452"/>
      <c r="U12" s="6" t="s">
        <v>213</v>
      </c>
      <c r="V12" s="84"/>
      <c r="W12" s="84"/>
    </row>
    <row r="13" spans="1:25" ht="15.6">
      <c r="A13" s="9"/>
      <c r="B13" s="401" t="s">
        <v>66</v>
      </c>
      <c r="C13" s="391"/>
      <c r="D13" s="389"/>
      <c r="E13" s="9"/>
      <c r="F13" s="9"/>
      <c r="G13" s="9"/>
      <c r="H13" s="9"/>
      <c r="I13" s="9"/>
      <c r="J13" s="9"/>
      <c r="K13" s="9"/>
      <c r="L13" s="9"/>
      <c r="M13" s="9"/>
      <c r="N13" s="9"/>
      <c r="O13" s="5"/>
      <c r="P13" s="5"/>
      <c r="Q13" s="5"/>
      <c r="R13" s="5"/>
      <c r="S13" s="2"/>
      <c r="T13" s="89">
        <f>SUM(T5:T12)</f>
        <v>0</v>
      </c>
      <c r="U13" s="90" t="s">
        <v>214</v>
      </c>
      <c r="V13" s="84"/>
      <c r="W13" s="84"/>
    </row>
    <row r="14" spans="1:25" ht="18.75" customHeight="1">
      <c r="A14" s="9"/>
      <c r="B14" s="34" t="s">
        <v>67</v>
      </c>
      <c r="C14" s="40" t="s">
        <v>88</v>
      </c>
      <c r="D14" s="36">
        <f>U43</f>
        <v>429.92290966322253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84" t="s">
        <v>215</v>
      </c>
      <c r="P14" s="5"/>
      <c r="Q14" s="5"/>
      <c r="R14" s="5"/>
      <c r="S14" s="2"/>
      <c r="T14" s="91"/>
      <c r="U14" s="92"/>
      <c r="V14" s="84"/>
      <c r="W14" s="84"/>
      <c r="X14" s="9"/>
      <c r="Y14" s="9"/>
    </row>
    <row r="15" spans="1:25" ht="15.6">
      <c r="A15" s="9"/>
      <c r="B15" s="34" t="s">
        <v>68</v>
      </c>
      <c r="C15" s="46"/>
      <c r="D15" s="35"/>
      <c r="E15" s="9"/>
      <c r="F15" s="9"/>
      <c r="G15" s="9"/>
      <c r="H15" s="9"/>
      <c r="I15" s="9"/>
      <c r="J15" s="9"/>
      <c r="K15" s="9"/>
      <c r="L15" s="9"/>
      <c r="M15" s="9"/>
      <c r="N15" s="9"/>
      <c r="O15" s="5"/>
      <c r="P15" s="5"/>
      <c r="Q15" s="5"/>
      <c r="R15" s="5"/>
      <c r="V15" s="84"/>
      <c r="W15" s="84"/>
    </row>
    <row r="16" spans="1:25" ht="15.6">
      <c r="A16" s="9"/>
      <c r="B16" s="34" t="s">
        <v>69</v>
      </c>
      <c r="C16" s="35"/>
      <c r="D16" s="35"/>
      <c r="E16" s="9"/>
      <c r="F16" s="9"/>
      <c r="G16" s="9"/>
      <c r="H16" s="9"/>
      <c r="I16" s="9"/>
      <c r="J16" s="9"/>
      <c r="K16" s="9"/>
      <c r="L16" s="9"/>
      <c r="M16" s="9"/>
      <c r="N16" s="9"/>
      <c r="O16" s="5"/>
      <c r="P16" s="5"/>
      <c r="Q16" s="5"/>
      <c r="R16" s="5"/>
      <c r="S16" s="11" t="s">
        <v>216</v>
      </c>
      <c r="T16" s="5"/>
      <c r="U16" s="5"/>
      <c r="V16" s="5"/>
      <c r="W16" s="5"/>
      <c r="X16" s="5"/>
      <c r="Y16" s="5"/>
    </row>
    <row r="17" spans="1:25" ht="15.6">
      <c r="A17" s="9"/>
      <c r="B17" s="34" t="s">
        <v>70</v>
      </c>
      <c r="C17" s="35"/>
      <c r="D17" s="35"/>
      <c r="E17" s="9"/>
      <c r="F17" s="9"/>
      <c r="G17" s="9"/>
      <c r="H17" s="9"/>
      <c r="I17" s="9"/>
      <c r="J17" s="9"/>
      <c r="K17" s="9"/>
      <c r="L17" s="9"/>
      <c r="M17" s="9"/>
      <c r="N17" s="9"/>
      <c r="O17" s="5"/>
      <c r="P17" s="5"/>
      <c r="Q17" s="5"/>
      <c r="R17" s="5"/>
      <c r="S17" s="5" t="s">
        <v>217</v>
      </c>
      <c r="T17" s="5"/>
      <c r="U17" s="5"/>
      <c r="V17" s="5"/>
      <c r="W17" s="5"/>
      <c r="X17" s="5"/>
      <c r="Y17" s="5"/>
    </row>
    <row r="18" spans="1:25" ht="15.6">
      <c r="A18" s="9"/>
      <c r="B18" s="34" t="s">
        <v>71</v>
      </c>
      <c r="C18" s="35"/>
      <c r="D18" s="35"/>
      <c r="E18" s="9"/>
      <c r="F18" s="9"/>
      <c r="G18" s="9"/>
      <c r="H18" s="9"/>
      <c r="I18" s="9"/>
      <c r="J18" s="9"/>
      <c r="K18" s="9"/>
      <c r="L18" s="9"/>
      <c r="M18" s="9"/>
      <c r="N18" s="9"/>
      <c r="O18" s="5"/>
      <c r="P18" s="5"/>
      <c r="Q18" s="5"/>
      <c r="R18" s="5"/>
      <c r="S18" s="93" t="s">
        <v>195</v>
      </c>
      <c r="T18" s="436" t="s">
        <v>135</v>
      </c>
      <c r="U18" s="387">
        <f>60%</f>
        <v>0.6</v>
      </c>
      <c r="V18" s="5"/>
      <c r="W18" s="5"/>
      <c r="X18" s="5"/>
      <c r="Y18" s="5"/>
    </row>
    <row r="19" spans="1:25" ht="15.6">
      <c r="A19" s="9"/>
      <c r="B19" s="34" t="s">
        <v>72</v>
      </c>
      <c r="C19" s="35"/>
      <c r="D19" s="35"/>
      <c r="E19" s="9"/>
      <c r="F19" s="9"/>
      <c r="G19" s="9"/>
      <c r="H19" s="9"/>
      <c r="I19" s="9"/>
      <c r="J19" s="9"/>
      <c r="K19" s="9"/>
      <c r="L19" s="9"/>
      <c r="M19" s="9"/>
      <c r="N19" s="9"/>
      <c r="O19" s="5"/>
      <c r="P19" s="5"/>
      <c r="Q19" s="5"/>
      <c r="R19" s="5"/>
      <c r="S19" s="9">
        <v>286.63479999999998</v>
      </c>
      <c r="T19" s="376"/>
      <c r="U19" s="376"/>
      <c r="V19" s="5"/>
      <c r="W19" s="5"/>
      <c r="X19" s="5"/>
      <c r="Y19" s="5"/>
    </row>
    <row r="20" spans="1:25" ht="15.6">
      <c r="A20" s="9"/>
      <c r="B20" s="404" t="s">
        <v>85</v>
      </c>
      <c r="C20" s="405"/>
      <c r="D20" s="398"/>
      <c r="E20" s="9"/>
      <c r="F20" s="9"/>
      <c r="G20" s="9"/>
      <c r="H20" s="9"/>
      <c r="I20" s="9"/>
      <c r="J20" s="9"/>
      <c r="K20" s="9"/>
      <c r="L20" s="9"/>
      <c r="M20" s="9"/>
      <c r="N20" s="9"/>
      <c r="O20" s="5"/>
      <c r="P20" s="5"/>
      <c r="Q20" s="5"/>
      <c r="R20" s="5"/>
      <c r="S20" s="95" t="s">
        <v>195</v>
      </c>
      <c r="T20" s="94" t="s">
        <v>135</v>
      </c>
      <c r="U20" s="96">
        <f>U18*F44</f>
        <v>171.969163865289</v>
      </c>
      <c r="V20" s="5" t="s">
        <v>218</v>
      </c>
      <c r="W20" s="5"/>
      <c r="X20" s="5"/>
      <c r="Y20" s="5"/>
    </row>
    <row r="21" spans="1:25" ht="15.6">
      <c r="A21" s="9"/>
      <c r="B21" s="34" t="s">
        <v>67</v>
      </c>
      <c r="C21" s="35"/>
      <c r="D21" s="33">
        <f>D14/$D$12</f>
        <v>1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5"/>
      <c r="P21" s="5"/>
      <c r="Q21" s="5"/>
      <c r="R21" s="5"/>
      <c r="S21" s="5"/>
      <c r="T21" s="21"/>
      <c r="U21" s="9"/>
      <c r="V21" s="5"/>
      <c r="W21" s="5"/>
      <c r="X21" s="5"/>
      <c r="Y21" s="5"/>
    </row>
    <row r="22" spans="1:25" ht="15.6">
      <c r="A22" s="9"/>
      <c r="B22" s="34" t="s">
        <v>68</v>
      </c>
      <c r="C22" s="35"/>
      <c r="D22" s="35"/>
      <c r="E22" s="9"/>
      <c r="F22" s="9"/>
      <c r="G22" s="9"/>
      <c r="H22" s="9"/>
      <c r="I22" s="9"/>
      <c r="J22" s="9"/>
      <c r="K22" s="9"/>
      <c r="L22" s="9"/>
      <c r="M22" s="9"/>
      <c r="N22" s="9"/>
      <c r="O22" s="5"/>
      <c r="P22" s="5"/>
      <c r="Q22" s="5"/>
      <c r="R22" s="5"/>
      <c r="S22" s="5"/>
      <c r="T22" s="5"/>
      <c r="U22" s="9"/>
      <c r="V22" s="5"/>
      <c r="W22" s="5"/>
      <c r="X22" s="5"/>
      <c r="Y22" s="5"/>
    </row>
    <row r="23" spans="1:25" ht="15.6">
      <c r="A23" s="9"/>
      <c r="B23" s="34" t="s">
        <v>69</v>
      </c>
      <c r="C23" s="35"/>
      <c r="D23" s="35"/>
      <c r="E23" s="9"/>
      <c r="F23" s="9"/>
      <c r="G23" s="9"/>
      <c r="H23" s="9"/>
      <c r="I23" s="9"/>
      <c r="J23" s="9"/>
      <c r="K23" s="9"/>
      <c r="L23" s="9"/>
      <c r="M23" s="9"/>
      <c r="N23" s="9"/>
      <c r="O23" s="5"/>
      <c r="P23" s="5"/>
      <c r="Q23" s="5"/>
      <c r="R23" s="5"/>
      <c r="S23" s="11" t="s">
        <v>219</v>
      </c>
      <c r="T23" s="5"/>
      <c r="U23" s="9"/>
      <c r="V23" s="5"/>
      <c r="W23" s="5"/>
      <c r="X23" s="5"/>
      <c r="Y23" s="5"/>
    </row>
    <row r="24" spans="1:25" ht="15.6">
      <c r="A24" s="9"/>
      <c r="B24" s="34" t="s">
        <v>70</v>
      </c>
      <c r="C24" s="35"/>
      <c r="D24" s="35"/>
      <c r="E24" s="9"/>
      <c r="F24" s="9"/>
      <c r="G24" s="9"/>
      <c r="H24" s="9"/>
      <c r="I24" s="9"/>
      <c r="J24" s="9"/>
      <c r="K24" s="9"/>
      <c r="L24" s="9"/>
      <c r="M24" s="9"/>
      <c r="N24" s="9"/>
      <c r="O24" s="5"/>
      <c r="P24" s="5"/>
      <c r="R24" s="5"/>
      <c r="S24" s="5" t="s">
        <v>220</v>
      </c>
      <c r="T24" s="5"/>
      <c r="U24" s="9"/>
      <c r="V24" s="5"/>
      <c r="W24" s="5"/>
      <c r="X24" s="5"/>
      <c r="Y24" s="5"/>
    </row>
    <row r="25" spans="1:25" ht="15.6">
      <c r="A25" s="9"/>
      <c r="B25" s="34" t="s">
        <v>71</v>
      </c>
      <c r="C25" s="35"/>
      <c r="D25" s="35"/>
      <c r="E25" s="9"/>
      <c r="F25" s="455" t="s">
        <v>221</v>
      </c>
      <c r="G25" s="376"/>
      <c r="H25" s="376"/>
      <c r="I25" s="376"/>
      <c r="J25" s="376"/>
      <c r="K25" s="9"/>
      <c r="L25" s="9"/>
      <c r="M25" s="9"/>
      <c r="N25" s="9"/>
      <c r="O25" s="5"/>
      <c r="P25" s="5"/>
      <c r="Q25" s="5"/>
      <c r="R25" s="5"/>
      <c r="S25" s="97" t="s">
        <v>197</v>
      </c>
      <c r="T25" s="436" t="s">
        <v>135</v>
      </c>
      <c r="U25" s="387">
        <f>10%</f>
        <v>0.1</v>
      </c>
      <c r="V25" s="5"/>
      <c r="W25" s="5"/>
      <c r="X25" s="5"/>
      <c r="Y25" s="5"/>
    </row>
    <row r="26" spans="1:25" ht="15.6">
      <c r="A26" s="9"/>
      <c r="B26" s="34" t="s">
        <v>72</v>
      </c>
      <c r="C26" s="35"/>
      <c r="D26" s="35"/>
      <c r="E26" s="9"/>
      <c r="F26" s="455" t="s">
        <v>222</v>
      </c>
      <c r="G26" s="376"/>
      <c r="H26" s="376"/>
      <c r="I26" s="376"/>
      <c r="J26" s="376"/>
      <c r="K26" s="9"/>
      <c r="L26" s="9"/>
      <c r="M26" s="9"/>
      <c r="N26" s="9"/>
      <c r="O26" s="5"/>
      <c r="P26" s="5"/>
      <c r="Q26" s="5"/>
      <c r="R26" s="5"/>
      <c r="S26" s="9">
        <v>286.63479999999998</v>
      </c>
      <c r="T26" s="376"/>
      <c r="U26" s="376"/>
      <c r="V26" s="5"/>
      <c r="W26" s="5"/>
      <c r="X26" s="5"/>
      <c r="Y26" s="5"/>
    </row>
    <row r="27" spans="1:25" ht="15.6">
      <c r="A27" s="9"/>
      <c r="B27" s="406" t="s">
        <v>99</v>
      </c>
      <c r="C27" s="389"/>
      <c r="D27" s="50">
        <v>1</v>
      </c>
      <c r="E27" s="9"/>
      <c r="F27" s="455" t="s">
        <v>223</v>
      </c>
      <c r="G27" s="376"/>
      <c r="H27" s="376"/>
      <c r="I27" s="376"/>
      <c r="J27" s="376"/>
      <c r="K27" s="9"/>
      <c r="L27" s="9"/>
      <c r="M27" s="9"/>
      <c r="N27" s="9"/>
      <c r="O27" s="5"/>
      <c r="P27" s="5"/>
      <c r="Q27" s="5"/>
      <c r="S27" s="9" t="s">
        <v>197</v>
      </c>
      <c r="T27" s="94" t="s">
        <v>135</v>
      </c>
      <c r="U27" s="96">
        <f>U25*F44</f>
        <v>28.661527310881503</v>
      </c>
      <c r="V27" s="5" t="s">
        <v>218</v>
      </c>
      <c r="W27" s="5"/>
      <c r="X27" s="5"/>
      <c r="Y27" s="5"/>
    </row>
    <row r="28" spans="1:25" ht="15.6">
      <c r="A28" s="9"/>
      <c r="B28" s="397" t="s">
        <v>92</v>
      </c>
      <c r="C28" s="398"/>
      <c r="D28" s="48">
        <f>SUM(D21)</f>
        <v>1</v>
      </c>
      <c r="E28" s="9"/>
      <c r="F28" s="455" t="s">
        <v>224</v>
      </c>
      <c r="G28" s="376"/>
      <c r="H28" s="376"/>
      <c r="I28" s="376"/>
      <c r="J28" s="376"/>
      <c r="K28" s="9"/>
      <c r="L28" s="9"/>
      <c r="M28" s="9"/>
      <c r="N28" s="9"/>
      <c r="O28" s="5"/>
      <c r="P28" s="5"/>
      <c r="R28" s="5"/>
      <c r="S28" s="5"/>
      <c r="T28" s="5"/>
      <c r="U28" s="5"/>
      <c r="V28" s="5"/>
      <c r="W28" s="5"/>
      <c r="X28" s="5"/>
      <c r="Y28" s="5"/>
    </row>
    <row r="29" spans="1:25" ht="15.6">
      <c r="A29" s="9"/>
      <c r="B29" s="397" t="s">
        <v>75</v>
      </c>
      <c r="C29" s="398"/>
      <c r="D29" s="40">
        <v>350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5"/>
      <c r="P29" s="5"/>
      <c r="Q29" s="5"/>
      <c r="R29" s="5"/>
      <c r="S29" s="11" t="s">
        <v>225</v>
      </c>
      <c r="T29" s="5"/>
      <c r="U29" s="5"/>
      <c r="V29" s="5"/>
      <c r="W29" s="5"/>
      <c r="X29" s="5"/>
      <c r="Y29" s="5"/>
    </row>
    <row r="30" spans="1:25" ht="15.6">
      <c r="A30" s="9"/>
      <c r="B30" s="454" t="s">
        <v>76</v>
      </c>
      <c r="C30" s="439"/>
      <c r="D30" s="210">
        <v>1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5"/>
      <c r="P30" s="5"/>
      <c r="Q30" s="5"/>
      <c r="R30" s="5"/>
      <c r="S30" s="150" t="s">
        <v>91</v>
      </c>
      <c r="T30" s="420" t="s">
        <v>135</v>
      </c>
      <c r="U30" s="421">
        <v>8</v>
      </c>
      <c r="V30" s="5"/>
      <c r="W30" s="5"/>
      <c r="X30" s="5"/>
      <c r="Y30" s="5"/>
    </row>
    <row r="31" spans="1:25" ht="15.6">
      <c r="A31" s="9"/>
      <c r="B31" s="400" t="s">
        <v>548</v>
      </c>
      <c r="C31" s="400"/>
      <c r="D31" s="216">
        <f>T98</f>
        <v>5670422.0474850787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5"/>
      <c r="P31" s="5"/>
      <c r="Q31" s="5"/>
      <c r="R31" s="5"/>
      <c r="S31" s="9" t="s">
        <v>94</v>
      </c>
      <c r="T31" s="376"/>
      <c r="U31" s="437"/>
      <c r="V31" s="5"/>
      <c r="W31" s="5"/>
      <c r="X31" s="5"/>
      <c r="Y31" s="5"/>
    </row>
    <row r="32" spans="1:25" ht="15.6">
      <c r="A32" s="9"/>
      <c r="E32" s="9"/>
      <c r="F32" s="9"/>
      <c r="G32" s="9"/>
      <c r="H32" s="9"/>
      <c r="I32" s="9"/>
      <c r="J32" s="9"/>
      <c r="K32" s="9"/>
      <c r="L32" s="9"/>
      <c r="M32" s="9"/>
      <c r="N32" s="7" t="s">
        <v>83</v>
      </c>
      <c r="O32" s="5"/>
      <c r="P32" s="5"/>
      <c r="Q32" s="5"/>
      <c r="R32" s="5"/>
      <c r="S32" s="9" t="s">
        <v>91</v>
      </c>
      <c r="T32" s="100" t="s">
        <v>135</v>
      </c>
      <c r="U32" s="21" t="s">
        <v>226</v>
      </c>
      <c r="V32" s="5"/>
      <c r="W32" s="5"/>
      <c r="X32" s="5"/>
      <c r="Y32" s="5"/>
    </row>
    <row r="33" spans="1:25" ht="15.6">
      <c r="A33" s="9"/>
      <c r="B33" s="9"/>
      <c r="C33" s="9"/>
      <c r="D33" s="9"/>
      <c r="E33" s="7" t="s">
        <v>82</v>
      </c>
      <c r="F33" s="9"/>
      <c r="G33" s="9"/>
      <c r="H33" s="9"/>
      <c r="I33" s="9"/>
      <c r="J33" s="9"/>
      <c r="K33" s="9"/>
      <c r="L33" s="9"/>
      <c r="M33" s="9"/>
      <c r="N33" s="9"/>
      <c r="O33" s="5"/>
      <c r="P33" s="5"/>
      <c r="Q33" s="5"/>
      <c r="R33" s="5"/>
      <c r="S33" s="9" t="s">
        <v>91</v>
      </c>
      <c r="T33" s="100" t="s">
        <v>135</v>
      </c>
      <c r="U33" s="151" t="s">
        <v>227</v>
      </c>
      <c r="V33" s="101" t="s">
        <v>228</v>
      </c>
      <c r="W33" s="5"/>
      <c r="X33" s="5"/>
      <c r="Y33" s="5"/>
    </row>
    <row r="34" spans="1:25" ht="15.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6">
      <c r="A35" s="9"/>
      <c r="B35" s="9"/>
      <c r="C35" s="9"/>
      <c r="D35" s="9"/>
      <c r="E35" s="9"/>
      <c r="F35" s="9"/>
      <c r="G35" s="9"/>
      <c r="H35" s="9"/>
      <c r="I35" s="9"/>
      <c r="J35" s="9"/>
      <c r="K35" s="95"/>
      <c r="L35" s="95"/>
      <c r="M35" s="95"/>
      <c r="N35" s="9"/>
      <c r="O35" s="5"/>
      <c r="P35" s="5"/>
      <c r="Q35" s="5"/>
      <c r="R35" s="5"/>
      <c r="S35" s="11" t="s">
        <v>229</v>
      </c>
      <c r="T35" s="5"/>
      <c r="U35" s="5"/>
      <c r="V35" s="5"/>
      <c r="W35" s="5"/>
      <c r="X35" s="5"/>
      <c r="Y35" s="5"/>
    </row>
    <row r="36" spans="1:25" ht="15.6">
      <c r="A36" s="9"/>
      <c r="B36" s="9"/>
      <c r="C36" s="9"/>
      <c r="D36" s="9"/>
      <c r="E36" s="9"/>
      <c r="F36" s="9"/>
      <c r="G36" s="9"/>
      <c r="H36" s="9"/>
      <c r="I36" s="9"/>
      <c r="J36" s="9"/>
      <c r="K36" s="401" t="s">
        <v>79</v>
      </c>
      <c r="L36" s="389"/>
      <c r="M36" s="33">
        <f>M39*Q5+M40*Q6+M41*Q7+Q8*M42+M43*Q9</f>
        <v>19948.089818118537</v>
      </c>
      <c r="N36" s="9"/>
      <c r="O36" s="5"/>
      <c r="P36" s="5"/>
      <c r="Q36" s="5"/>
      <c r="R36" s="5"/>
      <c r="S36" s="5" t="s">
        <v>230</v>
      </c>
      <c r="T36" s="5"/>
      <c r="U36" s="5"/>
      <c r="V36" s="5"/>
      <c r="W36" s="5"/>
      <c r="X36" s="5"/>
      <c r="Y36" s="5"/>
    </row>
    <row r="37" spans="1:25" ht="15.6">
      <c r="A37" s="9"/>
      <c r="B37" s="9"/>
      <c r="C37" s="9"/>
      <c r="D37" s="9"/>
      <c r="E37" s="9"/>
      <c r="F37" s="9"/>
      <c r="G37" s="9"/>
      <c r="H37" s="9"/>
      <c r="I37" s="9"/>
      <c r="J37" s="9"/>
      <c r="K37" s="401" t="s">
        <v>80</v>
      </c>
      <c r="L37" s="389"/>
      <c r="M37" s="33">
        <f>SUM(M39:M43)</f>
        <v>497.9940370265661</v>
      </c>
      <c r="N37" s="9"/>
      <c r="O37" s="5"/>
      <c r="P37" s="5"/>
      <c r="Q37" s="5"/>
      <c r="R37" s="5"/>
      <c r="S37" s="102">
        <f>F44</f>
        <v>286.61527310881502</v>
      </c>
      <c r="T37" s="103" t="s">
        <v>231</v>
      </c>
      <c r="U37" s="44">
        <v>1</v>
      </c>
      <c r="V37" s="93" t="s">
        <v>232</v>
      </c>
      <c r="W37" s="5"/>
      <c r="X37" s="5"/>
      <c r="Y37" s="5"/>
    </row>
    <row r="38" spans="1:25" ht="15.6">
      <c r="A38" s="9"/>
      <c r="B38" s="9"/>
      <c r="C38" s="9"/>
      <c r="D38" s="9"/>
      <c r="E38" s="9"/>
      <c r="F38" s="9"/>
      <c r="G38" s="7" t="s">
        <v>100</v>
      </c>
      <c r="H38" s="9"/>
      <c r="I38" s="9"/>
      <c r="J38" s="9"/>
      <c r="K38" s="401" t="s">
        <v>66</v>
      </c>
      <c r="L38" s="391"/>
      <c r="M38" s="389"/>
      <c r="N38" s="9"/>
      <c r="O38" s="5"/>
      <c r="P38" s="5"/>
      <c r="Q38" s="5"/>
      <c r="R38" s="5"/>
      <c r="S38" s="438" t="s">
        <v>233</v>
      </c>
      <c r="T38" s="439"/>
      <c r="U38" s="105">
        <v>1</v>
      </c>
      <c r="V38" s="104" t="s">
        <v>234</v>
      </c>
      <c r="W38" s="5"/>
      <c r="X38" s="5"/>
      <c r="Y38" s="5"/>
    </row>
    <row r="39" spans="1:25" ht="15.6">
      <c r="A39" s="9"/>
      <c r="B39" s="9"/>
      <c r="C39" s="9"/>
      <c r="D39" s="9"/>
      <c r="E39" s="9"/>
      <c r="F39" s="9"/>
      <c r="G39" s="9"/>
      <c r="H39" s="9"/>
      <c r="I39" s="9"/>
      <c r="J39" s="9"/>
      <c r="K39" s="34" t="s">
        <v>67</v>
      </c>
      <c r="L39" s="40" t="s">
        <v>89</v>
      </c>
      <c r="M39" s="41">
        <f>U61</f>
        <v>257.95374579793349</v>
      </c>
      <c r="N39" s="9"/>
      <c r="O39" s="5"/>
      <c r="P39" s="5"/>
      <c r="Q39" s="5"/>
      <c r="R39" s="5"/>
      <c r="S39" s="61" t="s">
        <v>135</v>
      </c>
      <c r="T39" s="96">
        <f>S37*(U37/U38)</f>
        <v>286.61527310881502</v>
      </c>
      <c r="U39" s="5" t="s">
        <v>235</v>
      </c>
      <c r="V39" s="5"/>
      <c r="W39" s="5"/>
      <c r="X39" s="5"/>
      <c r="Y39" s="5"/>
    </row>
    <row r="40" spans="1:25" ht="15.6">
      <c r="A40" s="9"/>
      <c r="B40" s="9"/>
      <c r="C40" s="95"/>
      <c r="D40" s="412" t="s">
        <v>79</v>
      </c>
      <c r="E40" s="413"/>
      <c r="F40" s="33">
        <f>Q6*F44</f>
        <v>12626.262626262627</v>
      </c>
      <c r="H40" s="9"/>
      <c r="I40" s="9"/>
      <c r="J40" s="9"/>
      <c r="K40" s="34" t="s">
        <v>68</v>
      </c>
      <c r="L40" s="40" t="s">
        <v>90</v>
      </c>
      <c r="M40" s="41">
        <f>U75</f>
        <v>68.071127363343578</v>
      </c>
      <c r="N40" s="9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6">
      <c r="A41" s="9"/>
      <c r="B41" s="9"/>
      <c r="C41" s="95"/>
      <c r="D41" s="412" t="s">
        <v>80</v>
      </c>
      <c r="E41" s="413"/>
      <c r="F41" s="33">
        <f>F44</f>
        <v>286.61527310881502</v>
      </c>
      <c r="H41" s="9"/>
      <c r="I41" s="9"/>
      <c r="J41" s="9"/>
      <c r="K41" s="34" t="s">
        <v>69</v>
      </c>
      <c r="L41" s="40" t="s">
        <v>91</v>
      </c>
      <c r="M41" s="41">
        <f>U48</f>
        <v>143.30763655440751</v>
      </c>
      <c r="N41" s="9"/>
      <c r="O41" s="5"/>
      <c r="P41" s="5"/>
      <c r="Q41" s="5"/>
      <c r="R41" s="5"/>
      <c r="S41" s="124" t="s">
        <v>236</v>
      </c>
      <c r="T41" s="436" t="s">
        <v>135</v>
      </c>
      <c r="U41" s="387">
        <f>50%</f>
        <v>0.5</v>
      </c>
      <c r="V41" s="5"/>
      <c r="W41" s="5"/>
      <c r="X41" s="5"/>
      <c r="Y41" s="5"/>
    </row>
    <row r="42" spans="1:25" ht="15.6">
      <c r="A42" s="9"/>
      <c r="B42" s="9"/>
      <c r="C42" s="95"/>
      <c r="D42" s="401" t="s">
        <v>66</v>
      </c>
      <c r="E42" s="403"/>
      <c r="F42" s="402"/>
      <c r="H42" s="9"/>
      <c r="I42" s="9"/>
      <c r="J42" s="9"/>
      <c r="K42" s="34" t="s">
        <v>70</v>
      </c>
      <c r="L42" s="40" t="s">
        <v>93</v>
      </c>
      <c r="M42" s="41">
        <f>U66</f>
        <v>10.748072741580565</v>
      </c>
      <c r="N42" s="9"/>
      <c r="O42" s="5"/>
      <c r="P42" s="5"/>
      <c r="Q42" s="5"/>
      <c r="R42" s="5"/>
      <c r="S42" s="96">
        <f>T39</f>
        <v>286.61527310881502</v>
      </c>
      <c r="T42" s="376"/>
      <c r="U42" s="376"/>
      <c r="V42" s="5"/>
      <c r="W42" s="5"/>
      <c r="X42" s="5"/>
      <c r="Y42" s="5"/>
    </row>
    <row r="43" spans="1:25" ht="15.6">
      <c r="A43" s="9"/>
      <c r="B43" s="9"/>
      <c r="C43" s="95"/>
      <c r="D43" s="34" t="s">
        <v>67</v>
      </c>
      <c r="E43" s="35"/>
      <c r="F43" s="35"/>
      <c r="H43" s="9"/>
      <c r="I43" s="9"/>
      <c r="J43" s="9"/>
      <c r="K43" s="34" t="s">
        <v>71</v>
      </c>
      <c r="L43" s="40" t="s">
        <v>94</v>
      </c>
      <c r="M43" s="41">
        <f>U70</f>
        <v>17.913454569300939</v>
      </c>
      <c r="N43" s="9"/>
      <c r="O43" s="5"/>
      <c r="P43" s="5"/>
      <c r="Q43" s="5"/>
      <c r="R43" s="5"/>
      <c r="S43" s="9" t="s">
        <v>88</v>
      </c>
      <c r="T43" s="94" t="s">
        <v>135</v>
      </c>
      <c r="U43" s="96">
        <f>U41*T39+T39</f>
        <v>429.92290966322253</v>
      </c>
      <c r="V43" s="5"/>
      <c r="W43" s="5"/>
      <c r="X43" s="5"/>
      <c r="Y43" s="5"/>
    </row>
    <row r="44" spans="1:25" ht="15.6">
      <c r="A44" s="9"/>
      <c r="B44" s="9"/>
      <c r="C44" s="95"/>
      <c r="D44" s="34" t="s">
        <v>68</v>
      </c>
      <c r="E44" s="40" t="s">
        <v>101</v>
      </c>
      <c r="F44" s="41">
        <f>'Conversion '!M14</f>
        <v>286.61527310881502</v>
      </c>
      <c r="H44" s="9"/>
      <c r="I44" s="9"/>
      <c r="J44" s="9"/>
      <c r="K44" s="34" t="s">
        <v>72</v>
      </c>
      <c r="L44" s="35"/>
      <c r="M44" s="35"/>
      <c r="N44" s="9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6">
      <c r="A45" s="9"/>
      <c r="B45" s="9"/>
      <c r="C45" s="95"/>
      <c r="D45" s="34" t="s">
        <v>69</v>
      </c>
      <c r="E45" s="35"/>
      <c r="F45" s="35"/>
      <c r="H45" s="9"/>
      <c r="I45" s="9"/>
      <c r="J45" s="9"/>
      <c r="K45" s="404" t="s">
        <v>85</v>
      </c>
      <c r="L45" s="405"/>
      <c r="M45" s="398"/>
      <c r="N45" s="9"/>
      <c r="O45" s="5"/>
      <c r="P45" s="5"/>
      <c r="Q45" s="5"/>
      <c r="R45" s="5"/>
      <c r="S45" s="11" t="s">
        <v>237</v>
      </c>
      <c r="T45" s="5"/>
      <c r="U45" s="5"/>
      <c r="V45" s="95"/>
      <c r="W45" s="5"/>
      <c r="X45" s="5"/>
      <c r="Y45" s="5"/>
    </row>
    <row r="46" spans="1:25" ht="15.6">
      <c r="A46" s="9"/>
      <c r="B46" s="9"/>
      <c r="C46" s="95"/>
      <c r="D46" s="34" t="s">
        <v>70</v>
      </c>
      <c r="E46" s="35"/>
      <c r="F46" s="35"/>
      <c r="H46" s="9"/>
      <c r="I46" s="9"/>
      <c r="J46" s="9"/>
      <c r="K46" s="34" t="s">
        <v>67</v>
      </c>
      <c r="L46" s="35"/>
      <c r="M46" s="41">
        <f t="shared" ref="M46:M50" si="0">M39/$M$37</f>
        <v>0.51798561151079126</v>
      </c>
      <c r="N46" s="9"/>
      <c r="O46" s="5"/>
      <c r="P46" s="5"/>
      <c r="Q46" s="5"/>
      <c r="R46" s="5"/>
      <c r="S46" s="95" t="s">
        <v>238</v>
      </c>
      <c r="T46" s="100" t="s">
        <v>135</v>
      </c>
      <c r="U46" s="9" t="s">
        <v>91</v>
      </c>
      <c r="V46" s="95"/>
      <c r="W46" s="5"/>
      <c r="X46" s="5"/>
      <c r="Y46" s="5"/>
    </row>
    <row r="47" spans="1:25" ht="15.6">
      <c r="A47" s="9"/>
      <c r="B47" s="9"/>
      <c r="C47" s="95"/>
      <c r="D47" s="34" t="s">
        <v>71</v>
      </c>
      <c r="E47" s="35"/>
      <c r="F47" s="35"/>
      <c r="H47" s="9"/>
      <c r="I47" s="9"/>
      <c r="J47" s="9"/>
      <c r="K47" s="34" t="s">
        <v>68</v>
      </c>
      <c r="L47" s="35"/>
      <c r="M47" s="41">
        <f t="shared" si="0"/>
        <v>0.1366906474820144</v>
      </c>
      <c r="N47" s="9"/>
      <c r="O47" s="5"/>
      <c r="P47" s="5"/>
      <c r="Q47" s="5"/>
      <c r="R47" s="5"/>
      <c r="S47" s="9" t="s">
        <v>91</v>
      </c>
      <c r="T47" s="100" t="s">
        <v>135</v>
      </c>
      <c r="U47" s="95" t="s">
        <v>239</v>
      </c>
      <c r="V47" s="5"/>
      <c r="W47" s="5"/>
      <c r="X47" s="5"/>
      <c r="Y47" s="5"/>
    </row>
    <row r="48" spans="1:25" ht="15.6">
      <c r="A48" s="9"/>
      <c r="B48" s="9"/>
      <c r="C48" s="95"/>
      <c r="D48" s="34" t="s">
        <v>72</v>
      </c>
      <c r="E48" s="35"/>
      <c r="F48" s="35"/>
      <c r="H48" s="9"/>
      <c r="I48" s="9"/>
      <c r="J48" s="9"/>
      <c r="K48" s="34" t="s">
        <v>69</v>
      </c>
      <c r="L48" s="35"/>
      <c r="M48" s="41">
        <f t="shared" si="0"/>
        <v>0.28776978417266186</v>
      </c>
      <c r="N48" s="9"/>
      <c r="O48" s="5"/>
      <c r="P48" s="5"/>
      <c r="Q48" s="5"/>
      <c r="R48" s="5"/>
      <c r="S48" s="9" t="s">
        <v>91</v>
      </c>
      <c r="T48" s="100" t="s">
        <v>135</v>
      </c>
      <c r="U48" s="102">
        <f>U20-U27</f>
        <v>143.30763655440751</v>
      </c>
      <c r="V48" s="84" t="s">
        <v>240</v>
      </c>
      <c r="W48" s="5"/>
      <c r="X48" s="5"/>
      <c r="Y48" s="5"/>
    </row>
    <row r="49" spans="1:25" ht="15.6">
      <c r="A49" s="9"/>
      <c r="B49" s="9"/>
      <c r="C49" s="95"/>
      <c r="D49" s="408" t="s">
        <v>85</v>
      </c>
      <c r="E49" s="409"/>
      <c r="F49" s="410"/>
      <c r="H49" s="9"/>
      <c r="I49" s="9"/>
      <c r="J49" s="9"/>
      <c r="K49" s="34" t="s">
        <v>70</v>
      </c>
      <c r="L49" s="35"/>
      <c r="M49" s="41">
        <f t="shared" si="0"/>
        <v>2.1582733812949641E-2</v>
      </c>
      <c r="N49" s="9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.6">
      <c r="A50" s="9"/>
      <c r="B50" s="9"/>
      <c r="C50" s="95"/>
      <c r="D50" s="34" t="s">
        <v>67</v>
      </c>
      <c r="E50" s="35"/>
      <c r="F50" s="35"/>
      <c r="H50" s="9"/>
      <c r="I50" s="9"/>
      <c r="J50" s="9"/>
      <c r="K50" s="34" t="s">
        <v>71</v>
      </c>
      <c r="L50" s="35"/>
      <c r="M50" s="41">
        <f t="shared" si="0"/>
        <v>3.5971223021582732E-2</v>
      </c>
      <c r="N50" s="9"/>
      <c r="O50" s="5"/>
      <c r="P50" s="5"/>
      <c r="Q50" s="5"/>
      <c r="R50" s="5"/>
      <c r="S50" s="5" t="s">
        <v>241</v>
      </c>
      <c r="T50" s="5"/>
      <c r="U50" s="5"/>
      <c r="V50" s="5"/>
      <c r="W50" s="5"/>
      <c r="X50" s="5"/>
      <c r="Y50" s="5"/>
    </row>
    <row r="51" spans="1:25" ht="15.6">
      <c r="A51" s="9"/>
      <c r="B51" s="9"/>
      <c r="C51" s="95"/>
      <c r="D51" s="34" t="s">
        <v>68</v>
      </c>
      <c r="E51" s="35"/>
      <c r="F51" s="41">
        <f>F44/$F$41</f>
        <v>1</v>
      </c>
      <c r="H51" s="9"/>
      <c r="I51" s="9"/>
      <c r="J51" s="9"/>
      <c r="K51" s="34" t="s">
        <v>72</v>
      </c>
      <c r="L51" s="35"/>
      <c r="M51" s="35"/>
      <c r="N51" s="9"/>
      <c r="O51" s="5"/>
      <c r="P51" s="5"/>
      <c r="R51" s="5"/>
      <c r="S51" s="9" t="s">
        <v>91</v>
      </c>
      <c r="T51" s="99" t="s">
        <v>135</v>
      </c>
      <c r="U51" s="21" t="s">
        <v>227</v>
      </c>
      <c r="V51" s="5"/>
      <c r="W51" s="5"/>
      <c r="X51" s="5"/>
      <c r="Y51" s="5"/>
    </row>
    <row r="52" spans="1:25" ht="15.6">
      <c r="A52" s="9"/>
      <c r="B52" s="9"/>
      <c r="C52" s="95"/>
      <c r="D52" s="34" t="s">
        <v>69</v>
      </c>
      <c r="E52" s="35"/>
      <c r="F52" s="35"/>
      <c r="H52" s="9"/>
      <c r="I52" s="9"/>
      <c r="J52" s="9"/>
      <c r="K52" s="406" t="s">
        <v>99</v>
      </c>
      <c r="L52" s="389"/>
      <c r="M52" s="50">
        <v>1</v>
      </c>
      <c r="N52" s="9"/>
      <c r="O52" s="5"/>
      <c r="P52" s="5"/>
      <c r="Q52" s="5"/>
      <c r="R52" s="5"/>
      <c r="S52" s="387" t="s">
        <v>199</v>
      </c>
      <c r="T52" s="420" t="s">
        <v>135</v>
      </c>
      <c r="U52" s="205" t="s">
        <v>91</v>
      </c>
      <c r="W52" s="5"/>
      <c r="X52" s="5"/>
      <c r="Y52" s="5"/>
    </row>
    <row r="53" spans="1:25" ht="15.6">
      <c r="A53" s="9"/>
      <c r="B53" s="9"/>
      <c r="C53" s="95"/>
      <c r="D53" s="34" t="s">
        <v>70</v>
      </c>
      <c r="E53" s="35"/>
      <c r="F53" s="35"/>
      <c r="H53" s="9"/>
      <c r="I53" s="9"/>
      <c r="J53" s="9"/>
      <c r="K53" s="397" t="s">
        <v>92</v>
      </c>
      <c r="L53" s="398"/>
      <c r="M53" s="48">
        <f>SUM(M46:M50)</f>
        <v>0.99999999999999989</v>
      </c>
      <c r="N53" s="9"/>
      <c r="O53" s="5"/>
      <c r="P53" s="5"/>
      <c r="Q53" s="5"/>
      <c r="R53" s="5"/>
      <c r="S53" s="387"/>
      <c r="T53" s="440"/>
      <c r="U53" s="9">
        <v>8</v>
      </c>
      <c r="V53" s="5"/>
      <c r="W53" s="5"/>
      <c r="X53" s="5"/>
      <c r="Y53" s="5"/>
    </row>
    <row r="54" spans="1:25" ht="15.6">
      <c r="A54" s="9"/>
      <c r="B54" s="9"/>
      <c r="C54" s="95"/>
      <c r="D54" s="34" t="s">
        <v>71</v>
      </c>
      <c r="E54" s="35"/>
      <c r="F54" s="35"/>
      <c r="H54" s="9"/>
      <c r="I54" s="9"/>
      <c r="J54" s="9"/>
      <c r="K54" s="397" t="s">
        <v>75</v>
      </c>
      <c r="L54" s="398"/>
      <c r="M54" s="40">
        <v>350</v>
      </c>
      <c r="N54" s="9"/>
      <c r="O54" s="5"/>
      <c r="P54" s="5"/>
      <c r="Q54" s="5"/>
      <c r="R54" s="5"/>
      <c r="S54" s="387" t="s">
        <v>199</v>
      </c>
      <c r="T54" s="420" t="s">
        <v>135</v>
      </c>
      <c r="U54" s="206">
        <f>U48</f>
        <v>143.30763655440751</v>
      </c>
      <c r="V54" s="5"/>
      <c r="W54" s="5"/>
      <c r="X54" s="5"/>
      <c r="Y54" s="5"/>
    </row>
    <row r="55" spans="1:25" ht="15.6">
      <c r="A55" s="9"/>
      <c r="B55" s="9"/>
      <c r="C55" s="95"/>
      <c r="D55" s="34" t="s">
        <v>72</v>
      </c>
      <c r="E55" s="35"/>
      <c r="F55" s="35"/>
      <c r="H55" s="9"/>
      <c r="I55" s="9"/>
      <c r="J55" s="9"/>
      <c r="K55" s="396" t="s">
        <v>76</v>
      </c>
      <c r="L55" s="389"/>
      <c r="M55" s="45">
        <v>1</v>
      </c>
      <c r="N55" s="9"/>
      <c r="O55" s="5"/>
      <c r="P55" s="5"/>
      <c r="Q55" s="5"/>
      <c r="R55" s="5"/>
      <c r="S55" s="387"/>
      <c r="T55" s="440"/>
      <c r="U55" s="9">
        <v>8</v>
      </c>
      <c r="V55" s="5"/>
      <c r="W55" s="5"/>
      <c r="X55" s="5"/>
      <c r="Y55" s="5"/>
    </row>
    <row r="56" spans="1:25" ht="15.6">
      <c r="A56" s="9"/>
      <c r="B56" s="9"/>
      <c r="C56" s="95"/>
      <c r="D56" s="406" t="s">
        <v>99</v>
      </c>
      <c r="E56" s="411"/>
      <c r="F56" s="50">
        <v>1</v>
      </c>
      <c r="H56" s="9"/>
      <c r="I56" s="9"/>
      <c r="J56" s="9"/>
      <c r="K56" s="400" t="s">
        <v>548</v>
      </c>
      <c r="L56" s="400"/>
      <c r="M56" s="216">
        <f>X98</f>
        <v>12522338.039641868</v>
      </c>
      <c r="N56" s="9"/>
      <c r="O56" s="5"/>
      <c r="P56" s="5"/>
      <c r="Q56" s="5"/>
      <c r="R56" s="5"/>
      <c r="S56" s="21" t="s">
        <v>199</v>
      </c>
      <c r="T56" s="99" t="s">
        <v>135</v>
      </c>
      <c r="U56" s="96">
        <f>U48/8</f>
        <v>17.913454569300939</v>
      </c>
      <c r="V56" s="5" t="s">
        <v>242</v>
      </c>
      <c r="W56" s="5"/>
      <c r="X56" s="5"/>
      <c r="Y56" s="5"/>
    </row>
    <row r="57" spans="1:25" ht="15.6">
      <c r="A57" s="9"/>
      <c r="B57" s="9"/>
      <c r="C57" s="95"/>
      <c r="D57" s="396" t="s">
        <v>92</v>
      </c>
      <c r="E57" s="399"/>
      <c r="F57" s="48">
        <f>SUM(F50:F55)</f>
        <v>1</v>
      </c>
      <c r="H57" s="9"/>
      <c r="I57" s="9"/>
      <c r="J57" s="9"/>
      <c r="K57" s="9"/>
      <c r="L57" s="9"/>
      <c r="M57" s="9"/>
      <c r="N57" s="9"/>
      <c r="O57" s="5"/>
      <c r="P57" s="5"/>
      <c r="Q57" s="5"/>
      <c r="R57" s="5"/>
      <c r="S57" s="153"/>
      <c r="T57" s="99"/>
      <c r="U57" s="5"/>
      <c r="V57" s="5"/>
      <c r="W57" s="5"/>
      <c r="X57" s="5"/>
      <c r="Y57" s="5"/>
    </row>
    <row r="58" spans="1:25" ht="15.6">
      <c r="A58" s="9"/>
      <c r="B58" s="9"/>
      <c r="C58" s="95"/>
      <c r="D58" s="396" t="s">
        <v>75</v>
      </c>
      <c r="E58" s="399"/>
      <c r="F58" s="40">
        <v>350</v>
      </c>
      <c r="H58" s="9"/>
      <c r="I58" s="9"/>
      <c r="J58" s="9"/>
      <c r="K58" s="9"/>
      <c r="L58" s="9"/>
      <c r="M58" s="9"/>
      <c r="N58" s="9"/>
      <c r="O58" s="5"/>
      <c r="P58" s="5"/>
      <c r="Q58" s="5"/>
      <c r="R58" s="5"/>
      <c r="S58" s="11" t="s">
        <v>243</v>
      </c>
      <c r="T58" s="5"/>
      <c r="U58" s="5"/>
      <c r="V58" s="5"/>
      <c r="W58" s="5"/>
      <c r="X58" s="5"/>
      <c r="Y58" s="5"/>
    </row>
    <row r="59" spans="1:25" ht="15.6">
      <c r="A59" s="9"/>
      <c r="B59" s="9"/>
      <c r="C59" s="95"/>
      <c r="D59" s="460" t="s">
        <v>76</v>
      </c>
      <c r="E59" s="461"/>
      <c r="F59" s="45">
        <v>1</v>
      </c>
      <c r="H59" s="9"/>
      <c r="I59" s="9"/>
      <c r="J59" s="9"/>
      <c r="K59" s="9"/>
      <c r="L59" s="9"/>
      <c r="M59" s="9"/>
      <c r="N59" s="9"/>
      <c r="O59" s="5"/>
      <c r="P59" s="5"/>
      <c r="Q59" s="5"/>
      <c r="R59" s="5"/>
      <c r="S59" s="95" t="s">
        <v>244</v>
      </c>
      <c r="T59" s="100" t="s">
        <v>135</v>
      </c>
      <c r="U59" s="95" t="s">
        <v>89</v>
      </c>
      <c r="V59" s="95"/>
      <c r="W59" s="5"/>
      <c r="X59" s="5"/>
      <c r="Y59" s="5"/>
    </row>
    <row r="60" spans="1:25" ht="15.6">
      <c r="A60" s="5"/>
      <c r="B60" s="5"/>
      <c r="C60" s="95"/>
      <c r="D60" s="400" t="s">
        <v>548</v>
      </c>
      <c r="E60" s="400"/>
      <c r="F60" s="216">
        <f>V98</f>
        <v>6362282.7733717831</v>
      </c>
      <c r="G60" s="9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95" t="s">
        <v>89</v>
      </c>
      <c r="T60" s="100" t="s">
        <v>135</v>
      </c>
      <c r="U60" s="95" t="s">
        <v>245</v>
      </c>
      <c r="V60" s="95"/>
      <c r="W60" s="5"/>
      <c r="X60" s="5"/>
      <c r="Y60" s="5"/>
    </row>
    <row r="61" spans="1:25" ht="15.6">
      <c r="A61" s="5"/>
      <c r="B61" s="5"/>
      <c r="C61" s="5"/>
      <c r="D61" s="5"/>
      <c r="E61" s="5"/>
      <c r="F61" s="5"/>
      <c r="G61" s="5"/>
      <c r="H61" s="5"/>
      <c r="I61" s="5"/>
      <c r="J61" s="5"/>
      <c r="K61" s="79"/>
      <c r="L61" s="79"/>
      <c r="M61" s="5"/>
      <c r="N61" s="5"/>
      <c r="O61" s="5"/>
      <c r="P61" s="5"/>
      <c r="Q61" s="5"/>
      <c r="R61" s="5"/>
      <c r="S61" s="95" t="s">
        <v>89</v>
      </c>
      <c r="T61" s="100" t="s">
        <v>135</v>
      </c>
      <c r="U61" s="102">
        <f>U43-U20</f>
        <v>257.95374579793349</v>
      </c>
      <c r="V61" s="84" t="s">
        <v>246</v>
      </c>
      <c r="W61" s="5"/>
      <c r="X61" s="5"/>
      <c r="Y61" s="5"/>
    </row>
    <row r="62" spans="1:25" ht="15.6">
      <c r="A62" s="5"/>
      <c r="B62" s="5"/>
      <c r="C62" s="5"/>
      <c r="D62" s="5"/>
      <c r="E62" s="5"/>
      <c r="F62" s="5"/>
      <c r="G62" s="5"/>
      <c r="H62" s="5"/>
      <c r="I62" s="5"/>
      <c r="J62" s="5"/>
      <c r="K62" s="79"/>
      <c r="L62" s="79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.6">
      <c r="A63" s="5"/>
      <c r="B63" s="5"/>
      <c r="C63" s="5"/>
      <c r="D63" s="5"/>
      <c r="E63" s="5"/>
      <c r="F63" s="5"/>
      <c r="G63" s="5"/>
      <c r="H63" s="5"/>
      <c r="I63" s="5"/>
      <c r="J63" s="5"/>
      <c r="K63" s="79"/>
      <c r="L63" s="79"/>
      <c r="M63" s="5"/>
      <c r="N63" s="5"/>
      <c r="O63" s="5"/>
      <c r="P63" s="5"/>
      <c r="Q63" s="5"/>
      <c r="R63" s="5"/>
      <c r="S63" s="106" t="s">
        <v>247</v>
      </c>
      <c r="T63" s="84"/>
      <c r="U63" s="95"/>
      <c r="V63" s="95"/>
      <c r="W63" s="5"/>
      <c r="X63" s="5"/>
      <c r="Y63" s="5"/>
    </row>
    <row r="64" spans="1:25" ht="15.6">
      <c r="A64" s="5"/>
      <c r="B64" s="5"/>
      <c r="C64" s="5"/>
      <c r="D64" s="5"/>
      <c r="E64" s="5"/>
      <c r="F64" s="5"/>
      <c r="G64" s="5"/>
      <c r="H64" s="5"/>
      <c r="I64" s="5"/>
      <c r="J64" s="5"/>
      <c r="K64" s="79"/>
      <c r="L64" s="79"/>
      <c r="M64" s="5"/>
      <c r="N64" s="5"/>
      <c r="O64" s="5"/>
      <c r="P64" s="5"/>
      <c r="Q64" s="5"/>
      <c r="R64" s="5"/>
      <c r="S64" s="9" t="s">
        <v>248</v>
      </c>
      <c r="T64" s="100" t="s">
        <v>135</v>
      </c>
      <c r="U64" s="9" t="s">
        <v>93</v>
      </c>
      <c r="V64" s="95"/>
      <c r="W64" s="5"/>
      <c r="X64" s="5"/>
      <c r="Y64" s="5"/>
    </row>
    <row r="65" spans="1:36" ht="15.6">
      <c r="A65" s="5"/>
      <c r="B65" s="5"/>
      <c r="C65" s="5"/>
      <c r="D65" s="5"/>
      <c r="E65" s="5"/>
      <c r="F65" s="5"/>
      <c r="G65" s="5"/>
      <c r="H65" s="5"/>
      <c r="I65" s="5"/>
      <c r="J65" s="5"/>
      <c r="K65" s="79"/>
      <c r="L65" s="79"/>
      <c r="M65" s="5"/>
      <c r="N65" s="5"/>
      <c r="O65" s="5"/>
      <c r="P65" s="5"/>
      <c r="Q65" s="5"/>
      <c r="R65" s="5"/>
      <c r="S65" s="9" t="s">
        <v>93</v>
      </c>
      <c r="T65" s="100" t="s">
        <v>135</v>
      </c>
      <c r="U65" s="9" t="s">
        <v>249</v>
      </c>
      <c r="V65" s="5"/>
      <c r="W65" s="5"/>
      <c r="X65" s="5"/>
      <c r="Y65" s="5"/>
    </row>
    <row r="66" spans="1:36" ht="15.6">
      <c r="A66" s="5"/>
      <c r="B66" s="5"/>
      <c r="C66" s="5"/>
      <c r="D66" s="5"/>
      <c r="E66" s="5"/>
      <c r="F66" s="5"/>
      <c r="G66" s="5"/>
      <c r="H66" s="5"/>
      <c r="I66" s="5"/>
      <c r="J66" s="5"/>
      <c r="K66" s="79"/>
      <c r="L66" s="79"/>
      <c r="M66" s="5"/>
      <c r="N66" s="5"/>
      <c r="O66" s="5"/>
      <c r="P66" s="5"/>
      <c r="Q66" s="5"/>
      <c r="R66" s="5"/>
      <c r="S66" s="9" t="s">
        <v>93</v>
      </c>
      <c r="T66" s="100" t="s">
        <v>135</v>
      </c>
      <c r="U66" s="96">
        <f>U27-U56</f>
        <v>10.748072741580565</v>
      </c>
      <c r="V66" s="84" t="s">
        <v>250</v>
      </c>
      <c r="W66" s="5"/>
      <c r="X66" s="5"/>
      <c r="Y66" s="5"/>
    </row>
    <row r="67" spans="1:36" ht="15.6">
      <c r="A67" s="5"/>
      <c r="B67" s="5"/>
      <c r="C67" s="5"/>
      <c r="D67" s="5"/>
      <c r="E67" s="5"/>
      <c r="F67" s="5"/>
      <c r="G67" s="5"/>
      <c r="H67" s="5"/>
      <c r="I67" s="5"/>
      <c r="J67" s="5"/>
      <c r="K67" s="79"/>
      <c r="L67" s="79"/>
      <c r="M67" s="5"/>
      <c r="N67" s="5"/>
      <c r="O67" s="5"/>
      <c r="P67" s="5"/>
      <c r="Q67" s="5"/>
      <c r="R67" s="5"/>
      <c r="S67" s="95"/>
      <c r="T67" s="95"/>
      <c r="U67" s="95"/>
      <c r="V67" s="84"/>
      <c r="W67" s="5"/>
      <c r="X67" s="5"/>
      <c r="Y67" s="5"/>
    </row>
    <row r="68" spans="1:36" ht="15.6">
      <c r="A68" s="5"/>
      <c r="B68" s="5"/>
      <c r="C68" s="5"/>
      <c r="D68" s="5"/>
      <c r="E68" s="5"/>
      <c r="F68" s="5"/>
      <c r="G68" s="5"/>
      <c r="H68" s="5"/>
      <c r="I68" s="5"/>
      <c r="J68" s="5"/>
      <c r="K68" s="79"/>
      <c r="L68" s="79"/>
      <c r="M68" s="5"/>
      <c r="N68" s="5"/>
      <c r="O68" s="5"/>
      <c r="P68" s="5"/>
      <c r="Q68" s="5"/>
      <c r="R68" s="5"/>
      <c r="S68" s="106" t="s">
        <v>251</v>
      </c>
      <c r="T68" s="84"/>
      <c r="U68" s="95"/>
      <c r="V68" s="84"/>
      <c r="W68" s="5"/>
      <c r="X68" s="5"/>
      <c r="Y68" s="5"/>
    </row>
    <row r="69" spans="1:36" ht="15.6">
      <c r="A69" s="5"/>
      <c r="B69" s="5"/>
      <c r="C69" s="5"/>
      <c r="D69" s="5"/>
      <c r="E69" s="5"/>
      <c r="F69" s="5"/>
      <c r="G69" s="5"/>
      <c r="H69" s="5"/>
      <c r="I69" s="5"/>
      <c r="J69" s="5"/>
      <c r="K69" s="79"/>
      <c r="L69" s="79"/>
      <c r="M69" s="5"/>
      <c r="N69" s="5"/>
      <c r="O69" s="5"/>
      <c r="P69" s="5"/>
      <c r="Q69" s="5"/>
      <c r="R69" s="5"/>
      <c r="S69" s="21" t="s">
        <v>94</v>
      </c>
      <c r="T69" s="100" t="s">
        <v>135</v>
      </c>
      <c r="U69" s="151" t="s">
        <v>199</v>
      </c>
      <c r="V69" s="84"/>
      <c r="W69" s="5"/>
      <c r="X69" s="5"/>
      <c r="Y69" s="5"/>
    </row>
    <row r="70" spans="1:36" ht="15.6">
      <c r="A70" s="5"/>
      <c r="B70" s="5"/>
      <c r="C70" s="5"/>
      <c r="D70" s="5"/>
      <c r="E70" s="5"/>
      <c r="F70" s="5"/>
      <c r="G70" s="5"/>
      <c r="H70" s="5"/>
      <c r="I70" s="5"/>
      <c r="J70" s="5"/>
      <c r="K70" s="79"/>
      <c r="L70" s="79"/>
      <c r="M70" s="5"/>
      <c r="N70" s="5"/>
      <c r="O70" s="5"/>
      <c r="P70" s="5"/>
      <c r="Q70" s="5"/>
      <c r="R70" s="5"/>
      <c r="S70" s="21" t="s">
        <v>94</v>
      </c>
      <c r="T70" s="100" t="s">
        <v>135</v>
      </c>
      <c r="U70" s="154">
        <f>U56</f>
        <v>17.913454569300939</v>
      </c>
      <c r="V70" s="84" t="s">
        <v>252</v>
      </c>
      <c r="W70" s="5"/>
      <c r="X70" s="5"/>
      <c r="Y70" s="5"/>
    </row>
    <row r="71" spans="1:36" ht="15.6">
      <c r="A71" s="5"/>
      <c r="B71" s="5"/>
      <c r="C71" s="5"/>
      <c r="D71" s="5"/>
      <c r="E71" s="5"/>
      <c r="F71" s="5"/>
      <c r="G71" s="5"/>
      <c r="H71" s="5"/>
      <c r="I71" s="5"/>
      <c r="J71" s="5"/>
      <c r="K71" s="79"/>
      <c r="L71" s="79"/>
      <c r="M71" s="5"/>
      <c r="N71" s="5"/>
      <c r="O71" s="5"/>
      <c r="P71" s="5"/>
      <c r="Q71" s="5"/>
      <c r="R71" s="5"/>
      <c r="S71" s="5"/>
      <c r="T71" s="95"/>
      <c r="V71" s="84"/>
      <c r="W71" s="5"/>
      <c r="X71" s="5"/>
      <c r="Y71" s="5"/>
    </row>
    <row r="72" spans="1:36" ht="15.6">
      <c r="A72" s="5"/>
      <c r="B72" s="5"/>
      <c r="C72" s="5"/>
      <c r="D72" s="5"/>
      <c r="E72" s="5"/>
      <c r="F72" s="5"/>
      <c r="G72" s="5"/>
      <c r="H72" s="5"/>
      <c r="I72" s="5"/>
      <c r="J72" s="5"/>
      <c r="K72" s="79"/>
      <c r="L72" s="79"/>
      <c r="M72" s="5"/>
      <c r="N72" s="5"/>
      <c r="O72" s="5"/>
      <c r="P72" s="5"/>
      <c r="Q72" s="5"/>
      <c r="R72" s="5"/>
      <c r="S72" s="106" t="s">
        <v>253</v>
      </c>
      <c r="T72" s="95"/>
      <c r="U72" s="95"/>
      <c r="V72" s="84"/>
      <c r="W72" s="5"/>
      <c r="X72" s="5"/>
      <c r="Y72" s="5"/>
    </row>
    <row r="73" spans="1:36" ht="15.6">
      <c r="A73" s="5"/>
      <c r="B73" s="5"/>
      <c r="C73" s="5"/>
      <c r="D73" s="5"/>
      <c r="E73" s="5"/>
      <c r="F73" s="5"/>
      <c r="G73" s="5"/>
      <c r="H73" s="5"/>
      <c r="I73" s="5"/>
      <c r="J73" s="5"/>
      <c r="K73" s="79"/>
      <c r="L73" s="79"/>
      <c r="M73" s="5"/>
      <c r="N73" s="5"/>
      <c r="O73" s="5"/>
      <c r="P73" s="5"/>
      <c r="Q73" s="5"/>
      <c r="R73" s="5"/>
      <c r="S73" s="95" t="s">
        <v>254</v>
      </c>
      <c r="T73" s="100" t="s">
        <v>135</v>
      </c>
      <c r="U73" s="95" t="s">
        <v>90</v>
      </c>
      <c r="V73" s="84"/>
      <c r="W73" s="5"/>
      <c r="X73" s="5"/>
      <c r="Y73" s="5"/>
    </row>
    <row r="74" spans="1:36" ht="15.6">
      <c r="A74" s="5"/>
      <c r="B74" s="5"/>
      <c r="C74" s="5"/>
      <c r="D74" s="5"/>
      <c r="E74" s="5"/>
      <c r="F74" s="5"/>
      <c r="G74" s="5"/>
      <c r="H74" s="5"/>
      <c r="I74" s="5"/>
      <c r="J74" s="5"/>
      <c r="K74" s="79"/>
      <c r="L74" s="79"/>
      <c r="M74" s="5"/>
      <c r="N74" s="5"/>
      <c r="O74" s="5"/>
      <c r="P74" s="5"/>
      <c r="Q74" s="5"/>
      <c r="R74" s="5"/>
      <c r="S74" s="95" t="s">
        <v>90</v>
      </c>
      <c r="T74" s="100" t="s">
        <v>135</v>
      </c>
      <c r="U74" s="95" t="s">
        <v>255</v>
      </c>
      <c r="V74" s="84"/>
      <c r="W74" s="5"/>
      <c r="X74" s="5"/>
      <c r="Y74" s="5"/>
    </row>
    <row r="75" spans="1:36" ht="15.6">
      <c r="A75" s="5"/>
      <c r="B75" s="5"/>
      <c r="C75" s="5"/>
      <c r="D75" s="5"/>
      <c r="E75" s="5"/>
      <c r="F75" s="5"/>
      <c r="G75" s="5"/>
      <c r="H75" s="5"/>
      <c r="I75" s="5"/>
      <c r="J75" s="5"/>
      <c r="K75" s="79"/>
      <c r="L75" s="79"/>
      <c r="M75" s="5"/>
      <c r="N75" s="5"/>
      <c r="O75" s="5"/>
      <c r="P75" s="5"/>
      <c r="Q75" s="5"/>
      <c r="R75" s="5"/>
      <c r="S75" s="95" t="s">
        <v>90</v>
      </c>
      <c r="T75" s="100" t="s">
        <v>135</v>
      </c>
      <c r="U75" s="102">
        <f>-U20-U27-U56+F44</f>
        <v>68.071127363343578</v>
      </c>
      <c r="V75" s="84" t="s">
        <v>148</v>
      </c>
      <c r="W75" s="5"/>
      <c r="X75" s="5"/>
      <c r="Y75" s="5"/>
    </row>
    <row r="76" spans="1:36" ht="15.6">
      <c r="A76" s="5"/>
      <c r="B76" s="5"/>
      <c r="C76" s="5"/>
      <c r="D76" s="5"/>
      <c r="E76" s="5"/>
      <c r="F76" s="5"/>
      <c r="G76" s="5"/>
      <c r="H76" s="5"/>
      <c r="I76" s="5"/>
      <c r="J76" s="5"/>
      <c r="K76" s="79"/>
      <c r="L76" s="79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36" ht="15.6">
      <c r="A77" s="5"/>
      <c r="B77" s="5"/>
      <c r="C77" s="5"/>
      <c r="D77" s="5"/>
      <c r="E77" s="5"/>
      <c r="F77" s="5"/>
      <c r="G77" s="5"/>
      <c r="H77" s="5"/>
      <c r="I77" s="5"/>
      <c r="J77" s="5"/>
      <c r="K77" s="79"/>
      <c r="L77" s="79"/>
      <c r="M77" s="5"/>
      <c r="N77" s="5"/>
      <c r="O77" s="5"/>
      <c r="P77" s="5"/>
      <c r="Q77" s="5"/>
      <c r="R77" s="5"/>
      <c r="S77" s="11" t="s">
        <v>256</v>
      </c>
      <c r="T77" s="5"/>
      <c r="U77" s="5"/>
      <c r="V77" s="5"/>
      <c r="W77" s="5"/>
      <c r="X77" s="5"/>
      <c r="Y77" s="5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</row>
    <row r="78" spans="1:36" ht="15.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107" t="s">
        <v>257</v>
      </c>
      <c r="T78" s="5"/>
      <c r="U78" s="5"/>
      <c r="V78" s="5"/>
      <c r="W78" s="5"/>
      <c r="X78" s="5"/>
      <c r="Y78" s="5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</row>
    <row r="79" spans="1:36" ht="15.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148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</row>
    <row r="80" spans="1:36" ht="15.6">
      <c r="R80" s="5"/>
      <c r="S80" s="108" t="s">
        <v>258</v>
      </c>
      <c r="T80" s="5"/>
      <c r="U80" s="5"/>
      <c r="V80" s="5"/>
      <c r="W80" s="5"/>
      <c r="X80" s="5"/>
      <c r="Y80" s="5"/>
      <c r="Z80" s="148"/>
      <c r="AA80" s="148"/>
      <c r="AB80" s="148"/>
      <c r="AC80" s="148"/>
      <c r="AD80" s="148"/>
      <c r="AE80" s="148"/>
      <c r="AF80" s="148"/>
      <c r="AG80" s="148"/>
      <c r="AH80" s="148"/>
      <c r="AI80" s="148"/>
      <c r="AJ80" s="148"/>
    </row>
    <row r="81" spans="18:36" ht="15.6">
      <c r="R81" s="5"/>
      <c r="S81" s="109">
        <v>1</v>
      </c>
      <c r="T81" s="5" t="s">
        <v>259</v>
      </c>
      <c r="U81" s="5"/>
      <c r="V81" s="5"/>
      <c r="W81" s="5"/>
      <c r="X81" s="5"/>
      <c r="Y81" s="5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</row>
    <row r="82" spans="18:36" ht="15.6">
      <c r="R82" s="5"/>
      <c r="S82" s="109">
        <v>2</v>
      </c>
      <c r="T82" s="5" t="s">
        <v>260</v>
      </c>
      <c r="U82" s="5"/>
      <c r="V82" s="5"/>
      <c r="W82" s="5"/>
      <c r="X82" s="5"/>
      <c r="Y82" s="5"/>
      <c r="Z82" s="148"/>
      <c r="AA82" s="148"/>
      <c r="AB82" s="148"/>
      <c r="AC82" s="148"/>
      <c r="AD82" s="148"/>
      <c r="AE82" s="148"/>
      <c r="AF82" s="148"/>
      <c r="AG82" s="148"/>
      <c r="AH82" s="148"/>
      <c r="AI82" s="148"/>
      <c r="AJ82" s="148"/>
    </row>
    <row r="83" spans="18:36" ht="15.6">
      <c r="R83" s="5"/>
      <c r="S83" s="109">
        <v>3</v>
      </c>
      <c r="T83" s="5" t="s">
        <v>261</v>
      </c>
      <c r="U83" s="5"/>
      <c r="V83" s="5"/>
      <c r="W83" s="5"/>
      <c r="X83" s="5"/>
      <c r="Y83" s="5"/>
      <c r="Z83" s="148"/>
      <c r="AA83" s="148"/>
      <c r="AB83" s="148"/>
      <c r="AC83" s="148"/>
      <c r="AD83" s="148"/>
      <c r="AE83" s="148"/>
      <c r="AF83" s="148"/>
      <c r="AG83" s="148"/>
      <c r="AH83" s="148"/>
      <c r="AI83" s="148"/>
      <c r="AJ83" s="148"/>
    </row>
    <row r="84" spans="18:36" ht="15.6">
      <c r="R84" s="5"/>
      <c r="S84" s="5"/>
      <c r="T84" s="5"/>
      <c r="U84" s="5"/>
      <c r="V84" s="5"/>
      <c r="W84" s="5"/>
      <c r="X84" s="5"/>
      <c r="Y84" s="5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</row>
    <row r="85" spans="18:36" ht="15.6">
      <c r="R85" s="5"/>
      <c r="S85" s="5" t="s">
        <v>262</v>
      </c>
      <c r="T85" s="5" t="s">
        <v>263</v>
      </c>
      <c r="U85" s="64">
        <v>25</v>
      </c>
      <c r="V85" s="5" t="s">
        <v>605</v>
      </c>
      <c r="W85" s="5"/>
      <c r="X85" s="5"/>
      <c r="Y85" s="5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</row>
    <row r="86" spans="18:36" ht="15.6">
      <c r="R86" s="5"/>
      <c r="S86" s="458" t="s">
        <v>152</v>
      </c>
      <c r="T86" s="456" t="s">
        <v>264</v>
      </c>
      <c r="U86" s="457"/>
      <c r="V86" s="456" t="s">
        <v>265</v>
      </c>
      <c r="W86" s="457"/>
      <c r="X86" s="456" t="s">
        <v>266</v>
      </c>
      <c r="Y86" s="457"/>
      <c r="Z86" s="148"/>
      <c r="AA86" s="148"/>
      <c r="AB86" s="148"/>
      <c r="AC86" s="148"/>
      <c r="AD86" s="148"/>
      <c r="AE86" s="148"/>
      <c r="AF86" s="148"/>
      <c r="AG86" s="148"/>
      <c r="AH86" s="148"/>
      <c r="AI86" s="148"/>
      <c r="AJ86" s="148"/>
    </row>
    <row r="87" spans="18:36" ht="15.6">
      <c r="R87" s="5"/>
      <c r="S87" s="459"/>
      <c r="T87" s="221" t="s">
        <v>267</v>
      </c>
      <c r="U87" s="221" t="s">
        <v>268</v>
      </c>
      <c r="V87" s="221" t="s">
        <v>269</v>
      </c>
      <c r="W87" s="221" t="s">
        <v>268</v>
      </c>
      <c r="X87" s="221" t="s">
        <v>269</v>
      </c>
      <c r="Y87" s="221" t="s">
        <v>270</v>
      </c>
      <c r="Z87" s="148"/>
      <c r="AB87" s="148"/>
      <c r="AC87" s="148"/>
      <c r="AD87" s="148"/>
      <c r="AE87" s="148"/>
      <c r="AF87" s="148"/>
      <c r="AG87" s="148"/>
      <c r="AH87" s="148"/>
      <c r="AI87" s="148"/>
      <c r="AJ87" s="148"/>
    </row>
    <row r="88" spans="18:36" ht="15.6">
      <c r="R88" s="5"/>
      <c r="S88" s="20" t="s">
        <v>271</v>
      </c>
      <c r="T88" s="33">
        <f>D14</f>
        <v>429.92290966322253</v>
      </c>
      <c r="U88" s="110">
        <f>U128</f>
        <v>13189.392609775015</v>
      </c>
      <c r="V88" s="20" t="s">
        <v>193</v>
      </c>
      <c r="W88" s="20" t="s">
        <v>193</v>
      </c>
      <c r="X88" s="33">
        <f t="shared" ref="X88:X91" si="1">M39</f>
        <v>257.95374579793349</v>
      </c>
      <c r="Y88" s="110">
        <f>U144</f>
        <v>13189.392609775015</v>
      </c>
      <c r="Z88" s="148"/>
      <c r="AA88" s="148"/>
      <c r="AB88" s="148"/>
      <c r="AC88" s="148"/>
      <c r="AD88" s="148"/>
      <c r="AE88" s="148"/>
      <c r="AF88" s="148"/>
      <c r="AG88" s="148"/>
      <c r="AH88" s="148"/>
      <c r="AI88" s="148"/>
      <c r="AJ88" s="148"/>
    </row>
    <row r="89" spans="18:36" ht="15.6">
      <c r="R89" s="5"/>
      <c r="S89" s="20" t="s">
        <v>272</v>
      </c>
      <c r="T89" s="20" t="s">
        <v>193</v>
      </c>
      <c r="U89" s="20" t="s">
        <v>193</v>
      </c>
      <c r="V89" s="33">
        <f>F44</f>
        <v>286.61527310881502</v>
      </c>
      <c r="W89" s="33">
        <f>U135</f>
        <v>22197.989326815492</v>
      </c>
      <c r="X89" s="33">
        <f t="shared" si="1"/>
        <v>68.071127363343578</v>
      </c>
      <c r="Y89" s="33">
        <f>U151</f>
        <v>22197.989326815492</v>
      </c>
      <c r="Z89" s="148"/>
      <c r="AA89" s="148"/>
      <c r="AB89" s="148"/>
      <c r="AC89" s="148"/>
      <c r="AD89" s="148"/>
      <c r="AE89" s="148"/>
      <c r="AF89" s="148"/>
      <c r="AG89" s="148"/>
      <c r="AH89" s="148"/>
      <c r="AI89" s="148"/>
      <c r="AJ89" s="148"/>
    </row>
    <row r="90" spans="18:36" ht="15.6">
      <c r="R90" s="5"/>
      <c r="S90" s="20" t="s">
        <v>273</v>
      </c>
      <c r="T90" s="20" t="s">
        <v>193</v>
      </c>
      <c r="U90" s="20" t="s">
        <v>193</v>
      </c>
      <c r="V90" s="20" t="s">
        <v>193</v>
      </c>
      <c r="W90" s="20" t="s">
        <v>193</v>
      </c>
      <c r="X90" s="33">
        <f t="shared" si="1"/>
        <v>143.30763655440751</v>
      </c>
      <c r="Y90" s="33">
        <f>U158</f>
        <v>37314.058706800417</v>
      </c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  <c r="AJ90" s="148"/>
    </row>
    <row r="91" spans="18:36" ht="15.6">
      <c r="R91" s="5"/>
      <c r="S91" s="20" t="s">
        <v>274</v>
      </c>
      <c r="T91" s="20" t="s">
        <v>193</v>
      </c>
      <c r="U91" s="20" t="s">
        <v>193</v>
      </c>
      <c r="V91" s="20" t="s">
        <v>193</v>
      </c>
      <c r="W91" s="20" t="s">
        <v>193</v>
      </c>
      <c r="X91" s="33">
        <f t="shared" si="1"/>
        <v>10.748072741580565</v>
      </c>
      <c r="Y91" s="33">
        <f>U165</f>
        <v>62487.219335014546</v>
      </c>
      <c r="Z91" s="148"/>
      <c r="AA91" s="148"/>
      <c r="AB91" s="148"/>
      <c r="AC91" s="148"/>
      <c r="AD91" s="148"/>
      <c r="AE91" s="148"/>
      <c r="AF91" s="148"/>
      <c r="AG91" s="148"/>
      <c r="AH91" s="148"/>
      <c r="AI91" s="148"/>
      <c r="AJ91" s="148"/>
    </row>
    <row r="92" spans="18:36" ht="15.6">
      <c r="R92" s="5"/>
      <c r="S92" s="20" t="s">
        <v>275</v>
      </c>
      <c r="T92" s="20" t="s">
        <v>193</v>
      </c>
      <c r="U92" s="20" t="s">
        <v>193</v>
      </c>
      <c r="V92" s="20"/>
      <c r="W92" s="20"/>
      <c r="X92" s="33"/>
      <c r="Y92" s="33"/>
      <c r="Z92" s="148"/>
      <c r="AA92" s="148"/>
      <c r="AB92" s="148"/>
      <c r="AC92" s="148"/>
      <c r="AD92" s="148"/>
      <c r="AE92" s="148"/>
      <c r="AF92" s="148"/>
      <c r="AG92" s="148"/>
      <c r="AH92" s="148"/>
      <c r="AI92" s="148"/>
      <c r="AJ92" s="148"/>
    </row>
    <row r="93" spans="18:36" ht="15.6">
      <c r="R93" s="5"/>
      <c r="S93" s="20" t="s">
        <v>416</v>
      </c>
      <c r="T93" s="20" t="s">
        <v>193</v>
      </c>
      <c r="U93" s="20" t="s">
        <v>193</v>
      </c>
      <c r="V93" s="20"/>
      <c r="W93" s="20"/>
      <c r="X93" s="33"/>
      <c r="Y93" s="33"/>
      <c r="Z93" s="148"/>
      <c r="AA93" s="148"/>
      <c r="AB93" s="148"/>
      <c r="AC93" s="148"/>
      <c r="AD93" s="148"/>
      <c r="AE93" s="148"/>
      <c r="AF93" s="148"/>
      <c r="AG93" s="148"/>
      <c r="AH93" s="148"/>
      <c r="AI93" s="148"/>
      <c r="AJ93" s="148"/>
    </row>
    <row r="94" spans="18:36" ht="15.6">
      <c r="R94" s="5"/>
      <c r="S94" s="20" t="s">
        <v>417</v>
      </c>
      <c r="T94" s="20" t="s">
        <v>193</v>
      </c>
      <c r="U94" s="20" t="s">
        <v>193</v>
      </c>
      <c r="V94" s="20"/>
      <c r="W94" s="20"/>
      <c r="X94" s="33"/>
      <c r="Y94" s="33"/>
      <c r="Z94" s="148"/>
      <c r="AA94" s="148"/>
      <c r="AB94" s="148"/>
      <c r="AC94" s="148"/>
      <c r="AD94" s="148"/>
      <c r="AE94" s="148"/>
      <c r="AF94" s="148"/>
      <c r="AG94" s="148"/>
      <c r="AH94" s="148"/>
      <c r="AI94" s="148"/>
      <c r="AJ94" s="148"/>
    </row>
    <row r="95" spans="18:36" ht="15.6">
      <c r="R95" s="5"/>
      <c r="S95" s="20" t="s">
        <v>418</v>
      </c>
      <c r="T95" s="20" t="s">
        <v>193</v>
      </c>
      <c r="U95" s="20" t="s">
        <v>193</v>
      </c>
      <c r="V95" s="20"/>
      <c r="W95" s="20"/>
      <c r="X95" s="33"/>
      <c r="Y95" s="33"/>
      <c r="Z95" s="148"/>
      <c r="AA95" s="148"/>
      <c r="AB95" s="148"/>
      <c r="AC95" s="148"/>
      <c r="AD95" s="148"/>
      <c r="AE95" s="148"/>
      <c r="AF95" s="148"/>
      <c r="AG95" s="148"/>
      <c r="AH95" s="148"/>
      <c r="AI95" s="148"/>
      <c r="AJ95" s="148"/>
    </row>
    <row r="96" spans="18:36" ht="15.6">
      <c r="R96" s="5"/>
      <c r="S96" s="20" t="s">
        <v>337</v>
      </c>
      <c r="T96" s="20" t="s">
        <v>193</v>
      </c>
      <c r="U96" s="20" t="s">
        <v>193</v>
      </c>
      <c r="V96" s="20" t="s">
        <v>193</v>
      </c>
      <c r="W96" s="20" t="s">
        <v>193</v>
      </c>
      <c r="X96" s="33">
        <f>M43</f>
        <v>17.913454569300939</v>
      </c>
      <c r="Y96" s="33">
        <f>U172</f>
        <v>88762.103589115635</v>
      </c>
      <c r="Z96" s="148"/>
      <c r="AA96" s="148"/>
      <c r="AB96" s="148"/>
      <c r="AC96" s="148"/>
      <c r="AD96" s="148"/>
      <c r="AE96" s="148"/>
      <c r="AF96" s="148"/>
      <c r="AG96" s="148"/>
      <c r="AH96" s="148"/>
      <c r="AI96" s="148"/>
      <c r="AJ96" s="148"/>
    </row>
    <row r="97" spans="18:36" ht="15.6">
      <c r="R97" s="5"/>
      <c r="S97" s="20" t="s">
        <v>276</v>
      </c>
      <c r="T97" s="20" t="s">
        <v>193</v>
      </c>
      <c r="U97" s="20" t="s">
        <v>193</v>
      </c>
      <c r="V97" s="20" t="s">
        <v>193</v>
      </c>
      <c r="W97" s="20" t="s">
        <v>193</v>
      </c>
      <c r="X97" s="20" t="s">
        <v>193</v>
      </c>
      <c r="Y97" s="20" t="s">
        <v>193</v>
      </c>
      <c r="Z97" s="148"/>
      <c r="AA97" s="148"/>
      <c r="AB97" s="148"/>
      <c r="AC97" s="148"/>
      <c r="AD97" s="148"/>
      <c r="AE97" s="148"/>
      <c r="AF97" s="148"/>
      <c r="AG97" s="148"/>
      <c r="AH97" s="148"/>
      <c r="AI97" s="148"/>
      <c r="AJ97" s="148"/>
    </row>
    <row r="98" spans="18:36" ht="15.6">
      <c r="R98" s="5"/>
      <c r="S98" s="222" t="s">
        <v>469</v>
      </c>
      <c r="T98" s="441">
        <f>(T88*U88)</f>
        <v>5670422.0474850787</v>
      </c>
      <c r="U98" s="442"/>
      <c r="V98" s="441">
        <f>V89*W89</f>
        <v>6362282.7733717831</v>
      </c>
      <c r="W98" s="442"/>
      <c r="X98" s="441">
        <f>(X88*Y88+X89*Y89+X90*Y90+X91*Y91+X96*Y96)</f>
        <v>12522338.039641868</v>
      </c>
      <c r="Y98" s="442"/>
      <c r="Z98" s="148"/>
      <c r="AA98" s="148"/>
      <c r="AB98" s="148"/>
      <c r="AC98" s="148"/>
      <c r="AD98" s="148"/>
      <c r="AE98" s="148"/>
      <c r="AF98" s="148"/>
      <c r="AG98" s="148"/>
      <c r="AH98" s="148"/>
      <c r="AI98" s="148"/>
      <c r="AJ98" s="148"/>
    </row>
    <row r="99" spans="18:36" ht="15.6">
      <c r="R99" s="5"/>
      <c r="S99" s="5"/>
      <c r="T99" s="5"/>
      <c r="U99" s="5"/>
      <c r="V99" s="5"/>
      <c r="W99" s="5"/>
      <c r="X99" s="5"/>
      <c r="Y99" s="5"/>
      <c r="Z99" s="196"/>
      <c r="AA99" s="148"/>
      <c r="AB99" s="148"/>
      <c r="AC99" s="148"/>
      <c r="AD99" s="148"/>
      <c r="AE99" s="148"/>
      <c r="AF99" s="148"/>
      <c r="AG99" s="148"/>
      <c r="AH99" s="148"/>
      <c r="AI99" s="148"/>
      <c r="AJ99" s="148"/>
    </row>
    <row r="100" spans="18:36" ht="15.6">
      <c r="R100" s="5"/>
      <c r="S100" s="5"/>
      <c r="T100" s="5"/>
      <c r="U100" s="5"/>
      <c r="V100" s="5"/>
      <c r="W100" s="5"/>
      <c r="X100" s="5"/>
      <c r="Y100" s="5"/>
      <c r="Z100" s="148"/>
      <c r="AA100" s="148"/>
      <c r="AB100" s="148"/>
      <c r="AC100" s="148"/>
      <c r="AD100" s="148"/>
      <c r="AE100" s="148"/>
      <c r="AF100" s="148"/>
      <c r="AG100" s="148"/>
      <c r="AH100" s="148"/>
      <c r="AI100" s="148"/>
      <c r="AJ100" s="148"/>
    </row>
    <row r="101" spans="18:36" ht="15.6">
      <c r="S101" s="224" t="s">
        <v>294</v>
      </c>
      <c r="T101" s="203"/>
      <c r="U101" s="203"/>
      <c r="V101" s="203"/>
      <c r="W101" s="203"/>
      <c r="X101" s="179"/>
      <c r="Y101" s="225"/>
      <c r="Z101" s="148"/>
      <c r="AA101" s="148"/>
      <c r="AB101" s="148"/>
      <c r="AC101" s="5"/>
      <c r="AD101" s="9"/>
      <c r="AE101" s="5"/>
      <c r="AF101" s="5"/>
      <c r="AG101" s="5"/>
      <c r="AH101" s="148"/>
      <c r="AI101" s="148"/>
      <c r="AJ101" s="148"/>
    </row>
    <row r="102" spans="18:36" ht="15.6">
      <c r="S102" s="213" t="s">
        <v>295</v>
      </c>
      <c r="T102" s="117" t="s">
        <v>135</v>
      </c>
      <c r="U102" s="9" t="s">
        <v>296</v>
      </c>
      <c r="V102" s="9"/>
      <c r="W102" s="9"/>
      <c r="X102" s="5"/>
      <c r="Y102" s="226"/>
      <c r="Z102" s="148"/>
      <c r="AA102" s="148"/>
      <c r="AB102" s="148"/>
      <c r="AC102" s="5"/>
      <c r="AD102" s="5"/>
      <c r="AE102" s="149"/>
      <c r="AF102" s="5"/>
      <c r="AG102" s="5"/>
      <c r="AH102" s="148"/>
      <c r="AI102" s="148"/>
      <c r="AJ102" s="148"/>
    </row>
    <row r="103" spans="18:36" ht="15.6">
      <c r="S103" s="213" t="s">
        <v>295</v>
      </c>
      <c r="T103" s="117" t="s">
        <v>135</v>
      </c>
      <c r="U103" s="9" t="s">
        <v>297</v>
      </c>
      <c r="V103" s="9" t="s">
        <v>193</v>
      </c>
      <c r="W103" s="9" t="s">
        <v>298</v>
      </c>
      <c r="X103" s="9" t="s">
        <v>193</v>
      </c>
      <c r="Y103" s="202" t="s">
        <v>299</v>
      </c>
      <c r="Z103" s="148"/>
      <c r="AI103" s="148"/>
      <c r="AJ103" s="148"/>
    </row>
    <row r="104" spans="18:36" ht="15.6">
      <c r="S104" s="213" t="s">
        <v>295</v>
      </c>
      <c r="T104" s="117" t="s">
        <v>135</v>
      </c>
      <c r="U104" s="9">
        <f>Database!$L$12</f>
        <v>-203.05</v>
      </c>
      <c r="V104" s="9" t="s">
        <v>193</v>
      </c>
      <c r="W104" s="9">
        <f>Database!$L$11</f>
        <v>-52.63</v>
      </c>
      <c r="X104" s="9" t="s">
        <v>193</v>
      </c>
      <c r="Y104" s="202">
        <f>Database!$L$10</f>
        <v>-46.19</v>
      </c>
      <c r="Z104" s="148"/>
      <c r="AI104" s="148"/>
      <c r="AJ104" s="148"/>
    </row>
    <row r="105" spans="18:36" ht="15.6">
      <c r="S105" s="214" t="s">
        <v>295</v>
      </c>
      <c r="T105" s="157" t="s">
        <v>135</v>
      </c>
      <c r="U105" s="227">
        <f>(U104-W104-Y104)*1000</f>
        <v>-104230.00000000001</v>
      </c>
      <c r="V105" s="227" t="s">
        <v>279</v>
      </c>
      <c r="W105" s="227"/>
      <c r="X105" s="227"/>
      <c r="Y105" s="228"/>
      <c r="Z105" s="148"/>
      <c r="AI105" s="148"/>
      <c r="AJ105" s="148"/>
    </row>
    <row r="106" spans="18:36" ht="15.6">
      <c r="S106" s="9"/>
      <c r="T106" s="9"/>
      <c r="U106" s="9"/>
      <c r="V106" s="9"/>
      <c r="W106" s="9"/>
      <c r="X106" s="9"/>
      <c r="Y106" s="9"/>
      <c r="Z106" s="148"/>
      <c r="AI106" s="148"/>
      <c r="AJ106" s="148"/>
    </row>
    <row r="107" spans="18:36" ht="14.4" customHeight="1">
      <c r="S107" s="224" t="s">
        <v>300</v>
      </c>
      <c r="T107" s="203"/>
      <c r="U107" s="203"/>
      <c r="V107" s="203"/>
      <c r="W107" s="203"/>
      <c r="X107" s="203"/>
      <c r="Y107" s="225"/>
      <c r="Z107" s="148"/>
      <c r="AI107" s="148"/>
      <c r="AJ107" s="148"/>
    </row>
    <row r="108" spans="18:36" ht="16.2" customHeight="1">
      <c r="S108" s="213" t="s">
        <v>301</v>
      </c>
      <c r="T108" s="117" t="s">
        <v>135</v>
      </c>
      <c r="U108" s="9" t="s">
        <v>296</v>
      </c>
      <c r="V108" s="9"/>
      <c r="W108" s="9"/>
      <c r="X108" s="9"/>
      <c r="Y108" s="202"/>
      <c r="Z108" s="148"/>
      <c r="AI108" s="148"/>
      <c r="AJ108" s="148"/>
    </row>
    <row r="109" spans="18:36" ht="15.6">
      <c r="S109" s="213" t="s">
        <v>301</v>
      </c>
      <c r="T109" s="117" t="s">
        <v>135</v>
      </c>
      <c r="U109" s="9" t="s">
        <v>302</v>
      </c>
      <c r="V109" s="9" t="s">
        <v>193</v>
      </c>
      <c r="W109" s="9" t="s">
        <v>297</v>
      </c>
      <c r="X109" s="9" t="s">
        <v>193</v>
      </c>
      <c r="Y109" s="202" t="s">
        <v>298</v>
      </c>
      <c r="Z109" s="148"/>
      <c r="AI109" s="148"/>
      <c r="AJ109" s="148"/>
    </row>
    <row r="110" spans="18:36" ht="15.6">
      <c r="S110" s="213" t="s">
        <v>301</v>
      </c>
      <c r="T110" s="117" t="s">
        <v>135</v>
      </c>
      <c r="U110" s="9">
        <f>Database!$L$13</f>
        <v>-397.1</v>
      </c>
      <c r="V110" s="9" t="s">
        <v>193</v>
      </c>
      <c r="W110" s="9">
        <f>Database!$L$12</f>
        <v>-203.05</v>
      </c>
      <c r="X110" s="9" t="s">
        <v>193</v>
      </c>
      <c r="Y110" s="202">
        <f>Database!$L$11</f>
        <v>-52.63</v>
      </c>
      <c r="Z110" s="148"/>
      <c r="AI110" s="148"/>
      <c r="AJ110" s="148"/>
    </row>
    <row r="111" spans="18:36" ht="15.6">
      <c r="S111" s="214" t="s">
        <v>301</v>
      </c>
      <c r="T111" s="157" t="s">
        <v>135</v>
      </c>
      <c r="U111" s="227">
        <f>(U110-W110-Y110)*1000</f>
        <v>-141420.00000000003</v>
      </c>
      <c r="V111" s="227" t="s">
        <v>279</v>
      </c>
      <c r="W111" s="227"/>
      <c r="X111" s="227"/>
      <c r="Y111" s="228"/>
      <c r="Z111" s="148"/>
      <c r="AI111" s="148"/>
      <c r="AJ111" s="148"/>
    </row>
    <row r="112" spans="18:36" ht="15.6">
      <c r="S112" s="9"/>
      <c r="T112" s="9"/>
      <c r="U112" s="9"/>
      <c r="V112" s="9"/>
      <c r="W112" s="9"/>
      <c r="X112" s="9"/>
      <c r="Y112" s="9"/>
      <c r="Z112" s="148"/>
      <c r="AI112" s="148"/>
      <c r="AJ112" s="148"/>
    </row>
    <row r="113" spans="18:36" ht="15.6">
      <c r="S113" s="224" t="s">
        <v>303</v>
      </c>
      <c r="T113" s="203"/>
      <c r="U113" s="203"/>
      <c r="V113" s="203"/>
      <c r="W113" s="203"/>
      <c r="X113" s="208"/>
      <c r="Y113" s="225"/>
      <c r="Z113" s="148"/>
      <c r="AI113" s="148"/>
      <c r="AJ113" s="148"/>
    </row>
    <row r="114" spans="18:36" ht="14.4" customHeight="1">
      <c r="S114" s="213" t="s">
        <v>304</v>
      </c>
      <c r="T114" s="117" t="s">
        <v>135</v>
      </c>
      <c r="U114" s="9" t="s">
        <v>296</v>
      </c>
      <c r="V114" s="9"/>
      <c r="W114" s="9"/>
      <c r="X114" s="9"/>
      <c r="Y114" s="202"/>
      <c r="Z114" s="148"/>
      <c r="AI114" s="148"/>
      <c r="AJ114" s="148"/>
    </row>
    <row r="115" spans="18:36" ht="15.6">
      <c r="S115" s="213" t="s">
        <v>304</v>
      </c>
      <c r="T115" s="117" t="s">
        <v>135</v>
      </c>
      <c r="U115" s="9" t="s">
        <v>305</v>
      </c>
      <c r="V115" s="9" t="s">
        <v>193</v>
      </c>
      <c r="W115" s="9" t="s">
        <v>302</v>
      </c>
      <c r="X115" s="9" t="s">
        <v>193</v>
      </c>
      <c r="Y115" s="202" t="s">
        <v>298</v>
      </c>
      <c r="Z115" s="148"/>
      <c r="AI115" s="148"/>
      <c r="AJ115" s="148"/>
    </row>
    <row r="116" spans="18:36" ht="15.6">
      <c r="S116" s="213" t="s">
        <v>304</v>
      </c>
      <c r="T116" s="117" t="s">
        <v>135</v>
      </c>
      <c r="U116" s="9">
        <f>Database!$L$14</f>
        <v>-558.29999999999995</v>
      </c>
      <c r="V116" s="9" t="s">
        <v>193</v>
      </c>
      <c r="W116" s="9">
        <f>Database!$L$13</f>
        <v>-397.1</v>
      </c>
      <c r="X116" s="9" t="s">
        <v>193</v>
      </c>
      <c r="Y116" s="202">
        <f>Database!$L$11</f>
        <v>-52.63</v>
      </c>
      <c r="Z116" s="148"/>
      <c r="AI116" s="148"/>
      <c r="AJ116" s="148"/>
    </row>
    <row r="117" spans="18:36" ht="15.6">
      <c r="S117" s="214" t="s">
        <v>304</v>
      </c>
      <c r="T117" s="157" t="s">
        <v>135</v>
      </c>
      <c r="U117" s="227">
        <f>(U116-W116-Y116)*1000</f>
        <v>-108569.99999999994</v>
      </c>
      <c r="V117" s="227" t="s">
        <v>279</v>
      </c>
      <c r="W117" s="227"/>
      <c r="X117" s="204"/>
      <c r="Y117" s="174"/>
      <c r="Z117" s="148"/>
      <c r="AI117" s="148"/>
      <c r="AJ117" s="148"/>
    </row>
    <row r="118" spans="18:36" ht="15.6">
      <c r="S118" s="148"/>
      <c r="T118" s="148"/>
      <c r="U118" s="5"/>
      <c r="V118" s="5"/>
      <c r="W118" s="149"/>
      <c r="X118" s="5"/>
      <c r="Y118" s="5"/>
      <c r="Z118" s="148"/>
      <c r="AI118" s="148"/>
      <c r="AJ118" s="148"/>
    </row>
    <row r="119" spans="18:36" ht="15.6">
      <c r="Z119" s="148"/>
      <c r="AI119" s="148"/>
      <c r="AJ119" s="148"/>
    </row>
    <row r="120" spans="18:36" ht="15.6">
      <c r="Z120" s="148"/>
      <c r="AI120" s="148"/>
      <c r="AJ120" s="148"/>
    </row>
    <row r="121" spans="18:36" ht="15.6">
      <c r="R121" s="5"/>
      <c r="S121" s="190"/>
      <c r="T121" s="190"/>
      <c r="U121" s="190"/>
      <c r="V121" s="190"/>
      <c r="W121" s="190"/>
      <c r="X121" s="204"/>
      <c r="Y121" s="148"/>
      <c r="Z121" s="148"/>
      <c r="AA121" s="148"/>
      <c r="AB121" s="148"/>
      <c r="AC121" s="443"/>
      <c r="AD121" s="149"/>
      <c r="AE121" s="416"/>
      <c r="AF121" s="5"/>
      <c r="AG121" s="5"/>
      <c r="AH121" s="148"/>
      <c r="AI121" s="148"/>
      <c r="AJ121" s="148"/>
    </row>
    <row r="122" spans="18:36" ht="15.6">
      <c r="R122" s="5"/>
      <c r="S122" s="4"/>
      <c r="T122" s="9" t="s">
        <v>277</v>
      </c>
      <c r="U122" s="148"/>
      <c r="V122" s="148"/>
      <c r="W122" s="5"/>
      <c r="X122" s="173"/>
      <c r="Y122" s="172"/>
      <c r="Z122" s="148"/>
      <c r="AA122" s="148"/>
      <c r="AB122" s="148"/>
      <c r="AC122" s="444"/>
      <c r="AD122" s="149"/>
      <c r="AE122" s="445"/>
      <c r="AF122" s="5"/>
      <c r="AG122" s="5"/>
      <c r="AH122" s="148"/>
      <c r="AI122" s="148"/>
      <c r="AJ122" s="148"/>
    </row>
    <row r="123" spans="18:36" ht="18" customHeight="1">
      <c r="R123" s="5"/>
      <c r="S123" s="116" t="s">
        <v>561</v>
      </c>
      <c r="T123" s="148"/>
      <c r="U123" s="9" t="s">
        <v>606</v>
      </c>
      <c r="V123" s="148"/>
      <c r="W123" s="5"/>
      <c r="X123" s="173"/>
      <c r="Y123" s="172"/>
      <c r="Z123" s="148"/>
      <c r="AA123" s="148"/>
      <c r="AB123" s="148"/>
      <c r="AC123" s="5"/>
      <c r="AD123" s="115"/>
      <c r="AE123" s="5"/>
      <c r="AF123" s="5"/>
      <c r="AG123" s="5"/>
      <c r="AH123" s="148"/>
      <c r="AI123" s="148"/>
      <c r="AJ123" s="148"/>
    </row>
    <row r="124" spans="18:36" ht="15.6">
      <c r="R124" s="5"/>
      <c r="S124" s="4"/>
      <c r="T124" s="148"/>
      <c r="U124" s="148"/>
      <c r="V124" s="148"/>
      <c r="W124" s="5"/>
      <c r="X124" s="173"/>
      <c r="Y124" s="172"/>
      <c r="Z124" s="148"/>
      <c r="AA124" s="148"/>
      <c r="AB124" s="148"/>
      <c r="AC124" s="5"/>
      <c r="AD124" s="149"/>
      <c r="AE124" s="5"/>
      <c r="AF124" s="5"/>
      <c r="AG124" s="5"/>
      <c r="AH124" s="148"/>
      <c r="AI124" s="148"/>
      <c r="AJ124" s="148"/>
    </row>
    <row r="125" spans="18:36" ht="15.6">
      <c r="R125" s="5"/>
      <c r="S125" s="116"/>
      <c r="T125" s="148"/>
      <c r="U125" s="9"/>
      <c r="V125" s="148"/>
      <c r="W125" s="5"/>
      <c r="X125" s="173"/>
      <c r="Y125" s="172"/>
      <c r="Z125" s="148"/>
      <c r="AA125" s="148"/>
      <c r="AB125" s="148"/>
      <c r="AC125" s="5"/>
      <c r="AD125" s="5"/>
      <c r="AE125" s="5"/>
      <c r="AF125" s="5"/>
      <c r="AG125" s="5"/>
      <c r="AH125" s="148"/>
      <c r="AI125" s="148"/>
      <c r="AJ125" s="148"/>
    </row>
    <row r="126" spans="18:36" ht="15.6">
      <c r="R126" s="5"/>
      <c r="S126" s="4" t="s">
        <v>283</v>
      </c>
      <c r="T126" s="9"/>
      <c r="U126" s="5"/>
      <c r="V126" s="5"/>
      <c r="W126" s="5"/>
      <c r="X126" s="173"/>
      <c r="Y126" s="172"/>
      <c r="Z126" s="148"/>
      <c r="AA126" s="148"/>
      <c r="AB126" s="148"/>
      <c r="AC126" s="9"/>
      <c r="AD126" s="117"/>
      <c r="AE126" s="5"/>
      <c r="AF126" s="5"/>
      <c r="AG126" s="5"/>
      <c r="AH126" s="148"/>
      <c r="AI126" s="148"/>
      <c r="AJ126" s="148"/>
    </row>
    <row r="127" spans="18:36" ht="49.8" customHeight="1">
      <c r="R127" s="5"/>
      <c r="S127" s="88" t="s">
        <v>278</v>
      </c>
      <c r="T127" s="94" t="s">
        <v>135</v>
      </c>
      <c r="U127" s="377"/>
      <c r="V127" s="377"/>
      <c r="W127" s="377"/>
      <c r="X127" s="446"/>
      <c r="Y127" s="172"/>
      <c r="Z127" s="148"/>
      <c r="AA127" s="148"/>
      <c r="AB127" s="148"/>
      <c r="AC127" s="9"/>
      <c r="AD127" s="117"/>
      <c r="AE127" s="9"/>
      <c r="AF127" s="5"/>
      <c r="AG127" s="5"/>
      <c r="AH127" s="148"/>
      <c r="AI127" s="148"/>
      <c r="AJ127" s="148"/>
    </row>
    <row r="128" spans="18:36" ht="15.6">
      <c r="R128" s="5"/>
      <c r="S128" s="85" t="s">
        <v>278</v>
      </c>
      <c r="T128" s="118" t="s">
        <v>135</v>
      </c>
      <c r="U128" s="120">
        <f>(Database!$C$31*(($F$58+273.15)-($U$85+273.15)))+(((Database!$D$31)*(($F$58+273.15)^2-($U$85+273.15)^2))/2)+((Database!$E$31*(($F$58+273.15)^3-($U$85+273.15)^3))/3)+((Database!$F$31*(($F$58+273.15)^4-($U$85+273.15)^4))/4)+((Database!$G$31)*(($F$58+273.15)^(5)-($U$85+273.15)^5))/5</f>
        <v>13189.392609775015</v>
      </c>
      <c r="V128" s="11" t="s">
        <v>279</v>
      </c>
      <c r="W128" s="11"/>
      <c r="X128" s="174"/>
      <c r="Y128" s="172"/>
      <c r="Z128" s="148"/>
      <c r="AA128" s="148"/>
      <c r="AB128" s="148"/>
      <c r="AC128" s="5"/>
      <c r="AD128" s="9"/>
      <c r="AE128" s="5"/>
      <c r="AF128" s="5"/>
      <c r="AG128" s="5"/>
      <c r="AH128" s="148"/>
      <c r="AI128" s="148"/>
      <c r="AJ128" s="148"/>
    </row>
    <row r="129" spans="18:36" ht="15.6">
      <c r="R129" s="5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  <c r="AC129" s="5"/>
      <c r="AD129" s="9"/>
      <c r="AE129" s="5"/>
      <c r="AF129" s="5"/>
      <c r="AG129" s="5"/>
      <c r="AH129" s="148"/>
      <c r="AI129" s="148"/>
      <c r="AJ129" s="148"/>
    </row>
    <row r="130" spans="18:36" ht="15" customHeight="1">
      <c r="R130" s="5"/>
      <c r="S130" s="1"/>
      <c r="T130" s="91" t="s">
        <v>280</v>
      </c>
      <c r="U130" s="2"/>
      <c r="V130" s="2"/>
      <c r="W130" s="2"/>
      <c r="X130" s="175"/>
      <c r="Y130" s="148"/>
      <c r="Z130" s="148"/>
      <c r="AA130" s="148"/>
      <c r="AB130" s="148"/>
      <c r="AC130" s="9"/>
      <c r="AD130" s="117"/>
      <c r="AE130" s="5"/>
      <c r="AF130" s="5"/>
      <c r="AG130" s="5"/>
      <c r="AH130" s="148"/>
      <c r="AI130" s="148"/>
      <c r="AJ130" s="148"/>
    </row>
    <row r="131" spans="18:36" ht="15.6">
      <c r="R131" s="5"/>
      <c r="S131" s="116" t="s">
        <v>281</v>
      </c>
      <c r="T131" s="5"/>
      <c r="U131" s="9" t="s">
        <v>539</v>
      </c>
      <c r="V131" s="5"/>
      <c r="W131" s="5"/>
      <c r="X131" s="5"/>
      <c r="Y131" s="158"/>
      <c r="Z131" s="148"/>
      <c r="AA131" s="148"/>
      <c r="AB131" s="148"/>
      <c r="AC131" s="9"/>
      <c r="AD131" s="117"/>
      <c r="AE131" s="5"/>
      <c r="AF131" s="5"/>
      <c r="AG131" s="5"/>
      <c r="AH131" s="148"/>
      <c r="AI131" s="148"/>
      <c r="AJ131" s="148"/>
    </row>
    <row r="132" spans="18:36" ht="15.6">
      <c r="R132" s="5"/>
      <c r="S132" s="4"/>
      <c r="T132" s="5"/>
      <c r="U132" s="5"/>
      <c r="V132" s="5"/>
      <c r="W132" s="5"/>
      <c r="X132" s="5"/>
      <c r="Y132" s="158"/>
      <c r="Z132" s="148"/>
      <c r="AA132" s="148"/>
      <c r="AB132" s="148"/>
      <c r="AC132" s="9"/>
      <c r="AD132" s="117"/>
      <c r="AE132" s="96"/>
      <c r="AF132" s="5"/>
      <c r="AG132" s="5"/>
      <c r="AH132" s="148"/>
      <c r="AI132" s="148"/>
      <c r="AJ132" s="148"/>
    </row>
    <row r="133" spans="18:36" ht="15.6">
      <c r="R133" s="5"/>
      <c r="S133" s="4" t="s">
        <v>283</v>
      </c>
      <c r="T133" s="9"/>
      <c r="U133" s="5"/>
      <c r="V133" s="5"/>
      <c r="W133" s="5"/>
      <c r="X133" s="5"/>
      <c r="Y133" s="158"/>
      <c r="Z133" s="148"/>
      <c r="AA133" s="148"/>
      <c r="AB133" s="148"/>
      <c r="AC133" s="9"/>
      <c r="AD133" s="9"/>
      <c r="AE133" s="5"/>
      <c r="AF133" s="5"/>
      <c r="AG133" s="5"/>
      <c r="AH133" s="148"/>
      <c r="AI133" s="148"/>
      <c r="AJ133" s="148"/>
    </row>
    <row r="134" spans="18:36" ht="54" customHeight="1">
      <c r="R134" s="5"/>
      <c r="S134" s="88" t="s">
        <v>280</v>
      </c>
      <c r="T134" s="94" t="s">
        <v>135</v>
      </c>
      <c r="U134" s="377"/>
      <c r="V134" s="377"/>
      <c r="W134" s="377"/>
      <c r="X134" s="377"/>
      <c r="Y134" s="158"/>
      <c r="Z134" s="148"/>
      <c r="AA134" s="148"/>
      <c r="AB134" s="148"/>
      <c r="AC134" s="9"/>
      <c r="AD134" s="117"/>
      <c r="AE134" s="9"/>
      <c r="AF134" s="117"/>
      <c r="AG134" s="9"/>
      <c r="AH134" s="148"/>
      <c r="AI134" s="148"/>
      <c r="AJ134" s="148"/>
    </row>
    <row r="135" spans="18:36" ht="15.6">
      <c r="R135" s="5"/>
      <c r="S135" s="85" t="s">
        <v>280</v>
      </c>
      <c r="T135" s="118" t="s">
        <v>135</v>
      </c>
      <c r="U135" s="120">
        <f>(Database!$C$32*(($F$58+273.15)-($U$85+273.15)))+(((Database!$D$32)*(($F$58+273.15)^2-($U$85+273.15)^2))/2)+((Database!$E$32*(($F$58+273.15)^3-($U$85+273.15)^3))/3)+((Database!$F$32*(($F$58+273.15)^4-($U$85+273.15)^4))/4)+((Database!$G$32)*(($F$58+273.15)^(5)-($U$85+273.15)^5))/5</f>
        <v>22197.989326815492</v>
      </c>
      <c r="V135" s="11" t="s">
        <v>279</v>
      </c>
      <c r="W135" s="11"/>
      <c r="X135" s="176"/>
      <c r="Y135" s="158"/>
      <c r="Z135" s="148"/>
      <c r="AA135" s="148"/>
      <c r="AB135" s="148"/>
      <c r="AC135" s="9"/>
      <c r="AD135" s="117"/>
      <c r="AE135" s="96"/>
      <c r="AF135" s="5"/>
      <c r="AG135" s="5"/>
      <c r="AH135" s="148"/>
      <c r="AI135" s="148"/>
      <c r="AJ135" s="148"/>
    </row>
    <row r="136" spans="18:36" ht="15.6">
      <c r="R136" s="5"/>
      <c r="S136" s="5"/>
      <c r="T136" s="5"/>
      <c r="U136" s="5"/>
      <c r="V136" s="5"/>
      <c r="W136" s="5"/>
      <c r="X136" s="5"/>
      <c r="Y136" s="5"/>
      <c r="Z136" s="148"/>
      <c r="AA136" s="148"/>
      <c r="AB136" s="148"/>
      <c r="AC136" s="5"/>
      <c r="AD136" s="5"/>
      <c r="AE136" s="5"/>
      <c r="AF136" s="5"/>
      <c r="AG136" s="5"/>
      <c r="AH136" s="148"/>
      <c r="AI136" s="148"/>
      <c r="AJ136" s="148"/>
    </row>
    <row r="137" spans="18:36" ht="15.6" customHeight="1">
      <c r="R137" s="5"/>
      <c r="S137" s="1"/>
      <c r="T137" s="2"/>
      <c r="U137" s="2"/>
      <c r="V137" s="2"/>
      <c r="W137" s="2"/>
      <c r="X137" s="3"/>
      <c r="Y137" s="9"/>
      <c r="Z137" s="148"/>
      <c r="AA137" s="148"/>
      <c r="AB137" s="148"/>
      <c r="AC137" s="5"/>
      <c r="AD137" s="9"/>
      <c r="AE137" s="5"/>
      <c r="AF137" s="5"/>
      <c r="AG137" s="5"/>
      <c r="AH137" s="148"/>
      <c r="AI137" s="148"/>
      <c r="AJ137" s="148"/>
    </row>
    <row r="138" spans="18:36" ht="15.6">
      <c r="R138" s="5"/>
      <c r="S138" s="4"/>
      <c r="T138" s="9" t="s">
        <v>285</v>
      </c>
      <c r="U138" s="148"/>
      <c r="V138" s="148"/>
      <c r="W138" s="148"/>
      <c r="X138" s="6"/>
      <c r="Y138" s="5"/>
      <c r="Z138" s="148"/>
      <c r="AA138" s="148"/>
      <c r="AB138" s="148"/>
      <c r="AC138" s="5"/>
      <c r="AD138" s="5"/>
      <c r="AE138" s="149"/>
      <c r="AF138" s="5"/>
      <c r="AG138" s="5"/>
      <c r="AH138" s="148"/>
      <c r="AI138" s="148"/>
      <c r="AJ138" s="148"/>
    </row>
    <row r="139" spans="18:36" ht="15.6">
      <c r="R139" s="5"/>
      <c r="S139" s="116" t="s">
        <v>561</v>
      </c>
      <c r="T139" s="148"/>
      <c r="U139" s="9" t="s">
        <v>562</v>
      </c>
      <c r="V139" s="148"/>
      <c r="W139" s="148"/>
      <c r="X139" s="6"/>
      <c r="Y139" s="5"/>
      <c r="Z139" s="148"/>
      <c r="AA139" s="148"/>
      <c r="AB139" s="148"/>
      <c r="AC139" s="443"/>
      <c r="AD139" s="149"/>
      <c r="AE139" s="416"/>
      <c r="AF139" s="5"/>
      <c r="AG139" s="5"/>
      <c r="AH139" s="148"/>
      <c r="AI139" s="148"/>
      <c r="AJ139" s="148"/>
    </row>
    <row r="140" spans="18:36" ht="15.6">
      <c r="R140" s="5"/>
      <c r="S140" s="4"/>
      <c r="T140" s="148"/>
      <c r="U140" s="148"/>
      <c r="V140" s="148"/>
      <c r="W140" s="148"/>
      <c r="X140" s="6"/>
      <c r="Y140" s="5"/>
      <c r="Z140" s="148"/>
      <c r="AA140" s="148"/>
      <c r="AB140" s="148"/>
      <c r="AC140" s="444"/>
      <c r="AD140" s="149"/>
      <c r="AE140" s="445"/>
      <c r="AF140" s="5"/>
      <c r="AG140" s="5"/>
      <c r="AH140" s="148"/>
      <c r="AI140" s="148"/>
      <c r="AJ140" s="148"/>
    </row>
    <row r="141" spans="18:36" ht="15.6">
      <c r="R141" s="5"/>
      <c r="S141" s="116"/>
      <c r="T141" s="148"/>
      <c r="U141" s="9"/>
      <c r="V141" s="148"/>
      <c r="W141" s="148"/>
      <c r="X141" s="6"/>
      <c r="Y141" s="5"/>
      <c r="Z141" s="148"/>
      <c r="AA141" s="148"/>
      <c r="AB141" s="148"/>
      <c r="AC141" s="5"/>
      <c r="AD141" s="115"/>
      <c r="AE141" s="5"/>
      <c r="AF141" s="5"/>
      <c r="AG141" s="5"/>
      <c r="AH141" s="148"/>
      <c r="AI141" s="148"/>
      <c r="AJ141" s="148"/>
    </row>
    <row r="142" spans="18:36" ht="15.6">
      <c r="R142" s="5"/>
      <c r="S142" s="4" t="s">
        <v>283</v>
      </c>
      <c r="T142" s="9"/>
      <c r="U142" s="5"/>
      <c r="V142" s="5"/>
      <c r="W142" s="5"/>
      <c r="X142" s="6"/>
      <c r="Y142" s="148"/>
      <c r="Z142" s="148"/>
      <c r="AA142" s="148"/>
      <c r="AB142" s="148"/>
      <c r="AC142" s="5"/>
      <c r="AD142" s="149"/>
      <c r="AE142" s="5"/>
      <c r="AF142" s="5"/>
      <c r="AG142" s="5"/>
      <c r="AH142" s="148"/>
      <c r="AI142" s="148"/>
      <c r="AJ142" s="148"/>
    </row>
    <row r="143" spans="18:36" ht="49.8" customHeight="1">
      <c r="R143" s="5"/>
      <c r="S143" s="88" t="s">
        <v>287</v>
      </c>
      <c r="T143" s="94" t="s">
        <v>135</v>
      </c>
      <c r="U143" s="9"/>
      <c r="V143" s="9"/>
      <c r="W143" s="9"/>
      <c r="X143" s="121"/>
      <c r="Y143" s="5"/>
      <c r="Z143" s="148"/>
      <c r="AA143" s="148"/>
      <c r="AB143" s="148"/>
      <c r="AC143" s="5"/>
      <c r="AD143" s="5"/>
      <c r="AE143" s="5"/>
      <c r="AF143" s="5"/>
      <c r="AG143" s="5"/>
      <c r="AH143" s="148"/>
      <c r="AI143" s="148"/>
      <c r="AJ143" s="148"/>
    </row>
    <row r="144" spans="18:36" ht="15" customHeight="1">
      <c r="R144" s="5"/>
      <c r="S144" s="85" t="s">
        <v>287</v>
      </c>
      <c r="T144" s="118" t="s">
        <v>135</v>
      </c>
      <c r="U144" s="120">
        <f>(Database!$C$31*(($M$54+273.15)-($U$85+273.15)))+(((Database!$D$31)*(($M$54+273.15)^2-($U$85+273.15)^2))/2)+((Database!$E$31*(($M$54+273.15)^3-($U$85+273.15)^3))/3)+((Database!$F$31*(($M$54+273.15)^4-($U$85+273.15)^4))/4)+((Database!$G$31)*(($M$54+273.15)^(5)-($U$85+273.15)^5))/5</f>
        <v>13189.392609775015</v>
      </c>
      <c r="V144" s="11" t="s">
        <v>279</v>
      </c>
      <c r="W144" s="11"/>
      <c r="X144" s="12"/>
      <c r="Y144" s="148"/>
      <c r="Z144" s="148"/>
      <c r="AA144" s="148"/>
      <c r="AB144" s="148"/>
      <c r="AC144" s="9"/>
      <c r="AD144" s="117"/>
      <c r="AE144" s="5"/>
      <c r="AF144" s="5"/>
      <c r="AG144" s="5"/>
      <c r="AH144" s="148"/>
      <c r="AI144" s="148"/>
      <c r="AJ144" s="148"/>
    </row>
    <row r="145" spans="18:36" ht="15.6">
      <c r="R145" s="5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9"/>
      <c r="AD145" s="117"/>
      <c r="AE145" s="9"/>
      <c r="AF145" s="5"/>
      <c r="AG145" s="5"/>
      <c r="AH145" s="148"/>
      <c r="AI145" s="148"/>
      <c r="AJ145" s="148"/>
    </row>
    <row r="146" spans="18:36" ht="15.6">
      <c r="R146" s="5"/>
      <c r="S146" s="1"/>
      <c r="T146" s="91" t="s">
        <v>288</v>
      </c>
      <c r="U146" s="2"/>
      <c r="V146" s="2"/>
      <c r="W146" s="208"/>
      <c r="X146" s="3"/>
      <c r="Y146" s="148"/>
      <c r="Z146" s="148"/>
      <c r="AA146" s="148"/>
      <c r="AB146" s="148"/>
      <c r="AC146" s="5"/>
      <c r="AD146" s="9"/>
      <c r="AE146" s="5"/>
      <c r="AF146" s="5"/>
      <c r="AG146" s="5"/>
      <c r="AH146" s="148"/>
      <c r="AI146" s="148"/>
      <c r="AJ146" s="148"/>
    </row>
    <row r="147" spans="18:36" ht="15.6">
      <c r="R147" s="5"/>
      <c r="S147" s="116" t="s">
        <v>281</v>
      </c>
      <c r="T147" s="5"/>
      <c r="U147" s="9" t="s">
        <v>539</v>
      </c>
      <c r="V147" s="5"/>
      <c r="W147" s="148"/>
      <c r="X147" s="6"/>
      <c r="Y147" s="148"/>
      <c r="Z147" s="148"/>
      <c r="AA147" s="148"/>
      <c r="AB147" s="148"/>
      <c r="AC147" s="5"/>
      <c r="AD147" s="9"/>
      <c r="AE147" s="5"/>
      <c r="AF147" s="5"/>
      <c r="AG147" s="5"/>
      <c r="AH147" s="148"/>
      <c r="AI147" s="148"/>
      <c r="AJ147" s="148"/>
    </row>
    <row r="148" spans="18:36" ht="15.6">
      <c r="R148" s="5"/>
      <c r="S148" s="4"/>
      <c r="T148" s="5"/>
      <c r="U148" s="5"/>
      <c r="V148" s="5"/>
      <c r="W148" s="148"/>
      <c r="X148" s="6"/>
      <c r="Y148" s="148"/>
      <c r="Z148" s="148"/>
      <c r="AA148" s="148"/>
      <c r="AB148" s="148"/>
      <c r="AC148" s="9"/>
      <c r="AD148" s="117"/>
      <c r="AE148" s="5"/>
      <c r="AF148" s="5"/>
      <c r="AG148" s="5"/>
      <c r="AH148" s="148"/>
      <c r="AI148" s="148"/>
      <c r="AJ148" s="148"/>
    </row>
    <row r="149" spans="18:36" ht="15.6">
      <c r="R149" s="5"/>
      <c r="S149" s="4" t="s">
        <v>283</v>
      </c>
      <c r="T149" s="9"/>
      <c r="U149" s="5"/>
      <c r="V149" s="5"/>
      <c r="W149" s="148"/>
      <c r="X149" s="121"/>
      <c r="Y149" s="148"/>
      <c r="Z149" s="148"/>
      <c r="AA149" s="148"/>
      <c r="AB149" s="148"/>
      <c r="AC149" s="9"/>
      <c r="AD149" s="117"/>
      <c r="AE149" s="5"/>
      <c r="AF149" s="5"/>
      <c r="AG149" s="5"/>
      <c r="AH149" s="148"/>
      <c r="AI149" s="148"/>
      <c r="AJ149" s="148"/>
    </row>
    <row r="150" spans="18:36" ht="46.8" customHeight="1">
      <c r="R150" s="5"/>
      <c r="S150" s="88" t="s">
        <v>288</v>
      </c>
      <c r="T150" s="94" t="s">
        <v>135</v>
      </c>
      <c r="U150" s="9"/>
      <c r="V150" s="9"/>
      <c r="W150" s="9"/>
      <c r="X150" s="121"/>
      <c r="Y150" s="148"/>
      <c r="Z150" s="148"/>
      <c r="AA150" s="148"/>
      <c r="AB150" s="148"/>
      <c r="AC150" s="9"/>
      <c r="AD150" s="117"/>
      <c r="AE150" s="96"/>
      <c r="AF150" s="5"/>
      <c r="AG150" s="5"/>
      <c r="AH150" s="148"/>
      <c r="AI150" s="148"/>
      <c r="AJ150" s="148"/>
    </row>
    <row r="151" spans="18:36" ht="17.399999999999999" customHeight="1">
      <c r="R151" s="5"/>
      <c r="S151" s="85" t="s">
        <v>288</v>
      </c>
      <c r="T151" s="118" t="s">
        <v>135</v>
      </c>
      <c r="U151" s="120">
        <f>(Database!$C$32*(($M$54+273.15)-($U$85+273.15)))+(((Database!$D$32)*(($M$54+273.15)^2-($U$85+273.15)^2))/2)+((Database!$E$32*(($M$54+273.15)^3-($U$85+273.15)^3))/3)+((Database!$F$32*(($M$54+273.15)^4-($U$85+273.15)^4))/4)+((Database!$G$32)*(($M$54+273.15)^(5)-($U$85+273.15)^5))/5</f>
        <v>22197.989326815492</v>
      </c>
      <c r="V151" s="11" t="s">
        <v>279</v>
      </c>
      <c r="W151" s="204"/>
      <c r="X151" s="12"/>
      <c r="Y151" s="148"/>
      <c r="Z151" s="148"/>
      <c r="AA151" s="148"/>
      <c r="AB151" s="148"/>
      <c r="AC151" s="9"/>
      <c r="AD151" s="9"/>
      <c r="AE151" s="5"/>
      <c r="AF151" s="5"/>
      <c r="AG151" s="5"/>
      <c r="AH151" s="148"/>
      <c r="AI151" s="148"/>
      <c r="AJ151" s="148"/>
    </row>
    <row r="152" spans="18:36" ht="15.6">
      <c r="R152" s="5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9"/>
      <c r="AD152" s="117"/>
      <c r="AE152" s="9"/>
      <c r="AF152" s="117"/>
      <c r="AG152" s="9"/>
      <c r="AH152" s="148"/>
      <c r="AI152" s="148"/>
      <c r="AJ152" s="148"/>
    </row>
    <row r="153" spans="18:36" ht="15.6">
      <c r="R153" s="5"/>
      <c r="S153" s="1"/>
      <c r="T153" s="91" t="s">
        <v>289</v>
      </c>
      <c r="U153" s="2"/>
      <c r="V153" s="2"/>
      <c r="W153" s="208"/>
      <c r="X153" s="3"/>
      <c r="Y153" s="148"/>
      <c r="Z153" s="148"/>
      <c r="AA153" s="148"/>
      <c r="AB153" s="148"/>
      <c r="AC153" s="9"/>
      <c r="AD153" s="117"/>
      <c r="AE153" s="96"/>
      <c r="AF153" s="5"/>
      <c r="AG153" s="5"/>
      <c r="AH153" s="148"/>
      <c r="AI153" s="148"/>
      <c r="AJ153" s="148"/>
    </row>
    <row r="154" spans="18:36" ht="15.6">
      <c r="R154" s="5"/>
      <c r="S154" s="122" t="s">
        <v>346</v>
      </c>
      <c r="T154" s="5"/>
      <c r="U154" s="115" t="s">
        <v>532</v>
      </c>
      <c r="V154" s="5"/>
      <c r="W154" s="148"/>
      <c r="X154" s="6"/>
      <c r="Y154" s="148"/>
      <c r="Z154" s="148"/>
      <c r="AA154" s="148"/>
      <c r="AB154" s="148"/>
      <c r="AC154" s="5"/>
      <c r="AD154" s="5"/>
      <c r="AE154" s="5"/>
      <c r="AF154" s="5"/>
      <c r="AG154" s="5"/>
      <c r="AH154" s="148"/>
      <c r="AI154" s="148"/>
      <c r="AJ154" s="148"/>
    </row>
    <row r="155" spans="18:36" ht="15.6">
      <c r="R155" s="5"/>
      <c r="S155" s="4"/>
      <c r="T155" s="5"/>
      <c r="U155" s="5"/>
      <c r="V155" s="5"/>
      <c r="W155" s="148"/>
      <c r="X155" s="6"/>
      <c r="Y155" s="148"/>
      <c r="Z155" s="148"/>
      <c r="AA155" s="148"/>
      <c r="AB155" s="148"/>
      <c r="AC155" s="5"/>
      <c r="AD155" s="9"/>
      <c r="AE155" s="5"/>
      <c r="AF155" s="5"/>
      <c r="AG155" s="5"/>
      <c r="AH155" s="148"/>
      <c r="AI155" s="148"/>
      <c r="AJ155" s="148"/>
    </row>
    <row r="156" spans="18:36" ht="15.6">
      <c r="R156" s="5"/>
      <c r="S156" s="4" t="s">
        <v>283</v>
      </c>
      <c r="T156" s="9"/>
      <c r="U156" s="5"/>
      <c r="V156" s="5"/>
      <c r="W156" s="148"/>
      <c r="X156" s="121"/>
      <c r="Y156" s="5"/>
      <c r="Z156" s="148"/>
      <c r="AA156" s="148"/>
      <c r="AB156" s="148"/>
      <c r="AC156" s="5"/>
      <c r="AD156" s="5"/>
      <c r="AE156" s="149"/>
      <c r="AF156" s="5"/>
      <c r="AG156" s="5"/>
      <c r="AH156" s="148"/>
      <c r="AI156" s="148"/>
      <c r="AJ156" s="148"/>
    </row>
    <row r="157" spans="18:36" ht="53.4" customHeight="1">
      <c r="R157" s="5"/>
      <c r="S157" s="88" t="s">
        <v>289</v>
      </c>
      <c r="T157" s="94" t="s">
        <v>135</v>
      </c>
      <c r="U157" s="9"/>
      <c r="V157" s="9"/>
      <c r="W157" s="9"/>
      <c r="X157" s="202"/>
      <c r="Y157" s="5"/>
      <c r="Z157" s="148"/>
      <c r="AA157" s="148"/>
      <c r="AB157" s="148"/>
      <c r="AC157" s="443"/>
      <c r="AD157" s="149"/>
      <c r="AE157" s="416"/>
      <c r="AF157" s="5"/>
      <c r="AG157" s="5"/>
      <c r="AH157" s="148"/>
      <c r="AI157" s="148"/>
      <c r="AJ157" s="148"/>
    </row>
    <row r="158" spans="18:36" ht="15.6">
      <c r="R158" s="5"/>
      <c r="S158" s="85" t="s">
        <v>289</v>
      </c>
      <c r="T158" s="118" t="s">
        <v>135</v>
      </c>
      <c r="U158" s="120">
        <f>(Database!$C$33*(($M$54+273.15)-($U$85+273.15)))+(((Database!$D$33)*(($M$54+273.15)^2-($U$85+273.15)^2))/2)+((Database!$E$33*(($M$54+273.15)^3-($U$85+273.15)^3))/3)+((Database!$F$33*(($M$54+273.15)^4-($U$85+273.15)^4))/4)+((Database!$G$33)*(($M$54+273.15)^(5)-($U$85+273.15)^5))/5</f>
        <v>37314.058706800417</v>
      </c>
      <c r="V158" s="11" t="s">
        <v>279</v>
      </c>
      <c r="W158" s="204"/>
      <c r="X158" s="12"/>
      <c r="Y158" s="148"/>
      <c r="Z158" s="148"/>
      <c r="AA158" s="148"/>
      <c r="AB158" s="148"/>
      <c r="AC158" s="444"/>
      <c r="AD158" s="149"/>
      <c r="AE158" s="445"/>
      <c r="AF158" s="5"/>
      <c r="AG158" s="5"/>
      <c r="AH158" s="148"/>
      <c r="AI158" s="148"/>
      <c r="AJ158" s="148"/>
    </row>
    <row r="159" spans="18:36" ht="15.6">
      <c r="R159" s="5"/>
      <c r="S159" s="5"/>
      <c r="T159" s="5"/>
      <c r="U159" s="5"/>
      <c r="V159" s="5"/>
      <c r="W159" s="5"/>
      <c r="X159" s="5"/>
      <c r="Y159" s="5"/>
      <c r="Z159" s="148"/>
      <c r="AA159" s="148"/>
      <c r="AB159" s="148"/>
      <c r="AC159" s="5"/>
      <c r="AD159" s="115"/>
      <c r="AE159" s="5"/>
      <c r="AF159" s="5"/>
      <c r="AG159" s="5"/>
      <c r="AH159" s="148"/>
      <c r="AI159" s="148"/>
      <c r="AJ159" s="148"/>
    </row>
    <row r="160" spans="18:36" ht="15.6">
      <c r="R160" s="5"/>
      <c r="S160" s="1"/>
      <c r="T160" s="91" t="s">
        <v>290</v>
      </c>
      <c r="U160" s="2"/>
      <c r="V160" s="2"/>
      <c r="W160" s="179"/>
      <c r="X160" s="175"/>
      <c r="Y160" s="5"/>
      <c r="Z160" s="148"/>
      <c r="AA160" s="148"/>
      <c r="AB160" s="148"/>
      <c r="AC160" s="5"/>
      <c r="AD160" s="149"/>
      <c r="AE160" s="5"/>
      <c r="AF160" s="5"/>
      <c r="AG160" s="5"/>
      <c r="AH160" s="148"/>
      <c r="AI160" s="148"/>
      <c r="AJ160" s="148"/>
    </row>
    <row r="161" spans="18:36" ht="15.6">
      <c r="R161" s="5"/>
      <c r="S161" s="122" t="s">
        <v>355</v>
      </c>
      <c r="T161" s="5"/>
      <c r="U161" s="155" t="s">
        <v>533</v>
      </c>
      <c r="V161" s="5"/>
      <c r="W161" s="148"/>
      <c r="X161" s="6"/>
      <c r="Y161" s="5"/>
      <c r="Z161" s="148"/>
      <c r="AA161" s="148"/>
      <c r="AB161" s="148"/>
      <c r="AC161" s="5"/>
      <c r="AD161" s="5"/>
      <c r="AE161" s="5"/>
      <c r="AF161" s="5"/>
      <c r="AG161" s="5"/>
      <c r="AH161" s="148"/>
      <c r="AI161" s="148"/>
      <c r="AJ161" s="148"/>
    </row>
    <row r="162" spans="18:36" ht="15.6">
      <c r="R162" s="5"/>
      <c r="S162" s="4"/>
      <c r="T162" s="5"/>
      <c r="U162" s="5"/>
      <c r="V162" s="5"/>
      <c r="W162" s="148"/>
      <c r="X162" s="6"/>
      <c r="Y162" s="5"/>
      <c r="Z162" s="148"/>
      <c r="AA162" s="148"/>
      <c r="AB162" s="148"/>
      <c r="AC162" s="9"/>
      <c r="AD162" s="117"/>
      <c r="AE162" s="5"/>
      <c r="AF162" s="5"/>
      <c r="AG162" s="5"/>
      <c r="AH162" s="148"/>
      <c r="AI162" s="148"/>
      <c r="AJ162" s="148"/>
    </row>
    <row r="163" spans="18:36" ht="15.6">
      <c r="R163" s="5"/>
      <c r="S163" s="4" t="s">
        <v>283</v>
      </c>
      <c r="T163" s="9"/>
      <c r="U163" s="5"/>
      <c r="V163" s="5"/>
      <c r="W163" s="148"/>
      <c r="X163" s="6"/>
      <c r="Y163" s="5"/>
      <c r="Z163" s="148"/>
      <c r="AA163" s="148"/>
      <c r="AB163" s="148"/>
      <c r="AC163" s="9"/>
      <c r="AD163" s="117"/>
      <c r="AE163" s="5"/>
      <c r="AF163" s="5"/>
      <c r="AG163" s="5"/>
      <c r="AH163" s="148"/>
      <c r="AI163" s="148"/>
      <c r="AJ163" s="148"/>
    </row>
    <row r="164" spans="18:36" ht="48" customHeight="1">
      <c r="R164" s="5"/>
      <c r="S164" s="88" t="s">
        <v>290</v>
      </c>
      <c r="T164" s="94" t="s">
        <v>135</v>
      </c>
      <c r="U164" s="9"/>
      <c r="V164" s="9"/>
      <c r="W164" s="9"/>
      <c r="X164" s="121"/>
      <c r="Y164" s="5"/>
      <c r="Z164" s="148"/>
      <c r="AA164" s="148"/>
      <c r="AB164" s="148"/>
      <c r="AC164" s="5"/>
      <c r="AD164" s="9"/>
      <c r="AE164" s="5"/>
      <c r="AF164" s="5"/>
      <c r="AG164" s="5"/>
      <c r="AH164" s="148"/>
      <c r="AI164" s="148"/>
      <c r="AJ164" s="148"/>
    </row>
    <row r="165" spans="18:36" ht="15.6">
      <c r="R165" s="5"/>
      <c r="S165" s="85" t="s">
        <v>290</v>
      </c>
      <c r="T165" s="118" t="s">
        <v>135</v>
      </c>
      <c r="U165" s="120">
        <f>(Database!$C$34*(($M$54+273.15)-($U$85+273.15)))+(((Database!$D$34)*(($M$54+273.15)^2-($U$85+273.15)^2))/2)+((Database!$E$34*(($M$54+273.15)^3-($U$85+273.15)^3))/3)+((Database!$F$34*(($M$54+273.15)^4-($U$85+273.15)^4))/4)+((Database!$G$34)*(($M$54+273.15)^(5)-($U$85+273.15)^5))/5</f>
        <v>62487.219335014546</v>
      </c>
      <c r="V165" s="11" t="s">
        <v>279</v>
      </c>
      <c r="W165" s="204"/>
      <c r="X165" s="12"/>
      <c r="Y165" s="5"/>
      <c r="Z165" s="148"/>
      <c r="AA165" s="148"/>
      <c r="AB165" s="148"/>
      <c r="AC165" s="5"/>
      <c r="AD165" s="9"/>
      <c r="AE165" s="5"/>
      <c r="AF165" s="5"/>
      <c r="AG165" s="5"/>
      <c r="AH165" s="148"/>
      <c r="AI165" s="148"/>
      <c r="AJ165" s="148"/>
    </row>
    <row r="166" spans="18:36" ht="15.6">
      <c r="R166" s="5"/>
      <c r="S166" s="5"/>
      <c r="T166" s="5"/>
      <c r="U166" s="5"/>
      <c r="V166" s="5"/>
      <c r="W166" s="5"/>
      <c r="X166" s="5"/>
      <c r="Y166" s="5"/>
      <c r="Z166" s="148"/>
      <c r="AA166" s="148"/>
      <c r="AB166" s="148"/>
      <c r="AC166" s="9"/>
      <c r="AD166" s="117"/>
      <c r="AE166" s="5"/>
      <c r="AF166" s="5"/>
      <c r="AG166" s="5"/>
      <c r="AH166" s="148"/>
      <c r="AI166" s="148"/>
      <c r="AJ166" s="148"/>
    </row>
    <row r="167" spans="18:36" ht="15.6">
      <c r="R167" s="5"/>
      <c r="S167" s="1"/>
      <c r="T167" s="91" t="s">
        <v>292</v>
      </c>
      <c r="U167" s="2"/>
      <c r="V167" s="2"/>
      <c r="W167" s="208"/>
      <c r="X167" s="3"/>
      <c r="Y167" s="5"/>
      <c r="Z167" s="148"/>
      <c r="AA167" s="148"/>
      <c r="AB167" s="148"/>
      <c r="AC167" s="9"/>
      <c r="AD167" s="117"/>
      <c r="AE167" s="5"/>
      <c r="AF167" s="5"/>
      <c r="AG167" s="5"/>
      <c r="AH167" s="148"/>
      <c r="AI167" s="148"/>
      <c r="AJ167" s="148"/>
    </row>
    <row r="168" spans="18:36" ht="15.6">
      <c r="R168" s="5"/>
      <c r="S168" s="122" t="s">
        <v>364</v>
      </c>
      <c r="T168" s="5"/>
      <c r="U168" s="155" t="s">
        <v>293</v>
      </c>
      <c r="V168" s="5"/>
      <c r="W168" s="148"/>
      <c r="X168" s="6"/>
      <c r="Y168" s="5"/>
      <c r="Z168" s="148"/>
      <c r="AA168" s="148"/>
      <c r="AB168" s="148"/>
      <c r="AC168" s="9"/>
      <c r="AD168" s="117"/>
      <c r="AE168" s="96"/>
      <c r="AF168" s="5"/>
      <c r="AG168" s="5"/>
      <c r="AH168" s="148"/>
      <c r="AI168" s="148"/>
      <c r="AJ168" s="148"/>
    </row>
    <row r="169" spans="18:36" ht="15.6">
      <c r="R169" s="5"/>
      <c r="S169" s="4"/>
      <c r="T169" s="5"/>
      <c r="U169" s="5"/>
      <c r="V169" s="5"/>
      <c r="W169" s="148"/>
      <c r="X169" s="6"/>
      <c r="Y169" s="5"/>
      <c r="Z169" s="148"/>
      <c r="AA169" s="148"/>
      <c r="AB169" s="148"/>
      <c r="AC169" s="9"/>
      <c r="AD169" s="9"/>
      <c r="AE169" s="5"/>
      <c r="AF169" s="5"/>
      <c r="AG169" s="5"/>
      <c r="AH169" s="148"/>
      <c r="AI169" s="148"/>
      <c r="AJ169" s="148"/>
    </row>
    <row r="170" spans="18:36" ht="15.6">
      <c r="R170" s="5"/>
      <c r="S170" s="4" t="s">
        <v>283</v>
      </c>
      <c r="T170" s="9"/>
      <c r="U170" s="5"/>
      <c r="V170" s="5"/>
      <c r="W170" s="148"/>
      <c r="X170" s="121"/>
      <c r="Y170" s="148"/>
      <c r="Z170" s="148"/>
      <c r="AA170" s="148"/>
      <c r="AB170" s="148"/>
      <c r="AC170" s="9"/>
      <c r="AD170" s="117"/>
      <c r="AE170" s="9"/>
      <c r="AF170" s="117"/>
      <c r="AG170" s="9"/>
      <c r="AH170" s="148"/>
      <c r="AI170" s="148"/>
      <c r="AJ170" s="148"/>
    </row>
    <row r="171" spans="18:36" ht="52.8" customHeight="1">
      <c r="R171" s="5"/>
      <c r="S171" s="88" t="s">
        <v>292</v>
      </c>
      <c r="T171" s="94" t="s">
        <v>135</v>
      </c>
      <c r="U171" s="5"/>
      <c r="V171" s="5"/>
      <c r="W171" s="148"/>
      <c r="X171" s="6"/>
      <c r="Y171" s="5"/>
      <c r="Z171" s="148"/>
      <c r="AA171" s="148"/>
      <c r="AB171" s="148"/>
      <c r="AC171" s="5"/>
      <c r="AD171" s="117"/>
      <c r="AE171" s="96"/>
      <c r="AF171" s="5"/>
      <c r="AG171" s="5"/>
      <c r="AH171" s="148"/>
      <c r="AI171" s="148"/>
      <c r="AJ171" s="148"/>
    </row>
    <row r="172" spans="18:36" ht="15.6">
      <c r="R172" s="5"/>
      <c r="S172" s="85" t="s">
        <v>292</v>
      </c>
      <c r="T172" s="118" t="s">
        <v>135</v>
      </c>
      <c r="U172" s="120">
        <f>(Database!$C$35*(($M$54+273.15)-($U$85+273.15)))+(((Database!$D$35)*(($M$54+273.15)^2-($U$85+273.15)^2))/2)+((Database!$E$35*(($M$54+273.15)^3-($U$85+273.15)^3))/3)+((Database!$F$35*(($M$54+273.15)^4-($U$85+273.15)^4))/4)+((Database!$G$35)*(($M$54+273.15)^(5)-($U$85+273.15)^5))/5</f>
        <v>88762.103589115635</v>
      </c>
      <c r="V172" s="11" t="s">
        <v>279</v>
      </c>
      <c r="W172" s="204"/>
      <c r="X172" s="12"/>
      <c r="Y172" s="5"/>
      <c r="Z172" s="148"/>
      <c r="AA172" s="148"/>
      <c r="AB172" s="148"/>
      <c r="AC172" s="5"/>
      <c r="AD172" s="5"/>
      <c r="AE172" s="5"/>
      <c r="AF172" s="5"/>
      <c r="AG172" s="5"/>
      <c r="AH172" s="148"/>
      <c r="AI172" s="148"/>
      <c r="AJ172" s="148"/>
    </row>
    <row r="173" spans="18:36" ht="15.6">
      <c r="R173" s="5"/>
      <c r="S173" s="5"/>
      <c r="T173" s="5"/>
      <c r="U173" s="5"/>
      <c r="V173" s="5"/>
      <c r="W173" s="5"/>
      <c r="X173" s="5"/>
      <c r="Y173" s="5"/>
      <c r="Z173" s="148"/>
      <c r="AA173" s="148"/>
      <c r="AB173" s="148"/>
      <c r="AC173" s="5"/>
      <c r="AD173" s="9"/>
      <c r="AE173" s="5"/>
      <c r="AF173" s="5"/>
      <c r="AG173" s="5"/>
      <c r="AH173" s="148"/>
      <c r="AI173" s="148"/>
      <c r="AJ173" s="148"/>
    </row>
    <row r="174" spans="18:36" ht="15.6">
      <c r="R174" s="5"/>
      <c r="Z174" s="148"/>
      <c r="AA174" s="148"/>
      <c r="AB174" s="148"/>
      <c r="AC174" s="5"/>
      <c r="AD174" s="5"/>
      <c r="AE174" s="149"/>
      <c r="AF174" s="5"/>
      <c r="AG174" s="5"/>
      <c r="AH174" s="148"/>
      <c r="AI174" s="148"/>
      <c r="AJ174" s="148"/>
    </row>
    <row r="175" spans="18:36" ht="15.6">
      <c r="R175" s="5"/>
      <c r="Z175" s="148"/>
      <c r="AA175" s="148"/>
      <c r="AB175" s="148"/>
      <c r="AC175" s="153"/>
      <c r="AD175" s="149"/>
      <c r="AE175" s="153"/>
      <c r="AF175" s="5"/>
      <c r="AG175" s="5"/>
      <c r="AH175" s="148"/>
      <c r="AI175" s="148"/>
      <c r="AJ175" s="148"/>
    </row>
    <row r="176" spans="18:36" ht="15.6">
      <c r="R176" s="5"/>
      <c r="S176" s="148"/>
      <c r="T176" s="148"/>
      <c r="U176" s="148"/>
      <c r="V176" s="148"/>
      <c r="W176" s="148"/>
      <c r="X176" s="148"/>
      <c r="Y176" s="5"/>
      <c r="Z176" s="148"/>
      <c r="AA176" s="148"/>
      <c r="AB176" s="148"/>
      <c r="AC176" s="207"/>
      <c r="AD176" s="149"/>
      <c r="AE176" s="148"/>
      <c r="AF176" s="5"/>
      <c r="AG176" s="5"/>
      <c r="AH176" s="148"/>
      <c r="AI176" s="148"/>
      <c r="AJ176" s="148"/>
    </row>
    <row r="177" spans="18:36" ht="15.6">
      <c r="R177" s="5"/>
      <c r="AH177" s="148"/>
      <c r="AI177" s="148"/>
      <c r="AJ177" s="148"/>
    </row>
    <row r="178" spans="18:36" ht="15.6">
      <c r="R178" s="5"/>
      <c r="AH178" s="148"/>
      <c r="AI178" s="148"/>
      <c r="AJ178" s="148"/>
    </row>
    <row r="179" spans="18:36" ht="25.2" customHeight="1">
      <c r="R179" s="5"/>
      <c r="AH179" s="148"/>
      <c r="AI179" s="148"/>
      <c r="AJ179" s="148"/>
    </row>
    <row r="180" spans="18:36" ht="15.6">
      <c r="R180" s="5"/>
      <c r="AH180" s="148"/>
      <c r="AI180" s="148"/>
      <c r="AJ180" s="148"/>
    </row>
    <row r="181" spans="18:36" ht="15.6">
      <c r="R181" s="5"/>
      <c r="AH181" s="168"/>
      <c r="AI181" s="148"/>
      <c r="AJ181" s="148"/>
    </row>
    <row r="182" spans="18:36" ht="15.6">
      <c r="R182" s="5"/>
      <c r="S182" s="148"/>
      <c r="T182" s="148"/>
      <c r="U182" s="148"/>
      <c r="V182" s="148"/>
      <c r="W182" s="148"/>
      <c r="X182" s="148"/>
      <c r="Y182" s="5"/>
      <c r="Z182" s="148"/>
      <c r="AA182" s="148"/>
      <c r="AB182" s="148"/>
      <c r="AC182" s="148"/>
      <c r="AD182" s="148"/>
      <c r="AE182" s="5"/>
      <c r="AF182" s="5"/>
      <c r="AG182" s="5"/>
      <c r="AH182" s="148"/>
      <c r="AI182" s="148"/>
      <c r="AJ182" s="148"/>
    </row>
    <row r="183" spans="18:36" ht="15.6">
      <c r="R183" s="5"/>
      <c r="Y183" s="5"/>
      <c r="AC183" s="5"/>
      <c r="AD183" s="9"/>
      <c r="AE183" s="5"/>
      <c r="AF183" s="5"/>
      <c r="AG183" s="5"/>
    </row>
    <row r="184" spans="18:36" ht="15.6">
      <c r="R184" s="5"/>
      <c r="Y184" s="5"/>
      <c r="AC184" s="9"/>
      <c r="AD184" s="117"/>
      <c r="AE184" s="5"/>
      <c r="AF184" s="5"/>
      <c r="AG184" s="5"/>
    </row>
    <row r="185" spans="18:36" ht="15.6">
      <c r="R185" s="5"/>
      <c r="Y185" s="5"/>
      <c r="AC185" s="9"/>
      <c r="AD185" s="117"/>
      <c r="AE185" s="5"/>
      <c r="AF185" s="5"/>
      <c r="AG185" s="5"/>
    </row>
    <row r="186" spans="18:36" ht="15.6">
      <c r="R186" s="5"/>
      <c r="Y186" s="5"/>
      <c r="AC186" s="9"/>
      <c r="AD186" s="117"/>
      <c r="AE186" s="96"/>
      <c r="AF186" s="5"/>
      <c r="AG186" s="5"/>
    </row>
    <row r="187" spans="18:36" ht="15.6">
      <c r="R187" s="5"/>
      <c r="X187" s="9"/>
      <c r="Y187" s="5"/>
      <c r="AC187" s="9"/>
      <c r="AD187" s="9"/>
      <c r="AE187" s="5"/>
      <c r="AF187" s="5"/>
      <c r="AG187" s="5"/>
    </row>
    <row r="188" spans="18:36" ht="15.6">
      <c r="R188" s="5"/>
      <c r="X188" s="113"/>
      <c r="Y188" s="5"/>
      <c r="AC188" s="9"/>
      <c r="AD188" s="117"/>
      <c r="AE188" s="9"/>
      <c r="AF188" s="117"/>
      <c r="AG188" s="9"/>
    </row>
    <row r="189" spans="18:36" ht="15.6">
      <c r="R189" s="5"/>
      <c r="X189" s="113"/>
      <c r="Y189" s="5"/>
      <c r="AC189" s="9"/>
      <c r="AD189" s="117"/>
      <c r="AE189" s="96"/>
      <c r="AF189" s="5"/>
      <c r="AG189" s="5"/>
    </row>
    <row r="190" spans="18:36" ht="15.6">
      <c r="R190" s="5"/>
      <c r="X190" s="113"/>
      <c r="Y190" s="5"/>
      <c r="AC190" s="5"/>
      <c r="AD190" s="5"/>
      <c r="AE190" s="5"/>
      <c r="AF190" s="5"/>
      <c r="AG190" s="5"/>
    </row>
    <row r="191" spans="18:36" ht="15.6">
      <c r="R191" s="5"/>
      <c r="X191" s="113"/>
      <c r="Y191" s="5"/>
      <c r="AC191" s="5"/>
      <c r="AD191" s="9"/>
      <c r="AE191" s="5"/>
      <c r="AF191" s="5"/>
      <c r="AG191" s="5"/>
    </row>
    <row r="192" spans="18:36" ht="15.6">
      <c r="R192" s="5"/>
      <c r="X192" s="113"/>
      <c r="Y192" s="5"/>
      <c r="AC192" s="5"/>
      <c r="AD192" s="5"/>
      <c r="AE192" s="149"/>
      <c r="AF192" s="5"/>
      <c r="AG192" s="5"/>
    </row>
    <row r="193" spans="18:33" ht="15.6">
      <c r="R193" s="5"/>
      <c r="Y193" s="5"/>
      <c r="AC193" s="443"/>
      <c r="AD193" s="149"/>
      <c r="AE193" s="416"/>
      <c r="AF193" s="5"/>
      <c r="AG193" s="5"/>
    </row>
    <row r="194" spans="18:33" ht="15.6">
      <c r="R194" s="5"/>
      <c r="Y194" s="5"/>
      <c r="AC194" s="447"/>
      <c r="AD194" s="149"/>
      <c r="AE194" s="376"/>
      <c r="AF194" s="5"/>
      <c r="AG194" s="5"/>
    </row>
    <row r="195" spans="18:33" ht="15.6">
      <c r="R195" s="5"/>
      <c r="Y195" s="5"/>
      <c r="AC195" s="5"/>
      <c r="AD195" s="115"/>
      <c r="AE195" s="5"/>
      <c r="AF195" s="5"/>
      <c r="AG195" s="5"/>
    </row>
    <row r="196" spans="18:33" ht="15.6">
      <c r="R196" s="5"/>
      <c r="Y196" s="9"/>
      <c r="AC196" s="5"/>
      <c r="AD196" s="149"/>
      <c r="AE196" s="5"/>
      <c r="AF196" s="5"/>
      <c r="AG196" s="5"/>
    </row>
    <row r="197" spans="18:33" ht="15.6">
      <c r="R197" s="5"/>
      <c r="Y197" s="5"/>
      <c r="AC197" s="5"/>
      <c r="AD197" s="5"/>
      <c r="AE197" s="5"/>
      <c r="AF197" s="5"/>
      <c r="AG197" s="5"/>
    </row>
    <row r="198" spans="18:33" ht="15.6">
      <c r="R198" s="5"/>
      <c r="AC198" s="9"/>
      <c r="AD198" s="117"/>
      <c r="AE198" s="5"/>
      <c r="AF198" s="5"/>
      <c r="AG198" s="5"/>
    </row>
    <row r="199" spans="18:33" ht="15.6">
      <c r="R199" s="5"/>
      <c r="Y199" s="113"/>
      <c r="AC199" s="9"/>
      <c r="AD199" s="117"/>
      <c r="AE199" s="9"/>
      <c r="AF199" s="5"/>
      <c r="AG199" s="5"/>
    </row>
    <row r="200" spans="18:33" ht="15.6">
      <c r="R200" s="5"/>
      <c r="Y200" s="113"/>
      <c r="AC200" s="5"/>
      <c r="AD200" s="9"/>
      <c r="AE200" s="5"/>
      <c r="AF200" s="5"/>
      <c r="AG200" s="5"/>
    </row>
    <row r="201" spans="18:33" ht="15.6">
      <c r="R201" s="5"/>
      <c r="AC201" s="5"/>
      <c r="AD201" s="9"/>
      <c r="AE201" s="5"/>
      <c r="AF201" s="5"/>
      <c r="AG201" s="5"/>
    </row>
    <row r="202" spans="18:33" ht="15.6">
      <c r="R202" s="5"/>
      <c r="AC202" s="9"/>
      <c r="AD202" s="117"/>
      <c r="AE202" s="5"/>
      <c r="AF202" s="5"/>
      <c r="AG202" s="5"/>
    </row>
    <row r="203" spans="18:33" ht="15.6">
      <c r="R203" s="5"/>
      <c r="AC203" s="9"/>
      <c r="AD203" s="117"/>
      <c r="AE203" s="5"/>
      <c r="AF203" s="5"/>
      <c r="AG203" s="5"/>
    </row>
    <row r="204" spans="18:33" ht="15.6">
      <c r="R204" s="5"/>
      <c r="AC204" s="9"/>
      <c r="AD204" s="117"/>
      <c r="AE204" s="96"/>
      <c r="AF204" s="5"/>
      <c r="AG204" s="5"/>
    </row>
    <row r="205" spans="18:33" ht="15.6">
      <c r="R205" s="5"/>
      <c r="AC205" s="9"/>
      <c r="AD205" s="9"/>
      <c r="AE205" s="5"/>
      <c r="AF205" s="5"/>
      <c r="AG205" s="5"/>
    </row>
    <row r="206" spans="18:33" ht="15.6">
      <c r="R206" s="5"/>
      <c r="AC206" s="9"/>
      <c r="AD206" s="117"/>
      <c r="AE206" s="9"/>
      <c r="AF206" s="117"/>
      <c r="AG206" s="9"/>
    </row>
    <row r="207" spans="18:33" ht="15.6">
      <c r="R207" s="5"/>
      <c r="AC207" s="9"/>
      <c r="AD207" s="117"/>
      <c r="AE207" s="96"/>
      <c r="AF207" s="5"/>
      <c r="AG207" s="5"/>
    </row>
    <row r="208" spans="18:33" ht="15.6">
      <c r="R208" s="5"/>
      <c r="AC208" s="5"/>
      <c r="AD208" s="5"/>
      <c r="AE208" s="5"/>
      <c r="AF208" s="5"/>
      <c r="AG208" s="5"/>
    </row>
    <row r="209" spans="18:33" ht="15.6">
      <c r="R209" s="5"/>
      <c r="AC209" s="5"/>
      <c r="AD209" s="9"/>
      <c r="AE209" s="5"/>
      <c r="AF209" s="5"/>
      <c r="AG209" s="5"/>
    </row>
    <row r="210" spans="18:33" ht="15.6">
      <c r="R210" s="5"/>
      <c r="AC210" s="5"/>
      <c r="AD210" s="5"/>
      <c r="AE210" s="149"/>
      <c r="AF210" s="5"/>
      <c r="AG210" s="5"/>
    </row>
    <row r="211" spans="18:33" ht="15.6">
      <c r="R211" s="5"/>
      <c r="AC211" s="443"/>
      <c r="AD211" s="149"/>
      <c r="AE211" s="416"/>
      <c r="AF211" s="5"/>
      <c r="AG211" s="5"/>
    </row>
    <row r="212" spans="18:33" ht="15.6">
      <c r="R212" s="5"/>
      <c r="AC212" s="447"/>
      <c r="AD212" s="149"/>
      <c r="AE212" s="376"/>
      <c r="AF212" s="5"/>
      <c r="AG212" s="5"/>
    </row>
    <row r="213" spans="18:33" ht="15.6">
      <c r="R213" s="5"/>
      <c r="AC213" s="5"/>
      <c r="AD213" s="115"/>
      <c r="AE213" s="5"/>
      <c r="AF213" s="5"/>
      <c r="AG213" s="5"/>
    </row>
    <row r="214" spans="18:33" ht="15.6">
      <c r="R214" s="5"/>
      <c r="AC214" s="5"/>
      <c r="AD214" s="149"/>
      <c r="AE214" s="5"/>
      <c r="AF214" s="5"/>
      <c r="AG214" s="5"/>
    </row>
    <row r="215" spans="18:33" ht="15.6">
      <c r="R215" s="5"/>
      <c r="Y215" s="9"/>
      <c r="AC215" s="5"/>
      <c r="AD215" s="5"/>
      <c r="AE215" s="5"/>
      <c r="AF215" s="5"/>
      <c r="AG215" s="5"/>
    </row>
    <row r="216" spans="18:33" ht="15.6">
      <c r="R216" s="5"/>
      <c r="Y216" s="113"/>
      <c r="AC216" s="9"/>
      <c r="AD216" s="117"/>
      <c r="AE216" s="5"/>
      <c r="AF216" s="5"/>
      <c r="AG216" s="5"/>
    </row>
    <row r="217" spans="18:33" ht="15.6">
      <c r="R217" s="5"/>
      <c r="Y217" s="113"/>
      <c r="AC217" s="9"/>
      <c r="AD217" s="117"/>
      <c r="AE217" s="9"/>
      <c r="AF217" s="5"/>
      <c r="AG217" s="5"/>
    </row>
    <row r="218" spans="18:33" ht="15.6">
      <c r="R218" s="5"/>
      <c r="Y218" s="113"/>
      <c r="AC218" s="5"/>
      <c r="AD218" s="9"/>
      <c r="AE218" s="5"/>
      <c r="AF218" s="5"/>
      <c r="AG218" s="5"/>
    </row>
    <row r="219" spans="18:33" ht="15.6">
      <c r="R219" s="5"/>
      <c r="Y219" s="113"/>
      <c r="AC219" s="5"/>
      <c r="AD219" s="9"/>
      <c r="AE219" s="5"/>
      <c r="AF219" s="5"/>
      <c r="AG219" s="5"/>
    </row>
    <row r="220" spans="18:33" ht="15.6">
      <c r="R220" s="5"/>
      <c r="Y220" s="113"/>
      <c r="AC220" s="9"/>
      <c r="AD220" s="117"/>
      <c r="AE220" s="5"/>
      <c r="AF220" s="5"/>
      <c r="AG220" s="5"/>
    </row>
    <row r="221" spans="18:33" ht="15.6">
      <c r="R221" s="5"/>
      <c r="AC221" s="9"/>
      <c r="AD221" s="117"/>
      <c r="AE221" s="5"/>
      <c r="AF221" s="5"/>
      <c r="AG221" s="5"/>
    </row>
    <row r="222" spans="18:33" ht="15.6">
      <c r="R222" s="5"/>
      <c r="AC222" s="9"/>
      <c r="AD222" s="117"/>
      <c r="AE222" s="96"/>
      <c r="AF222" s="5"/>
      <c r="AG222" s="5"/>
    </row>
    <row r="223" spans="18:33" ht="15.6">
      <c r="R223" s="5"/>
      <c r="AC223" s="9"/>
      <c r="AD223" s="9"/>
      <c r="AE223" s="5"/>
      <c r="AF223" s="5"/>
      <c r="AG223" s="5"/>
    </row>
    <row r="224" spans="18:33" ht="15.6">
      <c r="R224" s="5"/>
      <c r="AC224" s="9"/>
      <c r="AD224" s="117"/>
      <c r="AE224" s="9"/>
      <c r="AF224" s="117"/>
      <c r="AG224" s="9"/>
    </row>
    <row r="225" spans="18:33" ht="15.6">
      <c r="R225" s="5"/>
      <c r="AC225" s="9"/>
      <c r="AD225" s="117"/>
      <c r="AE225" s="96"/>
      <c r="AF225" s="5"/>
      <c r="AG225" s="5"/>
    </row>
    <row r="226" spans="18:33" ht="15.6">
      <c r="R226" s="5"/>
      <c r="AC226" s="5"/>
      <c r="AD226" s="5"/>
      <c r="AE226" s="5"/>
      <c r="AF226" s="5"/>
      <c r="AG226" s="5"/>
    </row>
    <row r="227" spans="18:33" ht="15.6">
      <c r="R227" s="5"/>
      <c r="AC227" s="5"/>
      <c r="AD227" s="5"/>
      <c r="AE227" s="5"/>
      <c r="AF227" s="5"/>
      <c r="AG227" s="5"/>
    </row>
    <row r="228" spans="18:33" ht="15.6">
      <c r="R228" s="5"/>
      <c r="AC228" s="9"/>
      <c r="AD228" s="117"/>
      <c r="AE228" s="9"/>
      <c r="AF228" s="5"/>
      <c r="AG228" s="5"/>
    </row>
    <row r="229" spans="18:33" ht="15.6">
      <c r="R229" s="5"/>
      <c r="AC229" s="9"/>
      <c r="AD229" s="117"/>
      <c r="AE229" s="96"/>
      <c r="AF229" s="5"/>
      <c r="AG229" s="5"/>
    </row>
    <row r="230" spans="18:33" ht="15.6">
      <c r="R230" s="5"/>
    </row>
    <row r="231" spans="18:33" ht="15.6">
      <c r="R231" s="5"/>
    </row>
    <row r="232" spans="18:33" ht="15.6">
      <c r="R232" s="5"/>
    </row>
    <row r="233" spans="18:33" ht="15.6">
      <c r="R233" s="5"/>
    </row>
    <row r="234" spans="18:33" ht="15.6">
      <c r="R234" s="5"/>
    </row>
    <row r="246" spans="19:25" ht="13.2">
      <c r="S246" s="113"/>
      <c r="T246" s="113"/>
      <c r="U246" s="113"/>
      <c r="V246" s="113"/>
      <c r="W246" s="113"/>
      <c r="X246" s="113"/>
      <c r="Y246" s="113"/>
    </row>
    <row r="247" spans="19:25" ht="13.2">
      <c r="S247" s="113"/>
      <c r="T247" s="113"/>
      <c r="U247" s="113"/>
      <c r="V247" s="113"/>
      <c r="W247" s="113"/>
      <c r="X247" s="113"/>
      <c r="Y247" s="113"/>
    </row>
    <row r="248" spans="19:25" ht="13.2">
      <c r="S248" s="113"/>
      <c r="T248" s="113"/>
      <c r="U248" s="113"/>
      <c r="V248" s="113"/>
      <c r="W248" s="113"/>
      <c r="X248" s="113"/>
      <c r="Y248" s="113"/>
    </row>
    <row r="249" spans="19:25" ht="13.2">
      <c r="S249" s="113"/>
      <c r="T249" s="113"/>
      <c r="U249" s="113"/>
      <c r="V249" s="113"/>
      <c r="W249" s="113"/>
      <c r="X249" s="113"/>
      <c r="Y249" s="113"/>
    </row>
    <row r="250" spans="19:25" ht="13.2">
      <c r="S250" s="113"/>
      <c r="T250" s="113"/>
      <c r="U250" s="113"/>
      <c r="V250" s="113"/>
      <c r="W250" s="113"/>
      <c r="X250" s="113"/>
      <c r="Y250" s="113"/>
    </row>
    <row r="251" spans="19:25" ht="13.2">
      <c r="S251" s="113"/>
      <c r="T251" s="113"/>
      <c r="U251" s="113"/>
      <c r="V251" s="113"/>
      <c r="W251" s="113"/>
      <c r="X251" s="113"/>
      <c r="Y251" s="113"/>
    </row>
    <row r="252" spans="19:25" ht="13.2">
      <c r="S252" s="113"/>
      <c r="T252" s="113"/>
      <c r="U252" s="113"/>
      <c r="V252" s="113"/>
      <c r="W252" s="113"/>
      <c r="X252" s="113"/>
      <c r="Y252" s="113"/>
    </row>
    <row r="253" spans="19:25" ht="13.2">
      <c r="S253" s="113"/>
      <c r="T253" s="113"/>
      <c r="U253" s="113"/>
      <c r="V253" s="113"/>
      <c r="W253" s="113"/>
      <c r="X253" s="113"/>
      <c r="Y253" s="113"/>
    </row>
    <row r="254" spans="19:25" ht="13.2">
      <c r="S254" s="113"/>
      <c r="T254" s="113"/>
      <c r="U254" s="113"/>
      <c r="V254" s="113"/>
      <c r="W254" s="113"/>
      <c r="X254" s="113"/>
      <c r="Y254" s="113"/>
    </row>
    <row r="255" spans="19:25" ht="13.2">
      <c r="S255" s="113"/>
      <c r="T255" s="113"/>
      <c r="U255" s="113"/>
      <c r="V255" s="113"/>
      <c r="W255" s="113"/>
      <c r="X255" s="113"/>
      <c r="Y255" s="113"/>
    </row>
    <row r="256" spans="19:25" ht="13.2">
      <c r="S256" s="113"/>
      <c r="T256" s="113"/>
      <c r="U256" s="113"/>
      <c r="V256" s="113"/>
      <c r="W256" s="113"/>
      <c r="X256" s="113"/>
      <c r="Y256" s="113"/>
    </row>
    <row r="257" spans="19:25" ht="13.2">
      <c r="S257" s="113"/>
      <c r="T257" s="113"/>
      <c r="U257" s="113"/>
      <c r="V257" s="113"/>
      <c r="W257" s="113"/>
      <c r="X257" s="113"/>
      <c r="Y257" s="113"/>
    </row>
    <row r="258" spans="19:25" ht="13.2">
      <c r="S258" s="113"/>
      <c r="T258" s="113"/>
      <c r="U258" s="113"/>
      <c r="V258" s="113"/>
      <c r="W258" s="113"/>
      <c r="X258" s="113"/>
      <c r="Y258" s="113"/>
    </row>
    <row r="259" spans="19:25" ht="13.2">
      <c r="S259" s="113"/>
      <c r="T259" s="113"/>
      <c r="U259" s="113"/>
      <c r="V259" s="113"/>
      <c r="W259" s="113"/>
      <c r="X259" s="113"/>
      <c r="Y259" s="113"/>
    </row>
    <row r="260" spans="19:25" ht="13.2">
      <c r="S260" s="113"/>
      <c r="T260" s="113"/>
      <c r="U260" s="113"/>
      <c r="V260" s="113"/>
      <c r="W260" s="113"/>
      <c r="X260" s="113"/>
      <c r="Y260" s="113"/>
    </row>
    <row r="261" spans="19:25" ht="13.2">
      <c r="S261" s="113"/>
      <c r="T261" s="113"/>
      <c r="U261" s="113"/>
      <c r="V261" s="113"/>
      <c r="W261" s="113"/>
      <c r="X261" s="113"/>
      <c r="Y261" s="113"/>
    </row>
    <row r="262" spans="19:25" ht="13.2">
      <c r="S262" s="113"/>
      <c r="T262" s="113"/>
      <c r="U262" s="113"/>
      <c r="V262" s="113"/>
      <c r="W262" s="113"/>
      <c r="X262" s="113"/>
      <c r="Y262" s="113"/>
    </row>
    <row r="263" spans="19:25" ht="13.2">
      <c r="S263" s="113"/>
      <c r="T263" s="113"/>
      <c r="U263" s="113"/>
      <c r="V263" s="113"/>
      <c r="W263" s="113"/>
      <c r="X263" s="113"/>
      <c r="Y263" s="113"/>
    </row>
    <row r="264" spans="19:25" ht="13.2">
      <c r="S264" s="113"/>
      <c r="T264" s="113"/>
      <c r="U264" s="113"/>
      <c r="V264" s="113"/>
      <c r="W264" s="113"/>
      <c r="X264" s="113"/>
      <c r="Y264" s="113"/>
    </row>
    <row r="265" spans="19:25" ht="13.2">
      <c r="S265" s="113"/>
      <c r="T265" s="113"/>
      <c r="U265" s="113"/>
      <c r="V265" s="113"/>
      <c r="W265" s="113"/>
      <c r="X265" s="113"/>
      <c r="Y265" s="113"/>
    </row>
    <row r="266" spans="19:25" ht="13.2">
      <c r="S266" s="113"/>
      <c r="T266" s="113"/>
      <c r="U266" s="113"/>
      <c r="V266" s="113"/>
      <c r="W266" s="113"/>
      <c r="X266" s="113"/>
      <c r="Y266" s="113"/>
    </row>
    <row r="267" spans="19:25" ht="13.2">
      <c r="S267" s="113"/>
      <c r="T267" s="113"/>
      <c r="U267" s="113"/>
      <c r="V267" s="113"/>
      <c r="W267" s="113"/>
      <c r="X267" s="113"/>
      <c r="Y267" s="113"/>
    </row>
    <row r="268" spans="19:25" ht="13.2">
      <c r="S268" s="113"/>
      <c r="T268" s="113"/>
      <c r="U268" s="113"/>
      <c r="V268" s="113"/>
      <c r="W268" s="113"/>
      <c r="X268" s="113"/>
      <c r="Y268" s="113"/>
    </row>
    <row r="269" spans="19:25" ht="13.2">
      <c r="S269" s="113"/>
      <c r="T269" s="113"/>
      <c r="U269" s="113"/>
      <c r="V269" s="113"/>
      <c r="W269" s="113"/>
      <c r="X269" s="113"/>
      <c r="Y269" s="113"/>
    </row>
    <row r="270" spans="19:25" ht="13.2">
      <c r="S270" s="113"/>
      <c r="T270" s="113"/>
      <c r="U270" s="113"/>
      <c r="V270" s="113"/>
      <c r="W270" s="113"/>
      <c r="X270" s="113"/>
      <c r="Y270" s="113"/>
    </row>
    <row r="271" spans="19:25" ht="13.2">
      <c r="S271" s="113"/>
      <c r="T271" s="113"/>
      <c r="U271" s="113"/>
      <c r="V271" s="113"/>
      <c r="W271" s="113"/>
      <c r="X271" s="113"/>
      <c r="Y271" s="113"/>
    </row>
    <row r="272" spans="19:25" ht="13.2">
      <c r="S272" s="113"/>
      <c r="T272" s="113"/>
      <c r="U272" s="113"/>
      <c r="V272" s="113"/>
      <c r="W272" s="113"/>
      <c r="X272" s="113"/>
      <c r="Y272" s="113"/>
    </row>
  </sheetData>
  <mergeCells count="69">
    <mergeCell ref="K56:L56"/>
    <mergeCell ref="D56:E56"/>
    <mergeCell ref="D57:E57"/>
    <mergeCell ref="D58:E58"/>
    <mergeCell ref="D59:E59"/>
    <mergeCell ref="U134:X134"/>
    <mergeCell ref="X86:Y86"/>
    <mergeCell ref="D40:E40"/>
    <mergeCell ref="D41:E41"/>
    <mergeCell ref="D42:F42"/>
    <mergeCell ref="D49:F49"/>
    <mergeCell ref="T86:U86"/>
    <mergeCell ref="V86:W86"/>
    <mergeCell ref="K45:M45"/>
    <mergeCell ref="K52:L52"/>
    <mergeCell ref="K53:L53"/>
    <mergeCell ref="K54:L54"/>
    <mergeCell ref="K55:L55"/>
    <mergeCell ref="S54:S55"/>
    <mergeCell ref="T54:T55"/>
    <mergeCell ref="S86:S87"/>
    <mergeCell ref="D60:E60"/>
    <mergeCell ref="F25:J25"/>
    <mergeCell ref="F26:J26"/>
    <mergeCell ref="B27:C27"/>
    <mergeCell ref="B28:C28"/>
    <mergeCell ref="B31:C31"/>
    <mergeCell ref="K38:M38"/>
    <mergeCell ref="F27:J27"/>
    <mergeCell ref="F28:J28"/>
    <mergeCell ref="K36:L36"/>
    <mergeCell ref="K37:L37"/>
    <mergeCell ref="B11:C11"/>
    <mergeCell ref="B29:C29"/>
    <mergeCell ref="B30:C30"/>
    <mergeCell ref="B12:C12"/>
    <mergeCell ref="B13:D13"/>
    <mergeCell ref="B20:D20"/>
    <mergeCell ref="F2:J2"/>
    <mergeCell ref="F3:J3"/>
    <mergeCell ref="F4:J4"/>
    <mergeCell ref="S4:T4"/>
    <mergeCell ref="S9:S12"/>
    <mergeCell ref="T9:T12"/>
    <mergeCell ref="AC193:AC194"/>
    <mergeCell ref="AC211:AC212"/>
    <mergeCell ref="AE211:AE212"/>
    <mergeCell ref="AC139:AC140"/>
    <mergeCell ref="AE139:AE140"/>
    <mergeCell ref="AC157:AC158"/>
    <mergeCell ref="AE157:AE158"/>
    <mergeCell ref="AE193:AE194"/>
    <mergeCell ref="X98:Y98"/>
    <mergeCell ref="AC121:AC122"/>
    <mergeCell ref="AE121:AE122"/>
    <mergeCell ref="U127:X127"/>
    <mergeCell ref="T98:U98"/>
    <mergeCell ref="V98:W98"/>
    <mergeCell ref="S38:T38"/>
    <mergeCell ref="T41:T42"/>
    <mergeCell ref="U41:U42"/>
    <mergeCell ref="S52:S53"/>
    <mergeCell ref="T52:T53"/>
    <mergeCell ref="T18:T19"/>
    <mergeCell ref="U18:U19"/>
    <mergeCell ref="T25:T26"/>
    <mergeCell ref="U25:U26"/>
    <mergeCell ref="T30:T31"/>
    <mergeCell ref="U30:U31"/>
  </mergeCells>
  <pageMargins left="0.7" right="0.7" top="0.75" bottom="0.75" header="0.3" footer="0.3"/>
  <pageSetup orientation="portrait" r:id="rId1"/>
  <ignoredErrors>
    <ignoredError sqref="V33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327"/>
  <sheetViews>
    <sheetView topLeftCell="M30" zoomScale="90" zoomScaleNormal="90" workbookViewId="0">
      <selection activeCell="Q51" sqref="Q51"/>
    </sheetView>
  </sheetViews>
  <sheetFormatPr defaultColWidth="12.6640625" defaultRowHeight="15.75" customHeight="1"/>
  <cols>
    <col min="4" max="4" width="17" customWidth="1"/>
    <col min="5" max="5" width="15.21875" bestFit="1" customWidth="1"/>
    <col min="13" max="13" width="17.33203125" customWidth="1"/>
    <col min="14" max="14" width="15.88671875" bestFit="1" customWidth="1"/>
    <col min="17" max="17" width="37.33203125" customWidth="1"/>
    <col min="18" max="18" width="27.33203125" customWidth="1"/>
    <col min="19" max="19" width="28.33203125" customWidth="1"/>
    <col min="20" max="20" width="34.21875" customWidth="1"/>
    <col min="21" max="21" width="28.77734375" customWidth="1"/>
    <col min="22" max="22" width="26.88671875" customWidth="1"/>
    <col min="23" max="23" width="14.77734375" customWidth="1"/>
  </cols>
  <sheetData>
    <row r="1" spans="1:24" ht="15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5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15" t="s">
        <v>6</v>
      </c>
      <c r="R3" s="15" t="s">
        <v>7</v>
      </c>
      <c r="S3" s="5"/>
      <c r="T3" s="449" t="s">
        <v>307</v>
      </c>
      <c r="U3" s="391"/>
      <c r="V3" s="389"/>
      <c r="W3" s="5"/>
      <c r="X3" s="5"/>
    </row>
    <row r="4" spans="1:24" ht="15.75" customHeight="1">
      <c r="A4" s="5"/>
      <c r="B4" s="5"/>
      <c r="C4" s="407" t="s">
        <v>79</v>
      </c>
      <c r="D4" s="389"/>
      <c r="E4" s="33">
        <f>E7*R4+E8*R5+E9*R6+E10*R7+E11*R8</f>
        <v>19948.089818118537</v>
      </c>
      <c r="F4" s="5"/>
      <c r="G4" s="5"/>
      <c r="H4" s="5"/>
      <c r="I4" s="5"/>
      <c r="J4" s="5"/>
      <c r="K4" s="5"/>
      <c r="L4" s="407" t="s">
        <v>79</v>
      </c>
      <c r="M4" s="389"/>
      <c r="N4" s="33">
        <f>N7*R4+N8*R5+N9*R6+N10*R7+N11*R8</f>
        <v>19948.089818118537</v>
      </c>
      <c r="O4" s="5"/>
      <c r="P4" s="5"/>
      <c r="Q4" s="19" t="s">
        <v>30</v>
      </c>
      <c r="R4" s="20">
        <f>17.031</f>
        <v>17.030999999999999</v>
      </c>
      <c r="S4" s="5"/>
      <c r="T4" s="82" t="s">
        <v>201</v>
      </c>
      <c r="U4" s="85">
        <v>5</v>
      </c>
      <c r="V4" s="81" t="s">
        <v>308</v>
      </c>
      <c r="W4" s="5"/>
      <c r="X4" s="5"/>
    </row>
    <row r="5" spans="1:24" ht="15.75" customHeight="1">
      <c r="A5" s="5"/>
      <c r="B5" s="5"/>
      <c r="C5" s="407" t="s">
        <v>80</v>
      </c>
      <c r="D5" s="389"/>
      <c r="E5" s="33">
        <f>SUM(E7:E12)</f>
        <v>497.9940370265661</v>
      </c>
      <c r="F5" s="5"/>
      <c r="G5" s="5"/>
      <c r="H5" s="5"/>
      <c r="I5" s="5"/>
      <c r="J5" s="5"/>
      <c r="K5" s="5"/>
      <c r="L5" s="407" t="s">
        <v>80</v>
      </c>
      <c r="M5" s="389"/>
      <c r="N5" s="33">
        <f>SUM(N7:N11)</f>
        <v>497.9940370265661</v>
      </c>
      <c r="O5" s="5"/>
      <c r="P5" s="5"/>
      <c r="Q5" s="19" t="s">
        <v>48</v>
      </c>
      <c r="R5" s="20">
        <v>44.052999999999997</v>
      </c>
      <c r="S5" s="5"/>
      <c r="T5" s="123" t="s">
        <v>309</v>
      </c>
      <c r="U5" s="124">
        <v>-5</v>
      </c>
      <c r="V5" s="81" t="s">
        <v>310</v>
      </c>
      <c r="W5" s="5"/>
      <c r="X5" s="5"/>
    </row>
    <row r="6" spans="1:24" ht="15.75" customHeight="1">
      <c r="A6" s="5"/>
      <c r="B6" s="5"/>
      <c r="C6" s="401" t="s">
        <v>66</v>
      </c>
      <c r="D6" s="391"/>
      <c r="E6" s="389"/>
      <c r="F6" s="5"/>
      <c r="G6" s="5"/>
      <c r="H6" s="5"/>
      <c r="I6" s="5"/>
      <c r="J6" s="5"/>
      <c r="K6" s="5"/>
      <c r="L6" s="401" t="s">
        <v>66</v>
      </c>
      <c r="M6" s="391"/>
      <c r="N6" s="389"/>
      <c r="O6" s="5"/>
      <c r="P6" s="5"/>
      <c r="Q6" s="19" t="s">
        <v>59</v>
      </c>
      <c r="R6" s="20">
        <v>61.082999999999998</v>
      </c>
      <c r="S6" s="5"/>
      <c r="T6" s="82" t="s">
        <v>209</v>
      </c>
      <c r="U6" s="85">
        <v>0</v>
      </c>
      <c r="V6" s="81" t="s">
        <v>311</v>
      </c>
      <c r="W6" s="5"/>
      <c r="X6" s="5"/>
    </row>
    <row r="7" spans="1:24" ht="15.75" customHeight="1">
      <c r="A7" s="5"/>
      <c r="B7" s="5"/>
      <c r="C7" s="34" t="s">
        <v>67</v>
      </c>
      <c r="D7" s="40" t="s">
        <v>89</v>
      </c>
      <c r="E7" s="36">
        <f>Reactor!M39</f>
        <v>257.95374579793349</v>
      </c>
      <c r="F7" s="5"/>
      <c r="G7" s="5"/>
      <c r="H7" s="5"/>
      <c r="I7" s="5"/>
      <c r="J7" s="5"/>
      <c r="K7" s="5"/>
      <c r="L7" s="34" t="s">
        <v>67</v>
      </c>
      <c r="M7" s="40" t="s">
        <v>312</v>
      </c>
      <c r="N7" s="36">
        <f>V11</f>
        <v>257.95374579793349</v>
      </c>
      <c r="O7" s="5"/>
      <c r="P7" s="5"/>
      <c r="Q7" s="19" t="s">
        <v>61</v>
      </c>
      <c r="R7" s="20">
        <v>105.136</v>
      </c>
      <c r="S7" s="5"/>
      <c r="T7" s="125"/>
      <c r="U7" s="126">
        <f>SUM(U4:U6)</f>
        <v>0</v>
      </c>
      <c r="V7" s="125" t="s">
        <v>214</v>
      </c>
      <c r="W7" s="5"/>
      <c r="X7" s="5"/>
    </row>
    <row r="8" spans="1:24" ht="15.75" customHeight="1">
      <c r="A8" s="5"/>
      <c r="B8" s="5"/>
      <c r="C8" s="34" t="s">
        <v>68</v>
      </c>
      <c r="D8" s="53" t="s">
        <v>90</v>
      </c>
      <c r="E8" s="41">
        <f>Reactor!M40</f>
        <v>68.071127363343578</v>
      </c>
      <c r="F8" s="5"/>
      <c r="G8" s="5"/>
      <c r="H8" s="5"/>
      <c r="I8" s="5"/>
      <c r="J8" s="5"/>
      <c r="K8" s="5"/>
      <c r="L8" s="34" t="s">
        <v>68</v>
      </c>
      <c r="M8" s="40" t="s">
        <v>313</v>
      </c>
      <c r="N8" s="36">
        <f>V15</f>
        <v>68.071127363343578</v>
      </c>
      <c r="O8" s="5"/>
      <c r="P8" s="5"/>
      <c r="Q8" s="19" t="s">
        <v>63</v>
      </c>
      <c r="R8" s="20">
        <v>149.18799999999999</v>
      </c>
      <c r="S8" s="5"/>
      <c r="T8" s="5"/>
      <c r="U8" s="5"/>
      <c r="V8" s="5"/>
      <c r="W8" s="5"/>
      <c r="X8" s="5"/>
    </row>
    <row r="9" spans="1:24" ht="15.75" customHeight="1">
      <c r="A9" s="5"/>
      <c r="B9" s="5"/>
      <c r="C9" s="34" t="s">
        <v>69</v>
      </c>
      <c r="D9" s="52" t="s">
        <v>91</v>
      </c>
      <c r="E9" s="41">
        <f>Reactor!M41</f>
        <v>143.30763655440751</v>
      </c>
      <c r="F9" s="5"/>
      <c r="G9" s="5"/>
      <c r="H9" s="5"/>
      <c r="I9" s="5"/>
      <c r="J9" s="5"/>
      <c r="K9" s="5"/>
      <c r="L9" s="34" t="s">
        <v>69</v>
      </c>
      <c r="M9" s="40" t="s">
        <v>314</v>
      </c>
      <c r="N9" s="36">
        <f>V19</f>
        <v>143.30763655440751</v>
      </c>
      <c r="O9" s="5"/>
      <c r="P9" s="5"/>
      <c r="Q9" s="19" t="s">
        <v>65</v>
      </c>
      <c r="R9" s="24">
        <v>62.07</v>
      </c>
      <c r="S9" s="5"/>
      <c r="T9" s="11" t="s">
        <v>243</v>
      </c>
      <c r="U9" s="5"/>
      <c r="V9" s="5"/>
      <c r="W9" s="5"/>
      <c r="X9" s="5"/>
    </row>
    <row r="10" spans="1:24" ht="15.75" customHeight="1">
      <c r="A10" s="5"/>
      <c r="B10" s="5"/>
      <c r="C10" s="34" t="s">
        <v>70</v>
      </c>
      <c r="D10" s="52" t="s">
        <v>93</v>
      </c>
      <c r="E10" s="41">
        <f>Reactor!M42</f>
        <v>10.748072741580565</v>
      </c>
      <c r="F10" s="5"/>
      <c r="G10" s="5"/>
      <c r="H10" s="5"/>
      <c r="I10" s="5"/>
      <c r="J10" s="5"/>
      <c r="K10" s="5"/>
      <c r="L10" s="34" t="s">
        <v>70</v>
      </c>
      <c r="M10" s="40" t="s">
        <v>315</v>
      </c>
      <c r="N10" s="36">
        <f>V23</f>
        <v>10.748072741580565</v>
      </c>
      <c r="O10" s="5"/>
      <c r="P10" s="5"/>
      <c r="Q10" s="5"/>
      <c r="R10" s="5"/>
      <c r="S10" s="5"/>
      <c r="T10" s="95" t="s">
        <v>89</v>
      </c>
      <c r="U10" s="117" t="s">
        <v>135</v>
      </c>
      <c r="V10" s="95" t="s">
        <v>312</v>
      </c>
      <c r="W10" s="5"/>
      <c r="X10" s="5"/>
    </row>
    <row r="11" spans="1:24" ht="15.75" customHeight="1">
      <c r="A11" s="5"/>
      <c r="B11" s="5"/>
      <c r="C11" s="34" t="s">
        <v>71</v>
      </c>
      <c r="D11" s="52" t="s">
        <v>94</v>
      </c>
      <c r="E11" s="41">
        <f>Reactor!M43</f>
        <v>17.913454569300939</v>
      </c>
      <c r="F11" s="5"/>
      <c r="G11" s="5"/>
      <c r="H11" s="5"/>
      <c r="I11" s="5"/>
      <c r="J11" s="5"/>
      <c r="K11" s="5"/>
      <c r="L11" s="34" t="s">
        <v>71</v>
      </c>
      <c r="M11" s="40" t="s">
        <v>316</v>
      </c>
      <c r="N11" s="36">
        <f>V27</f>
        <v>17.913454569300939</v>
      </c>
      <c r="O11" s="5"/>
      <c r="P11" s="5"/>
      <c r="Q11" s="5"/>
      <c r="R11" s="5"/>
      <c r="S11" s="5"/>
      <c r="T11" s="95" t="s">
        <v>312</v>
      </c>
      <c r="U11" s="117" t="s">
        <v>135</v>
      </c>
      <c r="V11" s="96">
        <f>E7</f>
        <v>257.95374579793349</v>
      </c>
      <c r="W11" s="5" t="s">
        <v>317</v>
      </c>
      <c r="X11" s="5"/>
    </row>
    <row r="12" spans="1:24" ht="15.75" customHeight="1">
      <c r="A12" s="5"/>
      <c r="B12" s="5"/>
      <c r="C12" s="34" t="s">
        <v>72</v>
      </c>
      <c r="D12" s="35"/>
      <c r="E12" s="35"/>
      <c r="F12" s="5"/>
      <c r="G12" s="5"/>
      <c r="H12" s="5"/>
      <c r="I12" s="5"/>
      <c r="J12" s="5"/>
      <c r="K12" s="5"/>
      <c r="L12" s="34" t="s">
        <v>72</v>
      </c>
      <c r="M12" s="35"/>
      <c r="N12" s="3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5.75" customHeight="1">
      <c r="A13" s="5"/>
      <c r="B13" s="5"/>
      <c r="C13" s="404" t="s">
        <v>85</v>
      </c>
      <c r="D13" s="405"/>
      <c r="E13" s="398"/>
      <c r="F13" s="5"/>
      <c r="G13" s="5"/>
      <c r="H13" s="5"/>
      <c r="I13" s="5"/>
      <c r="J13" s="5"/>
      <c r="K13" s="5"/>
      <c r="L13" s="404" t="s">
        <v>85</v>
      </c>
      <c r="M13" s="405"/>
      <c r="N13" s="398"/>
      <c r="O13" s="5"/>
      <c r="P13" s="5"/>
      <c r="Q13" s="5"/>
      <c r="R13" s="5"/>
      <c r="S13" s="5"/>
      <c r="T13" s="11" t="s">
        <v>318</v>
      </c>
      <c r="U13" s="5"/>
      <c r="V13" s="5"/>
      <c r="W13" s="5"/>
      <c r="X13" s="5"/>
    </row>
    <row r="14" spans="1:24" ht="15.75" customHeight="1">
      <c r="A14" s="5"/>
      <c r="B14" s="5"/>
      <c r="C14" s="34" t="s">
        <v>67</v>
      </c>
      <c r="D14" s="35"/>
      <c r="E14" s="54">
        <f t="shared" ref="E14:E18" si="0">E7/$E$5</f>
        <v>0.51798561151079126</v>
      </c>
      <c r="F14" s="5"/>
      <c r="G14" s="5"/>
      <c r="H14" s="5"/>
      <c r="I14" s="5"/>
      <c r="J14" s="5"/>
      <c r="K14" s="5"/>
      <c r="L14" s="34" t="s">
        <v>67</v>
      </c>
      <c r="M14" s="35"/>
      <c r="N14" s="54">
        <f t="shared" ref="N14:N18" si="1">N7/$N$5</f>
        <v>0.51798561151079126</v>
      </c>
      <c r="O14" s="5"/>
      <c r="P14" s="5"/>
      <c r="Q14" s="5"/>
      <c r="R14" s="95"/>
      <c r="S14" s="5"/>
      <c r="T14" s="95" t="s">
        <v>90</v>
      </c>
      <c r="U14" s="117" t="s">
        <v>135</v>
      </c>
      <c r="V14" s="95" t="s">
        <v>313</v>
      </c>
      <c r="W14" s="5"/>
      <c r="X14" s="5"/>
    </row>
    <row r="15" spans="1:24" ht="15.75" customHeight="1">
      <c r="A15" s="5"/>
      <c r="B15" s="5"/>
      <c r="C15" s="34" t="s">
        <v>68</v>
      </c>
      <c r="D15" s="35"/>
      <c r="E15" s="54">
        <f t="shared" si="0"/>
        <v>0.1366906474820144</v>
      </c>
      <c r="F15" s="5"/>
      <c r="G15" s="5"/>
      <c r="H15" s="5"/>
      <c r="I15" s="5"/>
      <c r="J15" s="5"/>
      <c r="K15" s="5"/>
      <c r="L15" s="34" t="s">
        <v>68</v>
      </c>
      <c r="M15" s="35"/>
      <c r="N15" s="54">
        <f t="shared" si="1"/>
        <v>0.1366906474820144</v>
      </c>
      <c r="O15" s="5"/>
      <c r="P15" s="5"/>
      <c r="Q15" s="5"/>
      <c r="R15" s="5"/>
      <c r="S15" s="5"/>
      <c r="T15" s="95" t="s">
        <v>313</v>
      </c>
      <c r="U15" s="117" t="s">
        <v>135</v>
      </c>
      <c r="V15" s="96">
        <f>E8</f>
        <v>68.071127363343578</v>
      </c>
      <c r="W15" s="5" t="s">
        <v>319</v>
      </c>
      <c r="X15" s="5"/>
    </row>
    <row r="16" spans="1:24" ht="15.75" customHeight="1">
      <c r="A16" s="5"/>
      <c r="B16" s="5"/>
      <c r="C16" s="34" t="s">
        <v>69</v>
      </c>
      <c r="D16" s="35"/>
      <c r="E16" s="54">
        <f t="shared" si="0"/>
        <v>0.28776978417266186</v>
      </c>
      <c r="F16" s="5"/>
      <c r="G16" s="5"/>
      <c r="H16" s="5"/>
      <c r="I16" s="5"/>
      <c r="J16" s="5"/>
      <c r="K16" s="5"/>
      <c r="L16" s="34" t="s">
        <v>69</v>
      </c>
      <c r="M16" s="35"/>
      <c r="N16" s="54">
        <f t="shared" si="1"/>
        <v>0.28776978417266186</v>
      </c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5.75" customHeight="1">
      <c r="A17" s="5"/>
      <c r="B17" s="5"/>
      <c r="C17" s="34" t="s">
        <v>70</v>
      </c>
      <c r="D17" s="35"/>
      <c r="E17" s="54">
        <f t="shared" si="0"/>
        <v>2.1582733812949641E-2</v>
      </c>
      <c r="F17" s="5"/>
      <c r="G17" s="5"/>
      <c r="H17" s="5"/>
      <c r="I17" s="5"/>
      <c r="J17" s="5"/>
      <c r="K17" s="5"/>
      <c r="L17" s="34" t="s">
        <v>70</v>
      </c>
      <c r="M17" s="35"/>
      <c r="N17" s="54">
        <f t="shared" si="1"/>
        <v>2.1582733812949641E-2</v>
      </c>
      <c r="O17" s="5"/>
      <c r="P17" s="5"/>
      <c r="Q17" s="5"/>
      <c r="R17" s="5"/>
      <c r="S17" s="5"/>
      <c r="T17" s="11" t="s">
        <v>237</v>
      </c>
      <c r="U17" s="5"/>
      <c r="V17" s="5"/>
      <c r="W17" s="5"/>
      <c r="X17" s="5"/>
    </row>
    <row r="18" spans="1:24" ht="15.75" customHeight="1">
      <c r="A18" s="5"/>
      <c r="B18" s="5"/>
      <c r="C18" s="34" t="s">
        <v>71</v>
      </c>
      <c r="D18" s="35"/>
      <c r="E18" s="54">
        <f t="shared" si="0"/>
        <v>3.5971223021582732E-2</v>
      </c>
      <c r="F18" s="5"/>
      <c r="G18" s="5"/>
      <c r="H18" s="5"/>
      <c r="I18" s="5"/>
      <c r="J18" s="5"/>
      <c r="K18" s="5"/>
      <c r="L18" s="34" t="s">
        <v>71</v>
      </c>
      <c r="M18" s="35"/>
      <c r="N18" s="54">
        <f t="shared" si="1"/>
        <v>3.5971223021582732E-2</v>
      </c>
      <c r="O18" s="5"/>
      <c r="P18" s="5"/>
      <c r="Q18" s="5"/>
      <c r="R18" s="5"/>
      <c r="S18" s="5"/>
      <c r="T18" s="95" t="s">
        <v>91</v>
      </c>
      <c r="U18" s="117" t="s">
        <v>135</v>
      </c>
      <c r="V18" s="95" t="s">
        <v>314</v>
      </c>
      <c r="W18" s="5"/>
      <c r="X18" s="5"/>
    </row>
    <row r="19" spans="1:24" ht="15.75" customHeight="1">
      <c r="A19" s="5"/>
      <c r="B19" s="5"/>
      <c r="C19" s="34" t="s">
        <v>72</v>
      </c>
      <c r="D19" s="35"/>
      <c r="E19" s="35"/>
      <c r="F19" s="5"/>
      <c r="G19" s="5"/>
      <c r="H19" s="5"/>
      <c r="I19" s="5"/>
      <c r="J19" s="5"/>
      <c r="K19" s="5"/>
      <c r="L19" s="34" t="s">
        <v>72</v>
      </c>
      <c r="M19" s="35"/>
      <c r="N19" s="35"/>
      <c r="O19" s="5"/>
      <c r="P19" s="5"/>
      <c r="Q19" s="5"/>
      <c r="R19" s="5"/>
      <c r="S19" s="5"/>
      <c r="T19" s="95" t="s">
        <v>314</v>
      </c>
      <c r="U19" s="117" t="s">
        <v>135</v>
      </c>
      <c r="V19" s="96">
        <f>E9</f>
        <v>143.30763655440751</v>
      </c>
      <c r="W19" s="5" t="s">
        <v>320</v>
      </c>
      <c r="X19" s="5"/>
    </row>
    <row r="20" spans="1:24" ht="15.75" customHeight="1">
      <c r="A20" s="5"/>
      <c r="B20" s="5"/>
      <c r="C20" s="406" t="s">
        <v>99</v>
      </c>
      <c r="D20" s="389"/>
      <c r="E20" s="50">
        <v>1</v>
      </c>
      <c r="F20" s="5"/>
      <c r="G20" s="5"/>
      <c r="H20" s="5"/>
      <c r="I20" s="5"/>
      <c r="J20" s="5"/>
      <c r="K20" s="5"/>
      <c r="L20" s="406" t="s">
        <v>99</v>
      </c>
      <c r="M20" s="389"/>
      <c r="N20" s="164">
        <f>N14</f>
        <v>0.51798561151079126</v>
      </c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5.75" customHeight="1">
      <c r="A21" s="5"/>
      <c r="B21" s="5"/>
      <c r="C21" s="397" t="s">
        <v>92</v>
      </c>
      <c r="D21" s="398"/>
      <c r="E21" s="48">
        <f>SUM(E14:E19)</f>
        <v>0.99999999999999989</v>
      </c>
      <c r="F21" s="5"/>
      <c r="G21" s="5"/>
      <c r="H21" s="5"/>
      <c r="I21" s="5"/>
      <c r="J21" s="5"/>
      <c r="K21" s="5"/>
      <c r="L21" s="397" t="s">
        <v>92</v>
      </c>
      <c r="M21" s="398"/>
      <c r="N21" s="48">
        <f>SUM(N14:N19)</f>
        <v>0.99999999999999989</v>
      </c>
      <c r="O21" s="5"/>
      <c r="P21" s="5"/>
      <c r="Q21" s="5"/>
      <c r="R21" s="5"/>
      <c r="S21" s="5"/>
      <c r="T21" s="11" t="s">
        <v>321</v>
      </c>
      <c r="U21" s="5"/>
      <c r="V21" s="5"/>
      <c r="W21" s="5"/>
      <c r="X21" s="5"/>
    </row>
    <row r="22" spans="1:24" ht="15.75" customHeight="1">
      <c r="A22" s="5"/>
      <c r="B22" s="5"/>
      <c r="C22" s="397" t="s">
        <v>75</v>
      </c>
      <c r="D22" s="398"/>
      <c r="E22" s="40">
        <v>350</v>
      </c>
      <c r="F22" s="5"/>
      <c r="G22" s="5"/>
      <c r="H22" s="5"/>
      <c r="I22" s="5"/>
      <c r="J22" s="5"/>
      <c r="K22" s="5"/>
      <c r="L22" s="397" t="s">
        <v>75</v>
      </c>
      <c r="M22" s="398"/>
      <c r="N22" s="40">
        <f>'Answer Table'!H24</f>
        <v>10</v>
      </c>
      <c r="O22" s="5"/>
      <c r="P22" s="5"/>
      <c r="Q22" s="5"/>
      <c r="R22" s="5"/>
      <c r="S22" s="5"/>
      <c r="T22" s="95" t="s">
        <v>93</v>
      </c>
      <c r="U22" s="117" t="s">
        <v>135</v>
      </c>
      <c r="V22" s="95" t="s">
        <v>315</v>
      </c>
      <c r="W22" s="5"/>
      <c r="X22" s="5"/>
    </row>
    <row r="23" spans="1:24" ht="15.75" customHeight="1">
      <c r="A23" s="5"/>
      <c r="B23" s="5"/>
      <c r="C23" s="396" t="s">
        <v>76</v>
      </c>
      <c r="D23" s="389"/>
      <c r="E23" s="40">
        <v>1</v>
      </c>
      <c r="F23" s="5"/>
      <c r="G23" s="5"/>
      <c r="H23" s="5"/>
      <c r="I23" s="5"/>
      <c r="J23" s="5"/>
      <c r="K23" s="5"/>
      <c r="L23" s="396" t="s">
        <v>76</v>
      </c>
      <c r="M23" s="389"/>
      <c r="N23" s="40">
        <f>'Answer Table'!H25</f>
        <v>1</v>
      </c>
      <c r="P23" s="5"/>
      <c r="Q23" s="5"/>
      <c r="R23" s="5"/>
      <c r="S23" s="5"/>
      <c r="T23" s="95" t="s">
        <v>315</v>
      </c>
      <c r="U23" s="117" t="s">
        <v>135</v>
      </c>
      <c r="V23" s="96">
        <f>E10</f>
        <v>10.748072741580565</v>
      </c>
      <c r="W23" s="5" t="s">
        <v>322</v>
      </c>
      <c r="X23" s="5"/>
    </row>
    <row r="24" spans="1:24" ht="15.75" customHeight="1">
      <c r="A24" s="5"/>
      <c r="C24" s="400" t="s">
        <v>548</v>
      </c>
      <c r="D24" s="400"/>
      <c r="E24" s="216">
        <f>R51</f>
        <v>12522338.039641868</v>
      </c>
      <c r="F24" s="5"/>
      <c r="G24" s="5"/>
      <c r="H24" s="5"/>
      <c r="I24" s="5"/>
      <c r="J24" s="5"/>
      <c r="K24" s="5"/>
      <c r="L24" s="400" t="s">
        <v>548</v>
      </c>
      <c r="M24" s="400"/>
      <c r="N24" s="216">
        <f>T51</f>
        <v>-15092870.994543552</v>
      </c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5.75" customHeight="1">
      <c r="A25" s="5"/>
      <c r="B25" s="127" t="s">
        <v>83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28" t="s">
        <v>84</v>
      </c>
      <c r="P25" s="128"/>
      <c r="Q25" s="5"/>
      <c r="R25" s="5"/>
      <c r="S25" s="5"/>
      <c r="T25" s="11" t="s">
        <v>323</v>
      </c>
      <c r="U25" s="5"/>
      <c r="V25" s="5"/>
      <c r="W25" s="5"/>
      <c r="X25" s="5"/>
    </row>
    <row r="26" spans="1:24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95" t="s">
        <v>94</v>
      </c>
      <c r="U26" s="117" t="s">
        <v>135</v>
      </c>
      <c r="V26" s="95" t="s">
        <v>316</v>
      </c>
      <c r="W26" s="5"/>
      <c r="X26" s="5"/>
    </row>
    <row r="27" spans="1:24" ht="15.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95" t="s">
        <v>316</v>
      </c>
      <c r="U27" s="117" t="s">
        <v>135</v>
      </c>
      <c r="V27" s="96">
        <f>E11</f>
        <v>17.913454569300939</v>
      </c>
      <c r="W27" s="5" t="s">
        <v>324</v>
      </c>
      <c r="X27" s="5"/>
    </row>
    <row r="28" spans="1:24" ht="15.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6">
      <c r="A30" s="5"/>
      <c r="B30" s="5"/>
      <c r="C30" s="5"/>
      <c r="D30" s="5"/>
      <c r="E30" s="5"/>
      <c r="F30" s="5"/>
      <c r="G30" s="5"/>
      <c r="H30" s="5"/>
      <c r="I30" s="5"/>
      <c r="J30" s="5"/>
      <c r="K30" s="5" t="s">
        <v>410</v>
      </c>
      <c r="L30" s="5" t="s">
        <v>410</v>
      </c>
      <c r="M30" s="5" t="s">
        <v>410</v>
      </c>
      <c r="N30" s="5" t="s">
        <v>410</v>
      </c>
      <c r="O30" s="5"/>
      <c r="P30" s="5"/>
      <c r="Q30" s="11" t="s">
        <v>256</v>
      </c>
      <c r="R30" s="5"/>
      <c r="S30" s="5"/>
      <c r="T30" s="5"/>
      <c r="U30" s="5"/>
      <c r="V30" s="5"/>
      <c r="W30" s="5"/>
      <c r="X30" s="5"/>
    </row>
    <row r="31" spans="1:24" ht="15.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107" t="s">
        <v>257</v>
      </c>
      <c r="R31" s="148"/>
      <c r="S31" s="148"/>
      <c r="T31" s="5"/>
      <c r="U31" s="5"/>
      <c r="V31" s="5"/>
      <c r="W31" s="5"/>
      <c r="X31" s="5"/>
    </row>
    <row r="32" spans="1:24" ht="15.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148"/>
      <c r="R32" s="148"/>
      <c r="S32" s="148"/>
      <c r="T32" s="5"/>
      <c r="U32" s="5"/>
      <c r="V32" s="5"/>
      <c r="W32" s="5"/>
      <c r="X32" s="5"/>
    </row>
    <row r="33" spans="16:23" ht="15.6">
      <c r="P33" s="148"/>
      <c r="Q33" s="108" t="s">
        <v>258</v>
      </c>
      <c r="R33" s="5"/>
      <c r="S33" s="5"/>
      <c r="T33" s="5"/>
      <c r="U33" s="5"/>
      <c r="V33" s="5"/>
      <c r="W33" s="5"/>
    </row>
    <row r="34" spans="16:23" ht="15.6">
      <c r="P34" s="148"/>
      <c r="Q34" s="109">
        <v>1</v>
      </c>
      <c r="R34" s="5" t="s">
        <v>259</v>
      </c>
      <c r="S34" s="5"/>
      <c r="T34" s="148"/>
      <c r="U34" s="5"/>
      <c r="V34" s="5"/>
      <c r="W34" s="5"/>
    </row>
    <row r="35" spans="16:23" ht="15.6">
      <c r="P35" s="148"/>
      <c r="Q35" s="109">
        <v>2</v>
      </c>
      <c r="R35" s="5" t="s">
        <v>260</v>
      </c>
      <c r="S35" s="5"/>
      <c r="T35" s="148"/>
      <c r="U35" s="5"/>
      <c r="V35" s="5"/>
      <c r="W35" s="5"/>
    </row>
    <row r="36" spans="16:23" ht="15.6">
      <c r="P36" s="148"/>
      <c r="Q36" s="109">
        <v>3</v>
      </c>
      <c r="R36" s="5" t="s">
        <v>261</v>
      </c>
      <c r="S36" s="5"/>
      <c r="T36" s="148"/>
      <c r="U36" s="148"/>
      <c r="V36" s="148"/>
      <c r="W36" s="5"/>
    </row>
    <row r="37" spans="16:23" ht="15.75" customHeight="1">
      <c r="P37" s="148"/>
      <c r="Q37" s="148"/>
      <c r="R37" s="148"/>
      <c r="S37" s="148"/>
      <c r="T37" s="148"/>
      <c r="U37" s="148"/>
      <c r="V37" s="148"/>
      <c r="W37" s="148"/>
    </row>
    <row r="38" spans="16:23" ht="15.6">
      <c r="P38" s="148"/>
      <c r="Q38" s="5" t="s">
        <v>262</v>
      </c>
      <c r="R38" s="463" t="s">
        <v>325</v>
      </c>
      <c r="S38" s="445"/>
      <c r="T38" s="64">
        <v>25</v>
      </c>
      <c r="U38" s="5" t="s">
        <v>326</v>
      </c>
      <c r="V38" s="5"/>
      <c r="W38" s="5"/>
    </row>
    <row r="39" spans="16:23" ht="15.6">
      <c r="P39" s="148"/>
      <c r="Q39" s="458" t="s">
        <v>152</v>
      </c>
      <c r="R39" s="456" t="s">
        <v>266</v>
      </c>
      <c r="S39" s="464"/>
      <c r="T39" s="456" t="s">
        <v>327</v>
      </c>
      <c r="U39" s="464"/>
      <c r="V39" s="377"/>
      <c r="W39" s="445"/>
    </row>
    <row r="40" spans="16:23" ht="15.6">
      <c r="P40" s="148"/>
      <c r="Q40" s="459"/>
      <c r="R40" s="221" t="s">
        <v>267</v>
      </c>
      <c r="S40" s="221" t="s">
        <v>268</v>
      </c>
      <c r="T40" s="221" t="s">
        <v>328</v>
      </c>
      <c r="U40" s="221" t="s">
        <v>329</v>
      </c>
      <c r="V40" s="9"/>
      <c r="W40" s="9"/>
    </row>
    <row r="41" spans="16:23" ht="15.6">
      <c r="P41" s="148"/>
      <c r="Q41" s="20" t="s">
        <v>330</v>
      </c>
      <c r="R41" s="33">
        <f t="shared" ref="R41:R45" si="2">E7</f>
        <v>257.95374579793349</v>
      </c>
      <c r="S41" s="110">
        <f>S60</f>
        <v>13189.392609775015</v>
      </c>
      <c r="T41" s="186">
        <f t="shared" ref="T41" si="3">N7</f>
        <v>257.95374579793349</v>
      </c>
      <c r="U41" s="187">
        <f>S96</f>
        <v>-536.96331567186962</v>
      </c>
      <c r="V41" s="9"/>
      <c r="W41" s="9"/>
    </row>
    <row r="42" spans="16:23" ht="15.6">
      <c r="P42" s="148"/>
      <c r="Q42" s="20" t="s">
        <v>331</v>
      </c>
      <c r="R42" s="33">
        <f t="shared" si="2"/>
        <v>68.071127363343578</v>
      </c>
      <c r="S42" s="96">
        <f>S67</f>
        <v>22197.989326815492</v>
      </c>
      <c r="T42" s="20" t="s">
        <v>193</v>
      </c>
      <c r="U42" s="20" t="s">
        <v>193</v>
      </c>
      <c r="V42" s="9"/>
      <c r="W42" s="9"/>
    </row>
    <row r="43" spans="16:23" ht="15.6">
      <c r="P43" s="148"/>
      <c r="Q43" s="20" t="s">
        <v>332</v>
      </c>
      <c r="R43" s="33">
        <f t="shared" si="2"/>
        <v>143.30763655440751</v>
      </c>
      <c r="S43" s="111">
        <f>S74</f>
        <v>37314.058706800417</v>
      </c>
      <c r="T43" s="20" t="s">
        <v>193</v>
      </c>
      <c r="U43" s="20" t="s">
        <v>193</v>
      </c>
      <c r="V43" s="9"/>
      <c r="W43" s="9"/>
    </row>
    <row r="44" spans="16:23" ht="15.6">
      <c r="P44" s="148"/>
      <c r="Q44" s="20" t="s">
        <v>333</v>
      </c>
      <c r="R44" s="33">
        <f t="shared" si="2"/>
        <v>10.748072741580565</v>
      </c>
      <c r="S44" s="111">
        <f>S81</f>
        <v>62487.219335014546</v>
      </c>
      <c r="T44" s="20" t="s">
        <v>193</v>
      </c>
      <c r="U44" s="20" t="s">
        <v>193</v>
      </c>
      <c r="V44" s="9"/>
      <c r="W44" s="9"/>
    </row>
    <row r="45" spans="16:23" ht="15.6">
      <c r="P45" s="148"/>
      <c r="Q45" s="20" t="s">
        <v>275</v>
      </c>
      <c r="R45" s="33">
        <f t="shared" si="2"/>
        <v>17.913454569300939</v>
      </c>
      <c r="S45" s="111">
        <f>S88</f>
        <v>88762.103589115635</v>
      </c>
      <c r="T45" s="20" t="s">
        <v>193</v>
      </c>
      <c r="U45" s="20" t="s">
        <v>193</v>
      </c>
      <c r="V45" s="9"/>
      <c r="W45" s="9"/>
    </row>
    <row r="46" spans="16:23" ht="15.6">
      <c r="P46" s="148"/>
      <c r="Q46" s="20" t="s">
        <v>416</v>
      </c>
      <c r="R46" s="20" t="s">
        <v>193</v>
      </c>
      <c r="S46" s="20" t="s">
        <v>193</v>
      </c>
      <c r="T46" s="188">
        <f>N8</f>
        <v>68.071127363343578</v>
      </c>
      <c r="U46" s="189">
        <f>S118</f>
        <v>-26456.980500997608</v>
      </c>
      <c r="V46" s="9"/>
      <c r="W46" s="9"/>
    </row>
    <row r="47" spans="16:23" ht="15.6">
      <c r="P47" s="148"/>
      <c r="Q47" s="20" t="s">
        <v>335</v>
      </c>
      <c r="R47" s="20" t="s">
        <v>193</v>
      </c>
      <c r="S47" s="20" t="s">
        <v>193</v>
      </c>
      <c r="T47" s="33">
        <f>N9</f>
        <v>143.30763655440751</v>
      </c>
      <c r="U47" s="110">
        <f>S140</f>
        <v>-69971.534741111696</v>
      </c>
      <c r="V47" s="9"/>
      <c r="W47" s="9"/>
    </row>
    <row r="48" spans="16:23" ht="15.6">
      <c r="P48" s="148"/>
      <c r="Q48" s="20" t="s">
        <v>336</v>
      </c>
      <c r="R48" s="20" t="s">
        <v>193</v>
      </c>
      <c r="S48" s="20" t="s">
        <v>193</v>
      </c>
      <c r="T48" s="33">
        <f>N10</f>
        <v>10.748072741580565</v>
      </c>
      <c r="U48" s="110">
        <f>S162</f>
        <v>-87512.992464102746</v>
      </c>
      <c r="V48" s="9"/>
      <c r="W48" s="9"/>
    </row>
    <row r="49" spans="16:23" ht="15.6">
      <c r="P49" s="148"/>
      <c r="Q49" s="20" t="s">
        <v>337</v>
      </c>
      <c r="R49" s="20" t="s">
        <v>193</v>
      </c>
      <c r="S49" s="20" t="s">
        <v>193</v>
      </c>
      <c r="T49" s="33">
        <f>N11</f>
        <v>17.913454569300939</v>
      </c>
      <c r="U49" s="110">
        <f>S184</f>
        <v>-121994.97977633192</v>
      </c>
      <c r="V49" s="9"/>
      <c r="W49" s="9"/>
    </row>
    <row r="50" spans="16:23" ht="15.6">
      <c r="P50" s="148"/>
      <c r="Q50" s="20" t="s">
        <v>276</v>
      </c>
      <c r="R50" s="20" t="s">
        <v>193</v>
      </c>
      <c r="S50" s="20" t="s">
        <v>193</v>
      </c>
      <c r="T50" s="20" t="s">
        <v>193</v>
      </c>
      <c r="U50" s="20" t="s">
        <v>193</v>
      </c>
      <c r="V50" s="9"/>
      <c r="W50" s="9"/>
    </row>
    <row r="51" spans="16:23" ht="15.6">
      <c r="P51" s="148"/>
      <c r="Q51" s="222" t="s">
        <v>469</v>
      </c>
      <c r="R51" s="441">
        <f>R41*S41+R42*S42+R43*S43+R44*S44+R45*S45</f>
        <v>12522338.039641868</v>
      </c>
      <c r="S51" s="442"/>
      <c r="T51" s="441">
        <f>T41*U41+T46*U46+T47*U47+T48*U48+T49*U49</f>
        <v>-15092870.994543552</v>
      </c>
      <c r="U51" s="442"/>
      <c r="V51" s="462"/>
      <c r="W51" s="445"/>
    </row>
    <row r="52" spans="16:23" ht="15.75" customHeight="1">
      <c r="P52" s="148"/>
      <c r="Q52" s="148"/>
      <c r="R52" s="148"/>
      <c r="S52" s="148"/>
      <c r="T52" s="148"/>
      <c r="U52" s="148"/>
      <c r="V52" s="148"/>
      <c r="W52" s="148"/>
    </row>
    <row r="53" spans="16:23" ht="15.6">
      <c r="P53" s="148"/>
      <c r="Q53" s="1"/>
      <c r="R53" s="2"/>
      <c r="S53" s="2"/>
      <c r="T53" s="2"/>
      <c r="U53" s="208"/>
      <c r="V53" s="3"/>
      <c r="W53" s="148"/>
    </row>
    <row r="54" spans="16:23" ht="15.6">
      <c r="P54" s="148"/>
      <c r="Q54" s="4"/>
      <c r="R54" s="9" t="s">
        <v>277</v>
      </c>
      <c r="S54" s="148"/>
      <c r="T54" s="148"/>
      <c r="U54" s="148"/>
      <c r="V54" s="6"/>
      <c r="W54" s="148"/>
    </row>
    <row r="55" spans="16:23" ht="15.6">
      <c r="P55" s="148"/>
      <c r="Q55" s="116" t="s">
        <v>561</v>
      </c>
      <c r="R55" s="148"/>
      <c r="S55" s="109" t="s">
        <v>562</v>
      </c>
      <c r="T55" s="148"/>
      <c r="U55" s="148"/>
      <c r="V55" s="6"/>
      <c r="W55" s="148"/>
    </row>
    <row r="56" spans="16:23" ht="15.6">
      <c r="P56" s="148"/>
      <c r="Q56" s="4"/>
      <c r="R56" s="148"/>
      <c r="S56" s="148"/>
      <c r="T56" s="148"/>
      <c r="U56" s="148"/>
      <c r="V56" s="6"/>
      <c r="W56" s="148"/>
    </row>
    <row r="57" spans="16:23" ht="15.6">
      <c r="P57" s="148"/>
      <c r="Q57" s="116"/>
      <c r="R57" s="148"/>
      <c r="S57" s="9"/>
      <c r="T57" s="148"/>
      <c r="U57" s="148"/>
      <c r="V57" s="6"/>
      <c r="W57" s="148"/>
    </row>
    <row r="58" spans="16:23" ht="15.6">
      <c r="P58" s="148"/>
      <c r="Q58" s="4" t="s">
        <v>283</v>
      </c>
      <c r="R58" s="9"/>
      <c r="S58" s="5"/>
      <c r="T58" s="5"/>
      <c r="U58" s="148"/>
      <c r="V58" s="6"/>
      <c r="W58" s="148"/>
    </row>
    <row r="59" spans="16:23" ht="54" customHeight="1">
      <c r="P59" s="148"/>
      <c r="Q59" s="88" t="s">
        <v>278</v>
      </c>
      <c r="R59" s="94" t="s">
        <v>135</v>
      </c>
      <c r="S59" s="377"/>
      <c r="T59" s="377"/>
      <c r="U59" s="377"/>
      <c r="V59" s="465"/>
      <c r="W59" s="148"/>
    </row>
    <row r="60" spans="16:23" ht="15.6">
      <c r="P60" s="148"/>
      <c r="Q60" s="85" t="s">
        <v>278</v>
      </c>
      <c r="R60" s="118" t="s">
        <v>135</v>
      </c>
      <c r="S60" s="120">
        <f>(Database!$C$31*(($E$22+273.15)-($T$38+273.15)))+(((Database!$D$31)*(($E$22+273.15)^2-($T$38+273.15)^2))/2)+((Database!$E$31*(($E$22+273.15)^3-($T$38+273.15)^3))/3)+((Database!$F$31*(($E$22+273.15)^4-($T$38+273.15)^4))/4)+((Database!$G$31)*(($E$22+273.15)^(5)-($T$38+273.15)^5))/5</f>
        <v>13189.392609775015</v>
      </c>
      <c r="T60" s="11" t="s">
        <v>279</v>
      </c>
      <c r="U60" s="204"/>
      <c r="V60" s="12"/>
      <c r="W60" s="148"/>
    </row>
    <row r="61" spans="16:23" ht="15.75" customHeight="1">
      <c r="P61" s="148"/>
      <c r="Q61" s="148"/>
      <c r="R61" s="148"/>
      <c r="S61" s="148"/>
      <c r="T61" s="148"/>
      <c r="U61" s="148"/>
      <c r="V61" s="148"/>
      <c r="W61" s="148"/>
    </row>
    <row r="62" spans="16:23" ht="15.6">
      <c r="P62" s="148"/>
      <c r="Q62" s="1"/>
      <c r="R62" s="91" t="s">
        <v>280</v>
      </c>
      <c r="S62" s="2"/>
      <c r="T62" s="2"/>
      <c r="U62" s="208"/>
      <c r="V62" s="3"/>
      <c r="W62" s="148"/>
    </row>
    <row r="63" spans="16:23" ht="15.6">
      <c r="P63" s="148"/>
      <c r="Q63" s="116" t="s">
        <v>281</v>
      </c>
      <c r="R63" s="5"/>
      <c r="S63" s="109" t="s">
        <v>282</v>
      </c>
      <c r="T63" s="5"/>
      <c r="U63" s="148"/>
      <c r="V63" s="6"/>
      <c r="W63" s="148"/>
    </row>
    <row r="64" spans="16:23" ht="15.6">
      <c r="P64" s="148"/>
      <c r="Q64" s="4"/>
      <c r="R64" s="5"/>
      <c r="S64" s="5"/>
      <c r="T64" s="5"/>
      <c r="U64" s="148"/>
      <c r="V64" s="6"/>
      <c r="W64" s="148"/>
    </row>
    <row r="65" spans="16:23" ht="15.6">
      <c r="P65" s="148"/>
      <c r="Q65" s="4" t="s">
        <v>283</v>
      </c>
      <c r="R65" s="9"/>
      <c r="S65" s="5"/>
      <c r="T65" s="5"/>
      <c r="U65" s="148"/>
      <c r="V65" s="121"/>
      <c r="W65" s="148"/>
    </row>
    <row r="66" spans="16:23" ht="49.8" customHeight="1">
      <c r="P66" s="148"/>
      <c r="Q66" s="88" t="s">
        <v>280</v>
      </c>
      <c r="R66" s="94" t="s">
        <v>135</v>
      </c>
      <c r="S66" s="377"/>
      <c r="T66" s="377"/>
      <c r="U66" s="377"/>
      <c r="V66" s="465"/>
      <c r="W66" s="148"/>
    </row>
    <row r="67" spans="16:23" ht="15.6">
      <c r="P67" s="148"/>
      <c r="Q67" s="85" t="s">
        <v>280</v>
      </c>
      <c r="R67" s="118" t="s">
        <v>135</v>
      </c>
      <c r="S67" s="120">
        <f>(Database!$C$32*(($E$22+273.15)-($T$38+273.15)))+(((Database!$D$32)*(($E$22+273.15)^2-($T$38+273.15)^2))/2)+((Database!$E$32*(($E$22+273.15)^3-($T$38+273.15)^3))/3)+((Database!$F$32*(($E$22+273.15)^4-($T$38+273.15)^4))/4)+((Database!$G$32)*(($E$22+273.15)^(5)-($T$38+273.15)^5))/5</f>
        <v>22197.989326815492</v>
      </c>
      <c r="T67" s="11" t="s">
        <v>279</v>
      </c>
      <c r="U67" s="204"/>
      <c r="V67" s="12"/>
      <c r="W67" s="148"/>
    </row>
    <row r="68" spans="16:23" ht="15.75" customHeight="1">
      <c r="P68" s="148"/>
      <c r="Q68" s="148"/>
      <c r="R68" s="148"/>
      <c r="S68" s="148"/>
      <c r="T68" s="148"/>
      <c r="U68" s="148"/>
      <c r="V68" s="148"/>
      <c r="W68" s="148"/>
    </row>
    <row r="69" spans="16:23" ht="15.6">
      <c r="P69" s="148"/>
      <c r="Q69" s="1"/>
      <c r="R69" s="91" t="s">
        <v>287</v>
      </c>
      <c r="S69" s="2"/>
      <c r="T69" s="2"/>
      <c r="U69" s="208"/>
      <c r="V69" s="3"/>
      <c r="W69" s="148"/>
    </row>
    <row r="70" spans="16:23" ht="15.6">
      <c r="P70" s="148"/>
      <c r="Q70" s="122" t="s">
        <v>346</v>
      </c>
      <c r="R70" s="5"/>
      <c r="S70" s="155" t="s">
        <v>573</v>
      </c>
      <c r="T70" s="5"/>
      <c r="U70" s="148"/>
      <c r="V70" s="6"/>
      <c r="W70" s="148"/>
    </row>
    <row r="71" spans="16:23" ht="15.6">
      <c r="P71" s="148"/>
      <c r="Q71" s="4"/>
      <c r="R71" s="5"/>
      <c r="S71" s="5"/>
      <c r="T71" s="5"/>
      <c r="U71" s="148"/>
      <c r="V71" s="6"/>
      <c r="W71" s="148"/>
    </row>
    <row r="72" spans="16:23" ht="15.6">
      <c r="P72" s="148"/>
      <c r="Q72" s="4" t="s">
        <v>283</v>
      </c>
      <c r="R72" s="9"/>
      <c r="S72" s="5"/>
      <c r="T72" s="5"/>
      <c r="U72" s="148"/>
      <c r="V72" s="121"/>
      <c r="W72" s="148"/>
    </row>
    <row r="73" spans="16:23" ht="51.6" customHeight="1">
      <c r="P73" s="148"/>
      <c r="Q73" s="88" t="s">
        <v>287</v>
      </c>
      <c r="R73" s="94" t="s">
        <v>135</v>
      </c>
      <c r="S73" s="377"/>
      <c r="T73" s="377"/>
      <c r="U73" s="377"/>
      <c r="V73" s="465"/>
      <c r="W73" s="148"/>
    </row>
    <row r="74" spans="16:23" ht="15.6">
      <c r="P74" s="148"/>
      <c r="Q74" s="85" t="s">
        <v>287</v>
      </c>
      <c r="R74" s="118" t="s">
        <v>135</v>
      </c>
      <c r="S74" s="120">
        <f>(Database!$C$33*(($E$22+273.15)-($T$38+273.15)))+(((Database!$D$33)*(($E$22+273.15)^2-($T$38+273.15)^2))/2)+((Database!$E$33*(($E$22+273.15)^3-($T$38+273.15)^3))/3)+((Database!$F$33*(($E$22+273.15)^4-($T$38+273.15)^4))/4)+((Database!$G$33)*(($E$22+273.15)^(5)-($T$38+273.15)^5))/5</f>
        <v>37314.058706800417</v>
      </c>
      <c r="T74" s="11" t="s">
        <v>279</v>
      </c>
      <c r="U74" s="204"/>
      <c r="V74" s="12"/>
      <c r="W74" s="148"/>
    </row>
    <row r="75" spans="16:23" ht="15.6">
      <c r="P75" s="148"/>
      <c r="Q75" s="5"/>
      <c r="R75" s="5"/>
      <c r="S75" s="5"/>
      <c r="T75" s="5"/>
      <c r="U75" s="148"/>
      <c r="V75" s="5"/>
      <c r="W75" s="148"/>
    </row>
    <row r="76" spans="16:23" ht="15.6">
      <c r="P76" s="148"/>
      <c r="Q76" s="1"/>
      <c r="R76" s="91" t="s">
        <v>288</v>
      </c>
      <c r="S76" s="2"/>
      <c r="T76" s="2"/>
      <c r="U76" s="208"/>
      <c r="V76" s="3"/>
      <c r="W76" s="148"/>
    </row>
    <row r="77" spans="16:23" ht="15.6">
      <c r="P77" s="148"/>
      <c r="Q77" s="122" t="s">
        <v>355</v>
      </c>
      <c r="R77" s="5"/>
      <c r="S77" s="155" t="s">
        <v>291</v>
      </c>
      <c r="T77" s="5"/>
      <c r="U77" s="148"/>
      <c r="V77" s="6"/>
      <c r="W77" s="148"/>
    </row>
    <row r="78" spans="16:23" ht="15.6">
      <c r="P78" s="148"/>
      <c r="Q78" s="4"/>
      <c r="R78" s="5"/>
      <c r="S78" s="5"/>
      <c r="T78" s="5"/>
      <c r="U78" s="148"/>
      <c r="V78" s="6"/>
      <c r="W78" s="148"/>
    </row>
    <row r="79" spans="16:23" ht="15.6">
      <c r="P79" s="148"/>
      <c r="Q79" s="4" t="s">
        <v>283</v>
      </c>
      <c r="R79" s="9"/>
      <c r="S79" s="5"/>
      <c r="T79" s="5"/>
      <c r="U79" s="148"/>
      <c r="V79" s="6"/>
      <c r="W79" s="148"/>
    </row>
    <row r="80" spans="16:23" ht="55.2" customHeight="1">
      <c r="P80" s="148"/>
      <c r="Q80" s="88" t="s">
        <v>288</v>
      </c>
      <c r="R80" s="94" t="s">
        <v>135</v>
      </c>
      <c r="S80" s="377"/>
      <c r="T80" s="377"/>
      <c r="U80" s="377"/>
      <c r="V80" s="465"/>
      <c r="W80" s="148"/>
    </row>
    <row r="81" spans="16:23" ht="15.6">
      <c r="P81" s="148"/>
      <c r="Q81" s="85" t="s">
        <v>288</v>
      </c>
      <c r="R81" s="118" t="s">
        <v>135</v>
      </c>
      <c r="S81" s="120">
        <f>(Database!$C$34*(($E$22+273.15)-($T$38+273.15)))+(((Database!$D$34)*(($E$22+273.15)^2-($T$38+273.15)^2))/2)+((Database!$E$34*(($E$22+273.15)^3-($T$38+273.15)^3))/3)+((Database!$F$34*(($E$22+273.15)^4-($T$38+273.15)^4))/4)+((Database!$G$34)*(($E$22+273.15)^(5)-($T$38+273.15)^5))/5</f>
        <v>62487.219335014546</v>
      </c>
      <c r="T81" s="11" t="s">
        <v>279</v>
      </c>
      <c r="U81" s="204"/>
      <c r="V81" s="12"/>
      <c r="W81" s="148"/>
    </row>
    <row r="82" spans="16:23" ht="15.6">
      <c r="P82" s="148"/>
      <c r="Q82" s="5"/>
      <c r="R82" s="5"/>
      <c r="S82" s="5"/>
      <c r="T82" s="5"/>
      <c r="U82" s="148"/>
      <c r="V82" s="5"/>
      <c r="W82" s="148"/>
    </row>
    <row r="83" spans="16:23" ht="15.6">
      <c r="P83" s="148"/>
      <c r="Q83" s="1"/>
      <c r="R83" s="91" t="s">
        <v>289</v>
      </c>
      <c r="S83" s="2"/>
      <c r="T83" s="2"/>
      <c r="U83" s="208"/>
      <c r="V83" s="3"/>
      <c r="W83" s="148"/>
    </row>
    <row r="84" spans="16:23" ht="15.6">
      <c r="P84" s="148"/>
      <c r="Q84" s="122" t="s">
        <v>364</v>
      </c>
      <c r="R84" s="5"/>
      <c r="S84" s="115" t="s">
        <v>574</v>
      </c>
      <c r="T84" s="5"/>
      <c r="U84" s="148"/>
      <c r="V84" s="6"/>
      <c r="W84" s="148"/>
    </row>
    <row r="85" spans="16:23" ht="15.6">
      <c r="P85" s="148"/>
      <c r="Q85" s="4"/>
      <c r="R85" s="5"/>
      <c r="S85" s="5"/>
      <c r="T85" s="5"/>
      <c r="U85" s="148"/>
      <c r="V85" s="6"/>
      <c r="W85" s="148"/>
    </row>
    <row r="86" spans="16:23" ht="15.6">
      <c r="P86" s="148"/>
      <c r="Q86" s="4" t="s">
        <v>283</v>
      </c>
      <c r="R86" s="9"/>
      <c r="S86" s="5"/>
      <c r="T86" s="5"/>
      <c r="U86" s="148"/>
      <c r="V86" s="121"/>
      <c r="W86" s="148"/>
    </row>
    <row r="87" spans="16:23" ht="56.4" customHeight="1">
      <c r="P87" s="148"/>
      <c r="Q87" s="88" t="s">
        <v>289</v>
      </c>
      <c r="R87" s="94" t="s">
        <v>135</v>
      </c>
      <c r="S87" s="377"/>
      <c r="T87" s="377"/>
      <c r="U87" s="377"/>
      <c r="V87" s="465"/>
      <c r="W87" s="148"/>
    </row>
    <row r="88" spans="16:23" ht="15.6">
      <c r="P88" s="148"/>
      <c r="Q88" s="85" t="s">
        <v>289</v>
      </c>
      <c r="R88" s="118" t="s">
        <v>135</v>
      </c>
      <c r="S88" s="120">
        <f>(Database!$C$35*(($E$22+273.15)-($T$38+273.15)))+(((Database!$D$35)*(($E$22+273.15)^2-($T$38+273.15)^2))/2)+((Database!$E$35*(($E$22+273.15)^3-($T$38+273.15)^3))/3)+((Database!$F$35*(($E$22+273.15)^4-($T$38+273.15)^4))/4)+((Database!$G$35)*(($E$22+273.15)^(5)-($T$38+273.15)^5))/5</f>
        <v>88762.103589115635</v>
      </c>
      <c r="T88" s="11" t="s">
        <v>279</v>
      </c>
      <c r="U88" s="204"/>
      <c r="V88" s="12"/>
      <c r="W88" s="148"/>
    </row>
    <row r="89" spans="16:23" ht="15.75" customHeight="1">
      <c r="P89" s="148"/>
      <c r="Q89" s="148"/>
      <c r="R89" s="148"/>
      <c r="S89" s="148"/>
      <c r="T89" s="148"/>
      <c r="U89" s="148"/>
      <c r="V89" s="148"/>
      <c r="W89" s="148"/>
    </row>
    <row r="90" spans="16:23" ht="15.6">
      <c r="P90" s="148"/>
      <c r="Q90" s="1"/>
      <c r="R90" s="2"/>
      <c r="S90" s="2"/>
      <c r="T90" s="2"/>
      <c r="U90" s="208"/>
      <c r="V90" s="3"/>
      <c r="W90" s="148"/>
    </row>
    <row r="91" spans="16:23" ht="15.6">
      <c r="P91" s="148"/>
      <c r="Q91" s="4"/>
      <c r="R91" s="9" t="s">
        <v>290</v>
      </c>
      <c r="S91" s="5"/>
      <c r="T91" s="5"/>
      <c r="U91" s="148"/>
      <c r="V91" s="6"/>
      <c r="W91" s="148"/>
    </row>
    <row r="92" spans="16:23" ht="15.6">
      <c r="P92" s="148"/>
      <c r="Q92" s="116" t="s">
        <v>563</v>
      </c>
      <c r="R92" s="5"/>
      <c r="S92" s="9" t="s">
        <v>564</v>
      </c>
      <c r="T92" s="5"/>
      <c r="U92" s="148"/>
      <c r="V92" s="6"/>
      <c r="W92" s="148"/>
    </row>
    <row r="93" spans="16:23" ht="15.6">
      <c r="P93" s="148"/>
      <c r="Q93" s="4"/>
      <c r="R93" s="5"/>
      <c r="S93" s="5"/>
      <c r="T93" s="5"/>
      <c r="U93" s="148"/>
      <c r="V93" s="6"/>
      <c r="W93" s="148"/>
    </row>
    <row r="94" spans="16:23" ht="15.6">
      <c r="P94" s="148"/>
      <c r="Q94" s="4" t="s">
        <v>575</v>
      </c>
      <c r="R94" s="9"/>
      <c r="S94" s="5"/>
      <c r="T94" s="5"/>
      <c r="U94" s="148"/>
      <c r="V94" s="67"/>
      <c r="W94" s="148"/>
    </row>
    <row r="95" spans="16:23" ht="54" customHeight="1">
      <c r="P95" s="148"/>
      <c r="Q95" s="88" t="s">
        <v>290</v>
      </c>
      <c r="R95" s="94" t="s">
        <v>135</v>
      </c>
      <c r="S95" s="466"/>
      <c r="T95" s="466"/>
      <c r="U95" s="466"/>
      <c r="V95" s="467"/>
      <c r="W95" s="148"/>
    </row>
    <row r="96" spans="16:23" ht="15.6">
      <c r="P96" s="148"/>
      <c r="Q96" s="85" t="s">
        <v>290</v>
      </c>
      <c r="R96" s="180" t="s">
        <v>135</v>
      </c>
      <c r="S96" s="120">
        <f>(Database!$C$31*(($N$22+273.15)-($T$38+273.15)))+(((Database!$D$31)*(($N$22+273.15)^2-($T$38+273.15)^2))/2)+((Database!$E$31*(($N$22+273.15)^3-($T$38+273.15)^3))/3)+((Database!$F$31*(($N$22+273.15)^4-($T$38+273.15)^4))/4)+((Database!$G$31)*(($N$22+273.15)^(5)-($T$38+273.15)^5))/5</f>
        <v>-536.96331567186962</v>
      </c>
      <c r="T96" s="11" t="s">
        <v>279</v>
      </c>
      <c r="U96" s="204"/>
      <c r="V96" s="12"/>
      <c r="W96" s="148"/>
    </row>
    <row r="97" spans="16:23" ht="15.75" customHeight="1">
      <c r="P97" s="148"/>
      <c r="Q97" s="148"/>
      <c r="R97" s="148"/>
      <c r="S97" s="148"/>
      <c r="T97" s="148"/>
      <c r="U97" s="148"/>
      <c r="V97" s="148"/>
      <c r="W97" s="148"/>
    </row>
    <row r="98" spans="16:23" ht="15.6">
      <c r="P98" s="148"/>
      <c r="Q98" s="1"/>
      <c r="R98" s="2"/>
      <c r="S98" s="91" t="s">
        <v>292</v>
      </c>
      <c r="T98" s="2"/>
      <c r="U98" s="2"/>
      <c r="V98" s="2"/>
      <c r="W98" s="3"/>
    </row>
    <row r="99" spans="16:23" ht="15.6">
      <c r="P99" s="148"/>
      <c r="Q99" s="116" t="s">
        <v>425</v>
      </c>
      <c r="R99" s="5"/>
      <c r="S99" s="5"/>
      <c r="T99" s="5"/>
      <c r="U99" s="9" t="s">
        <v>338</v>
      </c>
      <c r="V99" s="5"/>
      <c r="W99" s="6"/>
    </row>
    <row r="100" spans="16:23" ht="15.6">
      <c r="P100" s="148"/>
      <c r="Q100" s="4"/>
      <c r="R100" s="5"/>
      <c r="S100" s="5"/>
      <c r="T100" s="5"/>
      <c r="U100" s="5"/>
      <c r="V100" s="5"/>
      <c r="W100" s="6"/>
    </row>
    <row r="101" spans="16:23" ht="15.6">
      <c r="P101" s="148"/>
      <c r="Q101" s="4"/>
      <c r="R101" s="64" t="s">
        <v>339</v>
      </c>
      <c r="S101" s="5"/>
      <c r="T101" s="109" t="s">
        <v>340</v>
      </c>
      <c r="U101" s="5"/>
      <c r="V101" s="5"/>
      <c r="W101" s="6"/>
    </row>
    <row r="102" spans="16:23" ht="15.6">
      <c r="P102" s="173"/>
      <c r="Q102" s="4"/>
      <c r="R102" s="5"/>
      <c r="S102" s="5"/>
      <c r="T102" s="5"/>
      <c r="U102" s="148"/>
      <c r="V102" s="5"/>
      <c r="W102" s="6"/>
    </row>
    <row r="103" spans="16:23" ht="15.6">
      <c r="P103" s="173"/>
      <c r="Q103" s="5"/>
      <c r="R103" s="9" t="s">
        <v>341</v>
      </c>
      <c r="S103" s="9" t="s">
        <v>343</v>
      </c>
      <c r="T103" s="9" t="s">
        <v>342</v>
      </c>
      <c r="U103" s="5"/>
      <c r="V103" s="5"/>
      <c r="W103" s="6"/>
    </row>
    <row r="104" spans="16:23" ht="15.6">
      <c r="P104" s="173"/>
      <c r="Q104" s="5"/>
      <c r="R104" s="5"/>
      <c r="S104" s="148"/>
      <c r="T104" s="5"/>
      <c r="U104" s="5"/>
      <c r="V104" s="5"/>
      <c r="W104" s="6"/>
    </row>
    <row r="105" spans="16:23" ht="15.6">
      <c r="P105" s="173"/>
      <c r="Q105" s="5" t="s">
        <v>576</v>
      </c>
      <c r="R105" s="9"/>
      <c r="S105" s="5"/>
      <c r="T105" s="148"/>
      <c r="U105" s="5"/>
      <c r="V105" s="5"/>
      <c r="W105" s="6"/>
    </row>
    <row r="106" spans="16:23" ht="54.6" customHeight="1">
      <c r="P106" s="173"/>
      <c r="Q106" s="21" t="s">
        <v>339</v>
      </c>
      <c r="R106" s="94" t="s">
        <v>135</v>
      </c>
      <c r="S106" s="377"/>
      <c r="T106" s="377"/>
      <c r="U106" s="377"/>
      <c r="V106" s="377"/>
      <c r="W106" s="465"/>
    </row>
    <row r="107" spans="16:23" ht="15.6">
      <c r="P107" s="173"/>
      <c r="Q107" s="21" t="s">
        <v>339</v>
      </c>
      <c r="R107" s="94" t="s">
        <v>135</v>
      </c>
      <c r="S107" s="96">
        <f>(Database!$C$32*((Database!$H$11)-($T$38+273.15)))+(((Database!$D$32)*((Database!$H$11)^2-($T$38+273.15)^2))/2)+((Database!$E$32*((Database!$H$11)^3-($T$38+273.15)^3))/3)+((Database!$F$32*((Database!$H$11)^4-($T$38+273.15)^4))/4)+((Database!$G$32)*((Database!$H$11)^(5)-($T$38+273.15)^5))/5</f>
        <v>-695.48620406653799</v>
      </c>
      <c r="T107" s="148"/>
      <c r="U107" s="5"/>
      <c r="V107" s="5"/>
      <c r="W107" s="6"/>
    </row>
    <row r="108" spans="16:23" ht="15.6">
      <c r="P108" s="173"/>
      <c r="Q108" s="168"/>
      <c r="R108" s="168"/>
      <c r="S108" s="148"/>
      <c r="T108" s="5"/>
      <c r="U108" s="5"/>
      <c r="V108" s="5"/>
      <c r="W108" s="6"/>
    </row>
    <row r="109" spans="16:23" ht="15.6">
      <c r="P109" s="173"/>
      <c r="Q109" s="153" t="s">
        <v>344</v>
      </c>
      <c r="R109" s="21"/>
      <c r="S109" s="5"/>
      <c r="T109" s="5"/>
      <c r="U109" s="5"/>
      <c r="V109" s="5"/>
      <c r="W109" s="6"/>
    </row>
    <row r="110" spans="16:23" ht="15.6">
      <c r="P110" s="173"/>
      <c r="Q110" s="21" t="s">
        <v>343</v>
      </c>
      <c r="R110" s="94" t="s">
        <v>135</v>
      </c>
      <c r="S110" s="94" t="s">
        <v>551</v>
      </c>
      <c r="T110" s="5"/>
      <c r="U110" s="5"/>
      <c r="V110" s="5"/>
      <c r="W110" s="6"/>
    </row>
    <row r="111" spans="16:23" ht="15.6">
      <c r="P111" s="173"/>
      <c r="Q111" s="21" t="s">
        <v>343</v>
      </c>
      <c r="R111" s="94" t="s">
        <v>135</v>
      </c>
      <c r="S111" s="9">
        <f>Database!$I$21*1000*-1</f>
        <v>-25700</v>
      </c>
      <c r="T111" s="5" t="s">
        <v>279</v>
      </c>
      <c r="U111" s="5"/>
      <c r="V111" s="5"/>
      <c r="W111" s="6"/>
    </row>
    <row r="112" spans="16:23" ht="15.6">
      <c r="P112" s="173"/>
      <c r="Q112" s="153"/>
      <c r="R112" s="21"/>
      <c r="S112" s="5"/>
      <c r="T112" s="5"/>
      <c r="U112" s="5"/>
      <c r="V112" s="5"/>
      <c r="W112" s="6"/>
    </row>
    <row r="113" spans="16:23" ht="15.6">
      <c r="P113" s="173"/>
      <c r="Q113" s="153" t="s">
        <v>577</v>
      </c>
      <c r="R113" s="153"/>
      <c r="S113" s="5"/>
      <c r="T113" s="5"/>
      <c r="U113" s="5"/>
      <c r="V113" s="5"/>
      <c r="W113" s="6"/>
    </row>
    <row r="114" spans="16:23" ht="56.4" customHeight="1">
      <c r="P114" s="148"/>
      <c r="Q114" s="88" t="s">
        <v>340</v>
      </c>
      <c r="R114" s="94" t="s">
        <v>135</v>
      </c>
      <c r="S114" s="377"/>
      <c r="T114" s="377"/>
      <c r="U114" s="377"/>
      <c r="V114" s="377"/>
      <c r="W114" s="465"/>
    </row>
    <row r="115" spans="16:23" ht="15.6">
      <c r="P115" s="148"/>
      <c r="Q115" s="88" t="s">
        <v>340</v>
      </c>
      <c r="R115" s="94" t="s">
        <v>135</v>
      </c>
      <c r="S115" s="129">
        <f>Database!$C$44*(($N$22+273.15)-(Database!$H$11))+((Database!$D$44*(($N$22+273.15)^2-(Database!$H$11)^2))/2)+((Database!$E$44*(($N$22+273.15)^3-(Database!$H$11)^3))/3)+((Database!$F$44*(($N$22+273.15)^4-(Database!$H$11)^4))/4)</f>
        <v>-61.494296931069591</v>
      </c>
      <c r="T115" s="5" t="s">
        <v>279</v>
      </c>
      <c r="U115" s="5"/>
      <c r="V115" s="5"/>
      <c r="W115" s="6"/>
    </row>
    <row r="116" spans="16:23" ht="15.6">
      <c r="P116" s="148"/>
      <c r="Q116" s="181"/>
      <c r="R116" s="153"/>
      <c r="S116" s="5"/>
      <c r="T116" s="5"/>
      <c r="U116" s="5"/>
      <c r="V116" s="5"/>
      <c r="W116" s="6"/>
    </row>
    <row r="117" spans="16:23" ht="15.6">
      <c r="P117" s="148"/>
      <c r="Q117" s="88" t="s">
        <v>292</v>
      </c>
      <c r="R117" s="94" t="s">
        <v>135</v>
      </c>
      <c r="S117" s="9" t="s">
        <v>339</v>
      </c>
      <c r="T117" s="117" t="s">
        <v>284</v>
      </c>
      <c r="U117" s="9" t="s">
        <v>343</v>
      </c>
      <c r="V117" s="117" t="s">
        <v>284</v>
      </c>
      <c r="W117" s="121" t="s">
        <v>340</v>
      </c>
    </row>
    <row r="118" spans="16:23" ht="15.6">
      <c r="P118" s="148"/>
      <c r="Q118" s="135" t="s">
        <v>292</v>
      </c>
      <c r="R118" s="182" t="s">
        <v>135</v>
      </c>
      <c r="S118" s="119">
        <f>S115+S111+S107</f>
        <v>-26456.980500997608</v>
      </c>
      <c r="T118" s="11" t="s">
        <v>279</v>
      </c>
      <c r="U118" s="11"/>
      <c r="V118" s="11"/>
      <c r="W118" s="12"/>
    </row>
    <row r="119" spans="16:23" ht="15.75" customHeight="1">
      <c r="P119" s="148"/>
      <c r="Q119" s="148"/>
      <c r="R119" s="148"/>
      <c r="S119" s="148"/>
      <c r="T119" s="148"/>
      <c r="U119" s="148"/>
      <c r="V119" s="148"/>
      <c r="W119" s="148"/>
    </row>
    <row r="120" spans="16:23" ht="15.6">
      <c r="P120" s="148"/>
      <c r="Q120" s="1"/>
      <c r="R120" s="2"/>
      <c r="S120" s="91" t="s">
        <v>345</v>
      </c>
      <c r="T120" s="2"/>
      <c r="U120" s="2"/>
      <c r="V120" s="2"/>
      <c r="W120" s="3"/>
    </row>
    <row r="121" spans="16:23" ht="15.6">
      <c r="P121" s="148"/>
      <c r="Q121" s="116" t="s">
        <v>346</v>
      </c>
      <c r="R121" s="5"/>
      <c r="S121" s="5"/>
      <c r="T121" s="5"/>
      <c r="U121" s="9" t="s">
        <v>347</v>
      </c>
      <c r="V121" s="5"/>
      <c r="W121" s="6"/>
    </row>
    <row r="122" spans="16:23" ht="15.6">
      <c r="P122" s="148"/>
      <c r="Q122" s="4"/>
      <c r="R122" s="5"/>
      <c r="S122" s="5"/>
      <c r="T122" s="5"/>
      <c r="U122" s="5"/>
      <c r="V122" s="5"/>
      <c r="W122" s="6"/>
    </row>
    <row r="123" spans="16:23" ht="15.6">
      <c r="P123" s="148"/>
      <c r="Q123" s="156" t="s">
        <v>348</v>
      </c>
      <c r="R123" s="5"/>
      <c r="S123" s="5"/>
      <c r="T123" s="109" t="s">
        <v>349</v>
      </c>
      <c r="U123" s="5"/>
      <c r="V123" s="5"/>
      <c r="W123" s="6"/>
    </row>
    <row r="124" spans="16:23" ht="15.6">
      <c r="P124" s="173"/>
      <c r="Q124" s="148"/>
      <c r="R124" s="5"/>
      <c r="S124" s="5"/>
      <c r="T124" s="5"/>
      <c r="U124" s="148"/>
      <c r="V124" s="5"/>
      <c r="W124" s="6"/>
    </row>
    <row r="125" spans="16:23" ht="15.6">
      <c r="P125" s="173"/>
      <c r="Q125" s="5"/>
      <c r="R125" s="9" t="s">
        <v>350</v>
      </c>
      <c r="S125" s="9" t="s">
        <v>352</v>
      </c>
      <c r="T125" s="9" t="s">
        <v>351</v>
      </c>
      <c r="U125" s="5"/>
      <c r="V125" s="5"/>
      <c r="W125" s="6"/>
    </row>
    <row r="126" spans="16:23" ht="15.6">
      <c r="P126" s="173"/>
      <c r="Q126" s="5"/>
      <c r="R126" s="5"/>
      <c r="S126" s="148"/>
      <c r="T126" s="5"/>
      <c r="U126" s="5"/>
      <c r="V126" s="5"/>
      <c r="W126" s="6"/>
    </row>
    <row r="127" spans="16:23" ht="15.6">
      <c r="P127" s="173"/>
      <c r="Q127" s="5" t="s">
        <v>578</v>
      </c>
      <c r="R127" s="9"/>
      <c r="S127" s="5"/>
      <c r="T127" s="148"/>
      <c r="U127" s="5"/>
      <c r="V127" s="5"/>
      <c r="W127" s="6"/>
    </row>
    <row r="128" spans="16:23" ht="56.4" customHeight="1">
      <c r="P128" s="173"/>
      <c r="Q128" s="21" t="s">
        <v>348</v>
      </c>
      <c r="R128" s="94" t="s">
        <v>135</v>
      </c>
      <c r="S128" s="377"/>
      <c r="T128" s="377"/>
      <c r="U128" s="377"/>
      <c r="V128" s="377"/>
      <c r="W128" s="6"/>
    </row>
    <row r="129" spans="16:23" ht="15.6">
      <c r="P129" s="173"/>
      <c r="Q129" s="21" t="s">
        <v>348</v>
      </c>
      <c r="R129" s="94" t="s">
        <v>135</v>
      </c>
      <c r="S129" s="96">
        <f>(Database!$C$33*((Database!$H$12)-($T$38+273.15)))+(((Database!$D$33)*((Database!$H$12)^2-($T$38+273.15)^2))/2)+((Database!$E$33*((Database!$H$12)^3-($T$38+273.15)^3))/3)+((Database!$F$33*((Database!$H$12)^4-($T$38+273.15)^4))/4)+((Database!$G$33)*((Database!$H$12)^(5)-($T$38+273.15)^5))/5</f>
        <v>14587.315366913117</v>
      </c>
      <c r="T129" s="148"/>
      <c r="U129" s="5"/>
      <c r="V129" s="5"/>
      <c r="W129" s="6"/>
    </row>
    <row r="130" spans="16:23" ht="15.6">
      <c r="P130" s="173"/>
      <c r="Q130" s="168"/>
      <c r="R130" s="168"/>
      <c r="S130" s="148"/>
      <c r="T130" s="5"/>
      <c r="U130" s="5"/>
      <c r="V130" s="5"/>
      <c r="W130" s="6"/>
    </row>
    <row r="131" spans="16:23" ht="15.6">
      <c r="P131" s="173"/>
      <c r="Q131" s="153" t="s">
        <v>353</v>
      </c>
      <c r="R131" s="21"/>
      <c r="S131" s="5"/>
      <c r="T131" s="5"/>
      <c r="U131" s="5"/>
      <c r="V131" s="5"/>
      <c r="W131" s="6"/>
    </row>
    <row r="132" spans="16:23" ht="15.6">
      <c r="P132" s="173"/>
      <c r="Q132" s="21" t="s">
        <v>352</v>
      </c>
      <c r="R132" s="94" t="s">
        <v>135</v>
      </c>
      <c r="S132" s="94" t="s">
        <v>552</v>
      </c>
      <c r="T132" s="5"/>
      <c r="U132" s="5"/>
      <c r="V132" s="5"/>
      <c r="W132" s="6"/>
    </row>
    <row r="133" spans="16:23" ht="15.6">
      <c r="P133" s="173"/>
      <c r="Q133" s="21" t="s">
        <v>352</v>
      </c>
      <c r="R133" s="94" t="s">
        <v>135</v>
      </c>
      <c r="S133" s="9">
        <f>Database!$I$22*1000*-1</f>
        <v>-51530</v>
      </c>
      <c r="T133" s="5" t="s">
        <v>279</v>
      </c>
      <c r="U133" s="5"/>
      <c r="V133" s="5"/>
      <c r="W133" s="6"/>
    </row>
    <row r="134" spans="16:23" ht="15.6">
      <c r="P134" s="173"/>
      <c r="Q134" s="153"/>
      <c r="R134" s="21"/>
      <c r="S134" s="5"/>
      <c r="T134" s="5"/>
      <c r="U134" s="5"/>
      <c r="V134" s="5"/>
      <c r="W134" s="6"/>
    </row>
    <row r="135" spans="16:23" ht="15.6">
      <c r="P135" s="173"/>
      <c r="Q135" s="153" t="s">
        <v>577</v>
      </c>
      <c r="R135" s="153"/>
      <c r="S135" s="5"/>
      <c r="T135" s="5"/>
      <c r="U135" s="5"/>
      <c r="V135" s="5"/>
      <c r="W135" s="6"/>
    </row>
    <row r="136" spans="16:23" ht="50.4" customHeight="1">
      <c r="P136" s="173"/>
      <c r="Q136" s="21" t="s">
        <v>349</v>
      </c>
      <c r="R136" s="94" t="s">
        <v>135</v>
      </c>
      <c r="S136" s="377"/>
      <c r="T136" s="377"/>
      <c r="U136" s="377"/>
      <c r="V136" s="377"/>
      <c r="W136" s="465"/>
    </row>
    <row r="137" spans="16:23" ht="15.6">
      <c r="P137" s="148"/>
      <c r="Q137" s="88" t="s">
        <v>349</v>
      </c>
      <c r="R137" s="94" t="s">
        <v>135</v>
      </c>
      <c r="S137" s="129">
        <f>Database!$C$45*(($N$22+273.15)-(Database!$H$12))+((Database!$D$45*(($N$22+273.15)^2-(Database!$H$12)^2))/2)+((Database!$E$45*(($N$22+273.15)^3-(Database!$H$12)^3))/3)+((Database!$F$45*(($N$22+273.15)^4-(Database!$H$12)^4))/4)</f>
        <v>-33028.850108024802</v>
      </c>
      <c r="T137" s="5" t="s">
        <v>279</v>
      </c>
      <c r="U137" s="5"/>
      <c r="V137" s="5"/>
      <c r="W137" s="6"/>
    </row>
    <row r="138" spans="16:23" ht="15.6">
      <c r="P138" s="148"/>
      <c r="Q138" s="181"/>
      <c r="R138" s="153"/>
      <c r="S138" s="5"/>
      <c r="T138" s="5"/>
      <c r="U138" s="5"/>
      <c r="V138" s="5"/>
      <c r="W138" s="6"/>
    </row>
    <row r="139" spans="16:23" ht="15.6">
      <c r="P139" s="148"/>
      <c r="Q139" s="88" t="s">
        <v>345</v>
      </c>
      <c r="R139" s="94" t="s">
        <v>135</v>
      </c>
      <c r="S139" s="9" t="s">
        <v>348</v>
      </c>
      <c r="T139" s="117" t="s">
        <v>284</v>
      </c>
      <c r="U139" s="9" t="s">
        <v>352</v>
      </c>
      <c r="V139" s="117" t="s">
        <v>284</v>
      </c>
      <c r="W139" s="121" t="s">
        <v>349</v>
      </c>
    </row>
    <row r="140" spans="16:23" ht="15.6">
      <c r="P140" s="148"/>
      <c r="Q140" s="135" t="s">
        <v>345</v>
      </c>
      <c r="R140" s="182" t="s">
        <v>135</v>
      </c>
      <c r="S140" s="119">
        <f>S137+S133+S129</f>
        <v>-69971.534741111696</v>
      </c>
      <c r="T140" s="11" t="s">
        <v>279</v>
      </c>
      <c r="U140" s="11"/>
      <c r="V140" s="11"/>
      <c r="W140" s="12"/>
    </row>
    <row r="141" spans="16:23" ht="15.75" customHeight="1">
      <c r="P141" s="148"/>
      <c r="Q141" s="148"/>
      <c r="R141" s="148"/>
      <c r="S141" s="148"/>
      <c r="T141" s="148"/>
      <c r="U141" s="148"/>
      <c r="V141" s="148"/>
      <c r="W141" s="148"/>
    </row>
    <row r="142" spans="16:23" ht="15.6">
      <c r="P142" s="148"/>
      <c r="Q142" s="1"/>
      <c r="R142" s="2"/>
      <c r="S142" s="91" t="s">
        <v>354</v>
      </c>
      <c r="T142" s="2"/>
      <c r="U142" s="2"/>
      <c r="V142" s="2"/>
      <c r="W142" s="3"/>
    </row>
    <row r="143" spans="16:23" ht="15.6">
      <c r="P143" s="148"/>
      <c r="Q143" s="116" t="s">
        <v>355</v>
      </c>
      <c r="R143" s="5"/>
      <c r="S143" s="5"/>
      <c r="T143" s="5"/>
      <c r="U143" s="109" t="s">
        <v>356</v>
      </c>
      <c r="V143" s="5"/>
      <c r="W143" s="6"/>
    </row>
    <row r="144" spans="16:23" ht="15.6">
      <c r="P144" s="148"/>
      <c r="Q144" s="4"/>
      <c r="R144" s="5"/>
      <c r="S144" s="5"/>
      <c r="T144" s="148"/>
      <c r="U144" s="5"/>
      <c r="V144" s="5"/>
      <c r="W144" s="6"/>
    </row>
    <row r="145" spans="16:23" ht="15.6">
      <c r="P145" s="148"/>
      <c r="Q145" s="4"/>
      <c r="R145" s="64" t="s">
        <v>357</v>
      </c>
      <c r="S145" s="5"/>
      <c r="T145" s="109" t="s">
        <v>358</v>
      </c>
      <c r="U145" s="5"/>
      <c r="V145" s="5"/>
      <c r="W145" s="6"/>
    </row>
    <row r="146" spans="16:23" ht="15.6">
      <c r="P146" s="148"/>
      <c r="Q146" s="4"/>
      <c r="R146" s="5"/>
      <c r="S146" s="5"/>
      <c r="T146" s="5"/>
      <c r="U146" s="148"/>
      <c r="V146" s="5"/>
      <c r="W146" s="6"/>
    </row>
    <row r="147" spans="16:23" ht="15.6">
      <c r="P147" s="148"/>
      <c r="Q147" s="4"/>
      <c r="R147" s="9" t="s">
        <v>359</v>
      </c>
      <c r="S147" s="9" t="s">
        <v>361</v>
      </c>
      <c r="T147" s="9" t="s">
        <v>360</v>
      </c>
      <c r="U147" s="5"/>
      <c r="V147" s="5"/>
      <c r="W147" s="6"/>
    </row>
    <row r="148" spans="16:23" ht="15.6">
      <c r="P148" s="148"/>
      <c r="Q148" s="4"/>
      <c r="R148" s="5"/>
      <c r="S148" s="148"/>
      <c r="T148" s="5"/>
      <c r="U148" s="5"/>
      <c r="V148" s="5"/>
      <c r="W148" s="6"/>
    </row>
    <row r="149" spans="16:23" ht="15.6">
      <c r="P149" s="148"/>
      <c r="Q149" s="181" t="s">
        <v>579</v>
      </c>
      <c r="R149" s="21"/>
      <c r="S149" s="5"/>
      <c r="T149" s="148"/>
      <c r="U149" s="5"/>
      <c r="V149" s="5"/>
      <c r="W149" s="6"/>
    </row>
    <row r="150" spans="16:23" ht="55.2" customHeight="1">
      <c r="P150" s="148"/>
      <c r="Q150" s="88" t="s">
        <v>357</v>
      </c>
      <c r="R150" s="94" t="s">
        <v>135</v>
      </c>
      <c r="S150" s="377"/>
      <c r="T150" s="377"/>
      <c r="U150" s="377"/>
      <c r="V150" s="377"/>
      <c r="W150" s="465"/>
    </row>
    <row r="151" spans="16:23" ht="15.6">
      <c r="P151" s="148"/>
      <c r="Q151" s="88" t="s">
        <v>357</v>
      </c>
      <c r="R151" s="94" t="s">
        <v>135</v>
      </c>
      <c r="S151" s="96">
        <f>(Database!$C$34*((Database!$H$13)-($T$38+273.15)))+(((Database!$D$34)*((Database!$H$13)^2-($T$38+273.15)^2))/2)+((Database!$E$34*((Database!$H$13)^3-($T$38+273.15)^3))/3)+((Database!$F$34*((Database!$H$13)^4-($T$38+273.15)^4))/4)+((Database!$G$34)*((Database!$H$13)^(5)-($T$38+273.15)^5))/5</f>
        <v>44168.085339864891</v>
      </c>
      <c r="T151" s="148"/>
      <c r="U151" s="5"/>
      <c r="V151" s="5"/>
      <c r="W151" s="6"/>
    </row>
    <row r="152" spans="16:23" ht="15.6">
      <c r="P152" s="148"/>
      <c r="Q152" s="181"/>
      <c r="R152" s="168"/>
      <c r="S152" s="148"/>
      <c r="T152" s="5"/>
      <c r="U152" s="5"/>
      <c r="V152" s="5"/>
      <c r="W152" s="6"/>
    </row>
    <row r="153" spans="16:23" ht="15.6">
      <c r="P153" s="148"/>
      <c r="Q153" s="181" t="s">
        <v>362</v>
      </c>
      <c r="R153" s="21"/>
      <c r="S153" s="5"/>
      <c r="T153" s="5"/>
      <c r="U153" s="5"/>
      <c r="V153" s="5"/>
      <c r="W153" s="6"/>
    </row>
    <row r="154" spans="16:23" ht="15.6">
      <c r="P154" s="148"/>
      <c r="Q154" s="88" t="s">
        <v>361</v>
      </c>
      <c r="R154" s="94" t="s">
        <v>135</v>
      </c>
      <c r="S154" s="94" t="s">
        <v>553</v>
      </c>
      <c r="T154" s="5"/>
      <c r="U154" s="5"/>
      <c r="V154" s="5"/>
      <c r="W154" s="6"/>
    </row>
    <row r="155" spans="16:23" ht="15.6">
      <c r="P155" s="148"/>
      <c r="Q155" s="88" t="s">
        <v>361</v>
      </c>
      <c r="R155" s="94" t="s">
        <v>135</v>
      </c>
      <c r="S155" s="9">
        <f>Database!$I$23*1000*-1</f>
        <v>-64459.999999999993</v>
      </c>
      <c r="T155" s="5" t="s">
        <v>279</v>
      </c>
      <c r="U155" s="5"/>
      <c r="V155" s="5"/>
      <c r="W155" s="6"/>
    </row>
    <row r="156" spans="16:23" ht="15.6">
      <c r="P156" s="148"/>
      <c r="Q156" s="181"/>
      <c r="R156" s="21"/>
      <c r="S156" s="5"/>
      <c r="T156" s="5"/>
      <c r="U156" s="5"/>
      <c r="V156" s="5"/>
      <c r="W156" s="6"/>
    </row>
    <row r="157" spans="16:23" ht="15.6">
      <c r="P157" s="148"/>
      <c r="Q157" s="181" t="s">
        <v>580</v>
      </c>
      <c r="R157" s="153"/>
      <c r="S157" s="5"/>
      <c r="T157" s="5"/>
      <c r="U157" s="5"/>
      <c r="V157" s="5"/>
      <c r="W157" s="6"/>
    </row>
    <row r="158" spans="16:23" ht="47.4" customHeight="1">
      <c r="P158" s="148"/>
      <c r="Q158" s="88" t="s">
        <v>358</v>
      </c>
      <c r="R158" s="94" t="s">
        <v>135</v>
      </c>
      <c r="S158" s="377"/>
      <c r="T158" s="377"/>
      <c r="U158" s="377"/>
      <c r="V158" s="377"/>
      <c r="W158" s="465"/>
    </row>
    <row r="159" spans="16:23" ht="15.6">
      <c r="P159" s="148"/>
      <c r="Q159" s="88" t="s">
        <v>358</v>
      </c>
      <c r="R159" s="94" t="s">
        <v>135</v>
      </c>
      <c r="S159" s="129">
        <f>Database!$C$46*(($N$22+273.15)-(Database!$H$13))+((Database!$D$46*(($N$22+273.15)^2-(Database!$H$13)^2))/2)+((Database!$E$46*(($N$22+273.15)^3-(Database!$H$13)^3))/3)+((Database!$F$46*(($N$22+273.15)^4-(Database!$H$13)^4))/4)</f>
        <v>-67221.077803967637</v>
      </c>
      <c r="T159" s="5" t="s">
        <v>279</v>
      </c>
      <c r="U159" s="5"/>
      <c r="V159" s="5"/>
      <c r="W159" s="6"/>
    </row>
    <row r="160" spans="16:23" ht="15.6">
      <c r="P160" s="148"/>
      <c r="Q160" s="181"/>
      <c r="R160" s="153"/>
      <c r="S160" s="5"/>
      <c r="T160" s="5"/>
      <c r="U160" s="5"/>
      <c r="V160" s="5"/>
      <c r="W160" s="6"/>
    </row>
    <row r="161" spans="16:23" ht="15.6">
      <c r="P161" s="148"/>
      <c r="Q161" s="88" t="s">
        <v>354</v>
      </c>
      <c r="R161" s="94" t="s">
        <v>135</v>
      </c>
      <c r="S161" s="9" t="s">
        <v>357</v>
      </c>
      <c r="T161" s="117" t="s">
        <v>284</v>
      </c>
      <c r="U161" s="9" t="s">
        <v>361</v>
      </c>
      <c r="V161" s="117" t="s">
        <v>284</v>
      </c>
      <c r="W161" s="121" t="s">
        <v>358</v>
      </c>
    </row>
    <row r="162" spans="16:23" ht="15.6">
      <c r="P162" s="148"/>
      <c r="Q162" s="135" t="s">
        <v>354</v>
      </c>
      <c r="R162" s="182" t="s">
        <v>135</v>
      </c>
      <c r="S162" s="119">
        <f>S159+S155+S151</f>
        <v>-87512.992464102746</v>
      </c>
      <c r="T162" s="11" t="s">
        <v>279</v>
      </c>
      <c r="U162" s="11"/>
      <c r="V162" s="11"/>
      <c r="W162" s="12"/>
    </row>
    <row r="163" spans="16:23" ht="15.75" customHeight="1">
      <c r="P163" s="148"/>
      <c r="Q163" s="148"/>
      <c r="R163" s="148"/>
      <c r="S163" s="148"/>
      <c r="T163" s="148"/>
      <c r="U163" s="148"/>
      <c r="V163" s="148"/>
      <c r="W163" s="148"/>
    </row>
    <row r="164" spans="16:23" ht="15.6">
      <c r="P164" s="148"/>
      <c r="Q164" s="1"/>
      <c r="R164" s="2"/>
      <c r="S164" s="91" t="s">
        <v>363</v>
      </c>
      <c r="T164" s="2"/>
      <c r="U164" s="2"/>
      <c r="V164" s="2"/>
      <c r="W164" s="3"/>
    </row>
    <row r="165" spans="16:23" ht="15.6">
      <c r="P165" s="148"/>
      <c r="Q165" s="116" t="s">
        <v>364</v>
      </c>
      <c r="R165" s="5"/>
      <c r="S165" s="5"/>
      <c r="T165" s="5"/>
      <c r="U165" s="9" t="s">
        <v>365</v>
      </c>
      <c r="V165" s="5"/>
      <c r="W165" s="6"/>
    </row>
    <row r="166" spans="16:23" ht="15.6">
      <c r="P166" s="148"/>
      <c r="Q166" s="4"/>
      <c r="R166" s="5"/>
      <c r="S166" s="5"/>
      <c r="T166" s="5"/>
      <c r="U166" s="5"/>
      <c r="V166" s="5"/>
      <c r="W166" s="6"/>
    </row>
    <row r="167" spans="16:23" ht="15.6">
      <c r="P167" s="148"/>
      <c r="Q167" s="4"/>
      <c r="R167" s="64" t="s">
        <v>366</v>
      </c>
      <c r="S167" s="5"/>
      <c r="T167" s="109" t="s">
        <v>367</v>
      </c>
      <c r="U167" s="5"/>
      <c r="V167" s="5"/>
      <c r="W167" s="6"/>
    </row>
    <row r="168" spans="16:23" ht="15.6">
      <c r="P168" s="148"/>
      <c r="Q168" s="172"/>
      <c r="R168" s="5"/>
      <c r="S168" s="5"/>
      <c r="T168" s="5"/>
      <c r="U168" s="148"/>
      <c r="V168" s="5"/>
      <c r="W168" s="6"/>
    </row>
    <row r="169" spans="16:23" ht="15.6">
      <c r="P169" s="148"/>
      <c r="Q169" s="4"/>
      <c r="R169" s="9" t="s">
        <v>368</v>
      </c>
      <c r="S169" s="9" t="s">
        <v>370</v>
      </c>
      <c r="T169" s="9" t="s">
        <v>369</v>
      </c>
      <c r="U169" s="5"/>
      <c r="V169" s="5"/>
      <c r="W169" s="6"/>
    </row>
    <row r="170" spans="16:23" ht="15.6">
      <c r="P170" s="148"/>
      <c r="Q170" s="4"/>
      <c r="R170" s="5"/>
      <c r="S170" s="148"/>
      <c r="T170" s="5"/>
      <c r="U170" s="5"/>
      <c r="V170" s="5"/>
      <c r="W170" s="6"/>
    </row>
    <row r="171" spans="16:23" ht="15.6">
      <c r="P171" s="148"/>
      <c r="Q171" s="4" t="s">
        <v>581</v>
      </c>
      <c r="R171" s="9"/>
      <c r="S171" s="5"/>
      <c r="T171" s="148"/>
      <c r="U171" s="5"/>
      <c r="V171" s="5"/>
      <c r="W171" s="6"/>
    </row>
    <row r="172" spans="16:23" ht="45" customHeight="1">
      <c r="P172" s="148"/>
      <c r="Q172" s="88" t="s">
        <v>366</v>
      </c>
      <c r="R172" s="94" t="s">
        <v>135</v>
      </c>
      <c r="S172" s="377"/>
      <c r="T172" s="377"/>
      <c r="U172" s="377"/>
      <c r="V172" s="377"/>
      <c r="W172" s="465"/>
    </row>
    <row r="173" spans="16:23" ht="15.6">
      <c r="P173" s="148"/>
      <c r="Q173" s="88" t="s">
        <v>366</v>
      </c>
      <c r="R173" s="94" t="s">
        <v>135</v>
      </c>
      <c r="S173" s="96">
        <f>(Database!$C$35*((Database!$H$14)-($T$38+273.15)))+(((Database!$D$35)*((Database!$H$14)^2-($T$38+273.15)^2))/2)+((Database!$E$35*((Database!$H$14)^3-($T$38+273.15)^3))/3)+((Database!$F$35*((Database!$H$14)^4-($T$38+273.15)^4))/4)+((Database!$G$35)*((Database!$H$14)^(5)-($T$38+273.15)^5))/5</f>
        <v>83864.044961042237</v>
      </c>
      <c r="T173" s="148"/>
      <c r="U173" s="5"/>
      <c r="V173" s="5"/>
      <c r="W173" s="6"/>
    </row>
    <row r="174" spans="16:23" ht="15.6">
      <c r="P174" s="148"/>
      <c r="Q174" s="181"/>
      <c r="R174" s="168"/>
      <c r="S174" s="148"/>
      <c r="T174" s="5"/>
      <c r="U174" s="5"/>
      <c r="V174" s="5"/>
      <c r="W174" s="6"/>
    </row>
    <row r="175" spans="16:23" ht="15.6">
      <c r="P175" s="148"/>
      <c r="Q175" s="181" t="s">
        <v>371</v>
      </c>
      <c r="R175" s="21"/>
      <c r="S175" s="5"/>
      <c r="T175" s="5"/>
      <c r="U175" s="5"/>
      <c r="V175" s="5"/>
      <c r="W175" s="6"/>
    </row>
    <row r="176" spans="16:23" ht="15.6">
      <c r="P176" s="148"/>
      <c r="Q176" s="88" t="s">
        <v>370</v>
      </c>
      <c r="R176" s="94" t="s">
        <v>135</v>
      </c>
      <c r="S176" s="94" t="s">
        <v>554</v>
      </c>
      <c r="T176" s="5"/>
      <c r="U176" s="5"/>
      <c r="V176" s="5"/>
      <c r="W176" s="6"/>
    </row>
    <row r="177" spans="16:23" ht="15.6">
      <c r="P177" s="148"/>
      <c r="Q177" s="88" t="s">
        <v>370</v>
      </c>
      <c r="R177" s="94" t="s">
        <v>135</v>
      </c>
      <c r="S177" s="9">
        <f>Database!$I$24*1000*-1</f>
        <v>-70680</v>
      </c>
      <c r="T177" s="5" t="s">
        <v>279</v>
      </c>
      <c r="U177" s="5"/>
      <c r="V177" s="5"/>
      <c r="W177" s="6"/>
    </row>
    <row r="178" spans="16:23" ht="15.6">
      <c r="P178" s="148"/>
      <c r="Q178" s="181"/>
      <c r="R178" s="21"/>
      <c r="S178" s="5"/>
      <c r="T178" s="5"/>
      <c r="U178" s="5"/>
      <c r="V178" s="5"/>
      <c r="W178" s="6"/>
    </row>
    <row r="179" spans="16:23" ht="15.6">
      <c r="P179" s="148"/>
      <c r="Q179" s="181" t="s">
        <v>577</v>
      </c>
      <c r="R179" s="153"/>
      <c r="S179" s="5"/>
      <c r="T179" s="5"/>
      <c r="U179" s="5"/>
      <c r="V179" s="5"/>
      <c r="W179" s="6"/>
    </row>
    <row r="180" spans="16:23" ht="49.2" customHeight="1">
      <c r="P180" s="148"/>
      <c r="Q180" s="88" t="s">
        <v>367</v>
      </c>
      <c r="R180" s="94" t="s">
        <v>135</v>
      </c>
      <c r="S180" s="377"/>
      <c r="T180" s="377"/>
      <c r="U180" s="377"/>
      <c r="V180" s="377"/>
      <c r="W180" s="465"/>
    </row>
    <row r="181" spans="16:23" ht="15.6">
      <c r="P181" s="148"/>
      <c r="Q181" s="88" t="s">
        <v>367</v>
      </c>
      <c r="R181" s="94" t="s">
        <v>135</v>
      </c>
      <c r="S181" s="129">
        <f>Database!$C$47*(($N$22+273.15)-(Database!$H$14))+((Database!$D$47*(($N$22+273.15)^2-(Database!$H$14)^2))/2)+((Database!$E$47*(($N$22+273.15)^3-(Database!$H$14)^3))/3)+((Database!$F$47*(($N$22+273.15)^4-(Database!$H$14)^4))/4)</f>
        <v>-135179.02473737416</v>
      </c>
      <c r="T181" s="5" t="s">
        <v>279</v>
      </c>
      <c r="U181" s="5"/>
      <c r="V181" s="5"/>
      <c r="W181" s="6"/>
    </row>
    <row r="182" spans="16:23" ht="15.6">
      <c r="P182" s="148"/>
      <c r="Q182" s="181"/>
      <c r="R182" s="153"/>
      <c r="S182" s="5"/>
      <c r="T182" s="5"/>
      <c r="U182" s="5"/>
      <c r="V182" s="5"/>
      <c r="W182" s="6"/>
    </row>
    <row r="183" spans="16:23" ht="15.6">
      <c r="P183" s="148"/>
      <c r="Q183" s="88" t="s">
        <v>363</v>
      </c>
      <c r="R183" s="94" t="s">
        <v>135</v>
      </c>
      <c r="S183" s="9" t="s">
        <v>366</v>
      </c>
      <c r="T183" s="117" t="s">
        <v>284</v>
      </c>
      <c r="U183" s="9" t="s">
        <v>370</v>
      </c>
      <c r="V183" s="117" t="s">
        <v>284</v>
      </c>
      <c r="W183" s="121" t="s">
        <v>367</v>
      </c>
    </row>
    <row r="184" spans="16:23" ht="15.6">
      <c r="P184" s="148"/>
      <c r="Q184" s="135" t="s">
        <v>363</v>
      </c>
      <c r="R184" s="182" t="s">
        <v>135</v>
      </c>
      <c r="S184" s="119">
        <f>S181+S177+S173</f>
        <v>-121994.97977633192</v>
      </c>
      <c r="T184" s="11" t="s">
        <v>279</v>
      </c>
      <c r="U184" s="11"/>
      <c r="V184" s="11"/>
      <c r="W184" s="12"/>
    </row>
    <row r="185" spans="16:23" ht="15.75" customHeight="1">
      <c r="P185" s="148"/>
      <c r="Q185" s="148"/>
      <c r="R185" s="148"/>
      <c r="S185" s="148"/>
      <c r="T185" s="148"/>
      <c r="U185" s="148"/>
      <c r="V185" s="148"/>
      <c r="W185" s="148"/>
    </row>
    <row r="186" spans="16:23" ht="15.75" customHeight="1">
      <c r="P186" s="148"/>
      <c r="Q186" s="148"/>
      <c r="R186" s="148"/>
      <c r="S186" s="148"/>
      <c r="T186" s="148"/>
      <c r="U186" s="148"/>
      <c r="V186" s="148"/>
      <c r="W186" s="148"/>
    </row>
    <row r="200" spans="17:21" ht="13.2">
      <c r="Q200" s="114"/>
    </row>
    <row r="201" spans="17:21" ht="13.2">
      <c r="R201" s="113"/>
    </row>
    <row r="202" spans="17:21" ht="13.2">
      <c r="Q202" s="113"/>
    </row>
    <row r="204" spans="17:21" ht="13.2">
      <c r="Q204" s="113"/>
      <c r="S204" s="113"/>
    </row>
    <row r="205" spans="17:21" ht="15.6">
      <c r="Q205" s="5"/>
      <c r="R205" s="9"/>
      <c r="S205" s="5"/>
      <c r="T205" s="5"/>
    </row>
    <row r="206" spans="17:21" ht="15.6">
      <c r="Q206" s="9"/>
      <c r="R206" s="9"/>
      <c r="S206" s="5"/>
      <c r="T206" s="5"/>
      <c r="U206" s="64"/>
    </row>
    <row r="207" spans="17:21" ht="15.6">
      <c r="Q207" s="9"/>
      <c r="R207" s="9"/>
      <c r="S207" s="129"/>
      <c r="T207" s="5"/>
      <c r="U207" s="5"/>
    </row>
    <row r="208" spans="17:21" ht="15.6">
      <c r="U208" s="5"/>
    </row>
    <row r="230" spans="17:23" ht="15.6">
      <c r="Q230" s="5"/>
      <c r="R230" s="5"/>
      <c r="S230" s="9"/>
      <c r="T230" s="5"/>
      <c r="U230" s="5"/>
      <c r="V230" s="5"/>
      <c r="W230" s="5"/>
    </row>
    <row r="231" spans="17:23" ht="15.6">
      <c r="Q231" s="115"/>
      <c r="R231" s="5"/>
      <c r="S231" s="5"/>
      <c r="T231" s="5"/>
      <c r="U231" s="115"/>
      <c r="V231" s="5"/>
      <c r="W231" s="5"/>
    </row>
    <row r="232" spans="17:23" ht="15.6">
      <c r="Q232" s="5"/>
      <c r="R232" s="5"/>
      <c r="S232" s="5"/>
      <c r="T232" s="5"/>
      <c r="U232" s="5"/>
      <c r="V232" s="5"/>
      <c r="W232" s="5"/>
    </row>
    <row r="233" spans="17:23" ht="15.6">
      <c r="Q233" s="9"/>
      <c r="R233" s="5"/>
      <c r="S233" s="5"/>
      <c r="T233" s="5"/>
      <c r="U233" s="9"/>
      <c r="V233" s="5"/>
      <c r="W233" s="5"/>
    </row>
    <row r="234" spans="17:23" ht="15.6">
      <c r="Q234" s="5"/>
      <c r="R234" s="115"/>
      <c r="S234" s="5"/>
      <c r="T234" s="115"/>
      <c r="U234" s="5"/>
      <c r="V234" s="5"/>
      <c r="W234" s="5"/>
    </row>
    <row r="235" spans="17:23" ht="15.6">
      <c r="Q235" s="5"/>
      <c r="R235" s="5"/>
      <c r="S235" s="9"/>
      <c r="T235" s="5"/>
      <c r="U235" s="5"/>
      <c r="V235" s="5"/>
      <c r="W235" s="5"/>
    </row>
    <row r="236" spans="17:23" ht="15.6">
      <c r="Q236" s="5"/>
      <c r="R236" s="5"/>
      <c r="S236" s="5"/>
      <c r="T236" s="5"/>
      <c r="U236" s="5"/>
      <c r="V236" s="5"/>
      <c r="W236" s="5"/>
    </row>
    <row r="237" spans="17:23" ht="15.6">
      <c r="Q237" s="9"/>
      <c r="R237" s="9"/>
      <c r="S237" s="5"/>
      <c r="T237" s="5"/>
      <c r="U237" s="5"/>
      <c r="V237" s="5"/>
      <c r="W237" s="5"/>
    </row>
    <row r="238" spans="17:23" ht="15.6">
      <c r="Q238" s="9"/>
      <c r="R238" s="9"/>
      <c r="S238" s="129"/>
      <c r="T238" s="5"/>
      <c r="U238" s="5"/>
      <c r="V238" s="5"/>
      <c r="W238" s="5"/>
    </row>
    <row r="239" spans="17:23" ht="15.6">
      <c r="Q239" s="5"/>
      <c r="R239" s="9"/>
      <c r="S239" s="5"/>
      <c r="T239" s="5"/>
      <c r="U239" s="5"/>
      <c r="V239" s="5"/>
      <c r="W239" s="5"/>
    </row>
    <row r="240" spans="17:23" ht="15.6">
      <c r="Q240" s="5"/>
      <c r="R240" s="9"/>
      <c r="S240" s="5"/>
      <c r="T240" s="5"/>
      <c r="U240" s="5"/>
      <c r="V240" s="5"/>
      <c r="W240" s="5"/>
    </row>
    <row r="241" spans="17:23" ht="15.6">
      <c r="Q241" s="9"/>
      <c r="R241" s="9"/>
      <c r="S241" s="5"/>
      <c r="T241" s="5"/>
      <c r="U241" s="5"/>
      <c r="V241" s="5"/>
      <c r="W241" s="5"/>
    </row>
    <row r="242" spans="17:23" ht="15.6">
      <c r="Q242" s="9"/>
      <c r="R242" s="9"/>
      <c r="S242" s="9"/>
      <c r="T242" s="5"/>
      <c r="U242" s="5"/>
      <c r="V242" s="5"/>
      <c r="W242" s="5"/>
    </row>
    <row r="243" spans="17:23" ht="15.6">
      <c r="Q243" s="5"/>
      <c r="R243" s="9"/>
      <c r="S243" s="5"/>
      <c r="T243" s="5"/>
      <c r="U243" s="5"/>
      <c r="V243" s="5"/>
      <c r="W243" s="5"/>
    </row>
    <row r="244" spans="17:23" ht="15.6">
      <c r="Q244" s="5"/>
      <c r="R244" s="9"/>
      <c r="S244" s="5"/>
      <c r="T244" s="5"/>
      <c r="U244" s="5"/>
      <c r="V244" s="5"/>
      <c r="W244" s="5"/>
    </row>
    <row r="245" spans="17:23" ht="15.6">
      <c r="Q245" s="9"/>
      <c r="R245" s="9"/>
      <c r="S245" s="5"/>
      <c r="T245" s="5"/>
      <c r="U245" s="5"/>
      <c r="V245" s="5"/>
      <c r="W245" s="5"/>
    </row>
    <row r="246" spans="17:23" ht="15.6">
      <c r="Q246" s="9"/>
      <c r="R246" s="9"/>
      <c r="S246" s="96"/>
      <c r="T246" s="5"/>
      <c r="U246" s="5"/>
      <c r="V246" s="5"/>
      <c r="W246" s="5"/>
    </row>
    <row r="247" spans="17:23" ht="15.6">
      <c r="Q247" s="5"/>
      <c r="R247" s="5"/>
      <c r="S247" s="5"/>
      <c r="T247" s="5"/>
      <c r="U247" s="5"/>
      <c r="V247" s="5"/>
      <c r="W247" s="5"/>
    </row>
    <row r="248" spans="17:23" ht="15.6">
      <c r="Q248" s="9"/>
      <c r="R248" s="9"/>
      <c r="S248" s="9"/>
      <c r="T248" s="9"/>
      <c r="U248" s="9"/>
      <c r="V248" s="9"/>
      <c r="W248" s="9"/>
    </row>
    <row r="249" spans="17:23" ht="15.6">
      <c r="Q249" s="9"/>
      <c r="R249" s="9"/>
      <c r="S249" s="9"/>
      <c r="T249" s="5"/>
      <c r="U249" s="5"/>
      <c r="V249" s="5"/>
      <c r="W249" s="5"/>
    </row>
    <row r="251" spans="17:23" ht="15.6">
      <c r="Q251" s="5"/>
      <c r="R251" s="5"/>
      <c r="S251" s="9"/>
      <c r="T251" s="5"/>
      <c r="U251" s="5"/>
      <c r="V251" s="5"/>
      <c r="W251" s="5"/>
    </row>
    <row r="252" spans="17:23" ht="15.6">
      <c r="Q252" s="115"/>
      <c r="R252" s="5"/>
      <c r="S252" s="5"/>
      <c r="T252" s="5"/>
      <c r="U252" s="115"/>
      <c r="V252" s="5"/>
      <c r="W252" s="5"/>
    </row>
    <row r="253" spans="17:23" ht="15.6">
      <c r="Q253" s="5"/>
      <c r="R253" s="5"/>
      <c r="S253" s="5"/>
      <c r="T253" s="5"/>
      <c r="U253" s="5"/>
      <c r="V253" s="5"/>
      <c r="W253" s="5"/>
    </row>
    <row r="254" spans="17:23" ht="15.6">
      <c r="Q254" s="9"/>
      <c r="R254" s="5"/>
      <c r="S254" s="5"/>
      <c r="T254" s="5"/>
      <c r="U254" s="9"/>
      <c r="V254" s="5"/>
      <c r="W254" s="5"/>
    </row>
    <row r="255" spans="17:23" ht="15.6">
      <c r="Q255" s="5"/>
      <c r="R255" s="115"/>
      <c r="S255" s="5"/>
      <c r="T255" s="115"/>
      <c r="U255" s="5"/>
      <c r="V255" s="5"/>
      <c r="W255" s="5"/>
    </row>
    <row r="256" spans="17:23" ht="15.6">
      <c r="Q256" s="5"/>
      <c r="R256" s="5"/>
      <c r="S256" s="9"/>
      <c r="T256" s="5"/>
      <c r="U256" s="5"/>
      <c r="V256" s="5"/>
      <c r="W256" s="5"/>
    </row>
    <row r="257" spans="17:23" ht="15.6">
      <c r="Q257" s="5"/>
      <c r="R257" s="5"/>
      <c r="S257" s="5"/>
      <c r="T257" s="5"/>
      <c r="U257" s="5"/>
      <c r="V257" s="5"/>
      <c r="W257" s="5"/>
    </row>
    <row r="258" spans="17:23" ht="15.6">
      <c r="Q258" s="9"/>
      <c r="R258" s="9"/>
      <c r="S258" s="5"/>
      <c r="T258" s="5"/>
      <c r="U258" s="5"/>
      <c r="V258" s="5"/>
      <c r="W258" s="5"/>
    </row>
    <row r="259" spans="17:23" ht="15.6">
      <c r="Q259" s="9"/>
      <c r="R259" s="9"/>
      <c r="S259" s="129"/>
      <c r="T259" s="5"/>
      <c r="U259" s="5"/>
      <c r="V259" s="5"/>
      <c r="W259" s="5"/>
    </row>
    <row r="260" spans="17:23" ht="15.6">
      <c r="Q260" s="5"/>
      <c r="R260" s="9"/>
      <c r="S260" s="5"/>
      <c r="T260" s="5"/>
      <c r="U260" s="5"/>
      <c r="V260" s="5"/>
      <c r="W260" s="5"/>
    </row>
    <row r="261" spans="17:23" ht="15.6">
      <c r="Q261" s="5"/>
      <c r="R261" s="9"/>
      <c r="S261" s="5"/>
      <c r="T261" s="5"/>
      <c r="U261" s="5"/>
      <c r="V261" s="5"/>
      <c r="W261" s="5"/>
    </row>
    <row r="262" spans="17:23" ht="15.6">
      <c r="Q262" s="9"/>
      <c r="R262" s="9"/>
      <c r="S262" s="5"/>
      <c r="T262" s="5"/>
      <c r="U262" s="5"/>
      <c r="V262" s="5"/>
      <c r="W262" s="5"/>
    </row>
    <row r="263" spans="17:23" ht="15.6">
      <c r="Q263" s="9"/>
      <c r="R263" s="9"/>
      <c r="S263" s="9"/>
      <c r="T263" s="5"/>
      <c r="U263" s="5"/>
      <c r="V263" s="5"/>
      <c r="W263" s="5"/>
    </row>
    <row r="264" spans="17:23" ht="15.6">
      <c r="Q264" s="5"/>
      <c r="R264" s="9"/>
      <c r="S264" s="5"/>
      <c r="T264" s="5"/>
      <c r="U264" s="5"/>
      <c r="V264" s="5"/>
      <c r="W264" s="5"/>
    </row>
    <row r="265" spans="17:23" ht="15.6">
      <c r="Q265" s="5"/>
      <c r="R265" s="9"/>
      <c r="S265" s="5"/>
      <c r="T265" s="5"/>
      <c r="U265" s="5"/>
      <c r="V265" s="5"/>
      <c r="W265" s="5"/>
    </row>
    <row r="266" spans="17:23" ht="15.6">
      <c r="Q266" s="9"/>
      <c r="R266" s="9"/>
      <c r="S266" s="5"/>
      <c r="T266" s="5"/>
      <c r="U266" s="5"/>
      <c r="V266" s="5"/>
      <c r="W266" s="5"/>
    </row>
    <row r="267" spans="17:23" ht="15.6">
      <c r="Q267" s="9"/>
      <c r="R267" s="9"/>
      <c r="S267" s="96"/>
      <c r="T267" s="5"/>
      <c r="U267" s="5"/>
      <c r="V267" s="5"/>
      <c r="W267" s="5"/>
    </row>
    <row r="268" spans="17:23" ht="15.6">
      <c r="Q268" s="5"/>
      <c r="R268" s="5"/>
      <c r="S268" s="5"/>
      <c r="T268" s="5"/>
      <c r="U268" s="5"/>
      <c r="V268" s="5"/>
      <c r="W268" s="5"/>
    </row>
    <row r="269" spans="17:23" ht="15.6">
      <c r="Q269" s="9"/>
      <c r="R269" s="9"/>
      <c r="S269" s="9"/>
      <c r="T269" s="9"/>
      <c r="U269" s="9"/>
      <c r="V269" s="9"/>
      <c r="W269" s="9"/>
    </row>
    <row r="270" spans="17:23" ht="15.6">
      <c r="Q270" s="9"/>
      <c r="R270" s="9"/>
      <c r="S270" s="9"/>
      <c r="T270" s="5"/>
      <c r="U270" s="5"/>
      <c r="V270" s="5"/>
      <c r="W270" s="5"/>
    </row>
    <row r="272" spans="17:23" ht="15.6">
      <c r="Q272" s="5"/>
      <c r="R272" s="5"/>
      <c r="S272" s="9"/>
      <c r="T272" s="5"/>
      <c r="U272" s="5"/>
      <c r="V272" s="5"/>
      <c r="W272" s="5"/>
    </row>
    <row r="273" spans="17:23" ht="15.6">
      <c r="Q273" s="115"/>
      <c r="R273" s="5"/>
      <c r="S273" s="5"/>
      <c r="T273" s="5"/>
      <c r="U273" s="115"/>
      <c r="V273" s="5"/>
      <c r="W273" s="5"/>
    </row>
    <row r="274" spans="17:23" ht="15.6">
      <c r="Q274" s="5"/>
      <c r="R274" s="5"/>
      <c r="S274" s="5"/>
      <c r="T274" s="5"/>
      <c r="U274" s="5"/>
      <c r="V274" s="5"/>
      <c r="W274" s="5"/>
    </row>
    <row r="275" spans="17:23" ht="15.6">
      <c r="Q275" s="9"/>
      <c r="R275" s="5"/>
      <c r="S275" s="5"/>
      <c r="T275" s="5"/>
      <c r="U275" s="9"/>
      <c r="V275" s="5"/>
      <c r="W275" s="5"/>
    </row>
    <row r="276" spans="17:23" ht="15.6">
      <c r="Q276" s="5"/>
      <c r="R276" s="115"/>
      <c r="S276" s="5"/>
      <c r="T276" s="115"/>
      <c r="U276" s="5"/>
      <c r="V276" s="5"/>
      <c r="W276" s="5"/>
    </row>
    <row r="277" spans="17:23" ht="15.6">
      <c r="Q277" s="5"/>
      <c r="R277" s="5"/>
      <c r="S277" s="9"/>
      <c r="T277" s="5"/>
      <c r="U277" s="5"/>
      <c r="V277" s="5"/>
      <c r="W277" s="5"/>
    </row>
    <row r="278" spans="17:23" ht="15.6">
      <c r="Q278" s="5"/>
      <c r="R278" s="5"/>
      <c r="S278" s="5"/>
      <c r="T278" s="5"/>
      <c r="U278" s="5"/>
      <c r="V278" s="5"/>
      <c r="W278" s="5"/>
    </row>
    <row r="279" spans="17:23" ht="15.6">
      <c r="Q279" s="9"/>
      <c r="R279" s="9"/>
      <c r="S279" s="5"/>
      <c r="T279" s="5"/>
      <c r="U279" s="5"/>
      <c r="V279" s="5"/>
      <c r="W279" s="5"/>
    </row>
    <row r="280" spans="17:23" ht="15.6">
      <c r="Q280" s="9"/>
      <c r="R280" s="9"/>
      <c r="S280" s="129"/>
      <c r="T280" s="5"/>
      <c r="U280" s="5"/>
      <c r="V280" s="5"/>
      <c r="W280" s="5"/>
    </row>
    <row r="281" spans="17:23" ht="15.6">
      <c r="Q281" s="5"/>
      <c r="R281" s="9"/>
      <c r="S281" s="5"/>
      <c r="T281" s="5"/>
      <c r="U281" s="5"/>
      <c r="V281" s="5"/>
      <c r="W281" s="5"/>
    </row>
    <row r="282" spans="17:23" ht="15.6">
      <c r="Q282" s="5"/>
      <c r="R282" s="9"/>
      <c r="S282" s="5"/>
      <c r="T282" s="5"/>
      <c r="U282" s="5"/>
      <c r="V282" s="5"/>
      <c r="W282" s="5"/>
    </row>
    <row r="283" spans="17:23" ht="15.6">
      <c r="Q283" s="9"/>
      <c r="R283" s="9"/>
      <c r="S283" s="5"/>
      <c r="T283" s="5"/>
      <c r="U283" s="5"/>
      <c r="V283" s="5"/>
      <c r="W283" s="5"/>
    </row>
    <row r="284" spans="17:23" ht="15.6">
      <c r="Q284" s="9"/>
      <c r="R284" s="9"/>
      <c r="S284" s="9"/>
      <c r="T284" s="5"/>
      <c r="U284" s="5"/>
      <c r="V284" s="5"/>
      <c r="W284" s="5"/>
    </row>
    <row r="285" spans="17:23" ht="15.6">
      <c r="Q285" s="5"/>
      <c r="R285" s="9"/>
      <c r="S285" s="5"/>
      <c r="T285" s="5"/>
      <c r="U285" s="5"/>
      <c r="V285" s="5"/>
      <c r="W285" s="5"/>
    </row>
    <row r="286" spans="17:23" ht="15.6">
      <c r="Q286" s="5"/>
      <c r="R286" s="9"/>
      <c r="S286" s="5"/>
      <c r="T286" s="5"/>
      <c r="U286" s="5"/>
      <c r="V286" s="5"/>
      <c r="W286" s="5"/>
    </row>
    <row r="287" spans="17:23" ht="15.6">
      <c r="Q287" s="9"/>
      <c r="R287" s="9"/>
      <c r="S287" s="5"/>
      <c r="T287" s="5"/>
      <c r="U287" s="5"/>
      <c r="V287" s="5"/>
      <c r="W287" s="5"/>
    </row>
    <row r="288" spans="17:23" ht="15.6">
      <c r="Q288" s="9"/>
      <c r="R288" s="9"/>
      <c r="S288" s="96"/>
      <c r="T288" s="5"/>
      <c r="U288" s="5"/>
      <c r="V288" s="5"/>
      <c r="W288" s="5"/>
    </row>
    <row r="289" spans="17:23" ht="15.6">
      <c r="Q289" s="5"/>
      <c r="R289" s="5"/>
      <c r="S289" s="5"/>
      <c r="T289" s="5"/>
      <c r="U289" s="5"/>
      <c r="V289" s="5"/>
      <c r="W289" s="5"/>
    </row>
    <row r="290" spans="17:23" ht="15.6">
      <c r="Q290" s="9"/>
      <c r="R290" s="9"/>
      <c r="S290" s="9"/>
      <c r="T290" s="9"/>
      <c r="U290" s="9"/>
      <c r="V290" s="9"/>
      <c r="W290" s="9"/>
    </row>
    <row r="291" spans="17:23" ht="15.6">
      <c r="Q291" s="9"/>
      <c r="R291" s="9"/>
      <c r="S291" s="9"/>
      <c r="T291" s="5"/>
      <c r="U291" s="5"/>
      <c r="V291" s="5"/>
      <c r="W291" s="5"/>
    </row>
    <row r="293" spans="17:23" ht="15.6">
      <c r="Q293" s="5"/>
      <c r="R293" s="5"/>
      <c r="S293" s="5"/>
      <c r="T293" s="5"/>
      <c r="U293" s="5"/>
    </row>
    <row r="294" spans="17:23" ht="15.6">
      <c r="Q294" s="5"/>
      <c r="R294" s="9"/>
      <c r="S294" s="5"/>
      <c r="T294" s="5"/>
      <c r="U294" s="5"/>
    </row>
    <row r="295" spans="17:23" ht="15.6">
      <c r="Q295" s="9"/>
      <c r="R295" s="5"/>
      <c r="S295" s="9"/>
      <c r="T295" s="5"/>
      <c r="U295" s="5"/>
    </row>
    <row r="296" spans="17:23" ht="15.6">
      <c r="Q296" s="5"/>
      <c r="R296" s="5"/>
      <c r="S296" s="5"/>
      <c r="T296" s="5"/>
      <c r="U296" s="5"/>
    </row>
    <row r="297" spans="17:23" ht="15.6">
      <c r="Q297" s="5"/>
      <c r="R297" s="9"/>
      <c r="S297" s="5"/>
      <c r="T297" s="5"/>
      <c r="U297" s="64"/>
    </row>
    <row r="298" spans="17:23" ht="15.6">
      <c r="Q298" s="9"/>
      <c r="R298" s="9"/>
      <c r="S298" s="5"/>
      <c r="T298" s="5"/>
      <c r="U298" s="5"/>
    </row>
    <row r="299" spans="17:23" ht="15.6">
      <c r="Q299" s="9"/>
      <c r="R299" s="9"/>
      <c r="S299" s="129"/>
      <c r="T299" s="5"/>
      <c r="U299" s="5"/>
    </row>
    <row r="300" spans="17:23" ht="15.6">
      <c r="Q300" s="5"/>
      <c r="R300" s="9"/>
      <c r="S300" s="5"/>
      <c r="T300" s="5"/>
      <c r="U300" s="5"/>
    </row>
    <row r="301" spans="17:23" ht="15.6">
      <c r="Q301" s="5"/>
      <c r="R301" s="9"/>
      <c r="S301" s="5"/>
      <c r="T301" s="5"/>
      <c r="U301" s="5"/>
    </row>
    <row r="302" spans="17:23" ht="15.6">
      <c r="Q302" s="5"/>
      <c r="R302" s="9"/>
      <c r="S302" s="5"/>
      <c r="T302" s="5"/>
      <c r="U302" s="5"/>
    </row>
    <row r="303" spans="17:23" ht="15.6">
      <c r="Q303" s="9"/>
      <c r="R303" s="9"/>
      <c r="S303" s="9"/>
      <c r="T303" s="5"/>
      <c r="U303" s="5"/>
    </row>
    <row r="304" spans="17:23" ht="15.6">
      <c r="Q304" s="5"/>
      <c r="R304" s="9"/>
      <c r="S304" s="5"/>
      <c r="T304" s="5"/>
      <c r="U304" s="5"/>
    </row>
    <row r="305" spans="17:21" ht="15.6">
      <c r="Q305" s="9"/>
      <c r="R305" s="9"/>
      <c r="S305" s="5"/>
      <c r="T305" s="5"/>
      <c r="U305" s="5"/>
    </row>
    <row r="306" spans="17:21" ht="15.6">
      <c r="Q306" s="9"/>
      <c r="R306" s="9"/>
      <c r="S306" s="129"/>
      <c r="T306" s="5"/>
      <c r="U306" s="5"/>
    </row>
    <row r="307" spans="17:21" ht="15.6">
      <c r="Q307" s="5"/>
      <c r="R307" s="9"/>
      <c r="S307" s="5"/>
      <c r="T307" s="5"/>
      <c r="U307" s="5"/>
    </row>
    <row r="308" spans="17:21" ht="15.6">
      <c r="Q308" s="5"/>
      <c r="R308" s="9"/>
      <c r="S308" s="5"/>
      <c r="T308" s="5"/>
      <c r="U308" s="5"/>
    </row>
    <row r="309" spans="17:21" ht="15.6">
      <c r="Q309" s="5"/>
      <c r="R309" s="9"/>
      <c r="S309" s="5"/>
      <c r="T309" s="5"/>
      <c r="U309" s="5"/>
    </row>
    <row r="310" spans="17:21" ht="15.6">
      <c r="Q310" s="115"/>
      <c r="R310" s="9"/>
      <c r="S310" s="115"/>
      <c r="T310" s="5"/>
      <c r="U310" s="5"/>
    </row>
    <row r="311" spans="17:21" ht="15.6">
      <c r="Q311" s="5"/>
      <c r="R311" s="9"/>
      <c r="S311" s="5"/>
      <c r="T311" s="5"/>
      <c r="U311" s="5"/>
    </row>
    <row r="312" spans="17:21" ht="15.6">
      <c r="Q312" s="9"/>
      <c r="R312" s="9"/>
      <c r="S312" s="5"/>
      <c r="T312" s="5"/>
      <c r="U312" s="5"/>
    </row>
    <row r="313" spans="17:21" ht="15.6">
      <c r="Q313" s="9"/>
      <c r="R313" s="9"/>
      <c r="S313" s="129"/>
      <c r="T313" s="5"/>
      <c r="U313" s="5"/>
    </row>
    <row r="314" spans="17:21" ht="15.6">
      <c r="Q314" s="5"/>
      <c r="R314" s="9"/>
      <c r="S314" s="5"/>
      <c r="T314" s="5"/>
      <c r="U314" s="5"/>
    </row>
    <row r="315" spans="17:21" ht="15.6">
      <c r="Q315" s="5"/>
      <c r="R315" s="9"/>
      <c r="S315" s="5"/>
      <c r="T315" s="5"/>
      <c r="U315" s="5"/>
    </row>
    <row r="316" spans="17:21" ht="15.6">
      <c r="Q316" s="5"/>
      <c r="R316" s="9"/>
      <c r="S316" s="5"/>
      <c r="T316" s="5"/>
      <c r="U316" s="5"/>
    </row>
    <row r="317" spans="17:21" ht="15.6">
      <c r="Q317" s="115"/>
      <c r="R317" s="9"/>
      <c r="S317" s="115"/>
      <c r="T317" s="5"/>
      <c r="U317" s="5"/>
    </row>
    <row r="318" spans="17:21" ht="15.6">
      <c r="Q318" s="5"/>
      <c r="R318" s="9"/>
      <c r="S318" s="5"/>
      <c r="T318" s="5"/>
      <c r="U318" s="5"/>
    </row>
    <row r="319" spans="17:21" ht="15.6">
      <c r="Q319" s="9"/>
      <c r="R319" s="9"/>
      <c r="S319" s="5"/>
      <c r="T319" s="5"/>
      <c r="U319" s="5"/>
    </row>
    <row r="320" spans="17:21" ht="15.6">
      <c r="Q320" s="9"/>
      <c r="R320" s="9"/>
      <c r="S320" s="129"/>
      <c r="T320" s="5"/>
      <c r="U320" s="5"/>
    </row>
    <row r="321" spans="17:21" ht="15.6">
      <c r="Q321" s="5"/>
      <c r="R321" s="9"/>
      <c r="S321" s="5"/>
      <c r="T321" s="5"/>
      <c r="U321" s="5"/>
    </row>
    <row r="322" spans="17:21" ht="15.6">
      <c r="Q322" s="5"/>
      <c r="R322" s="9"/>
      <c r="S322" s="5"/>
      <c r="T322" s="5"/>
      <c r="U322" s="5"/>
    </row>
    <row r="323" spans="17:21" ht="15.6">
      <c r="Q323" s="5"/>
      <c r="R323" s="9"/>
      <c r="S323" s="5"/>
      <c r="T323" s="5"/>
      <c r="U323" s="5"/>
    </row>
    <row r="324" spans="17:21" ht="15.6">
      <c r="Q324" s="115"/>
      <c r="R324" s="9"/>
      <c r="S324" s="115"/>
      <c r="T324" s="5"/>
      <c r="U324" s="5"/>
    </row>
    <row r="325" spans="17:21" ht="15.6">
      <c r="Q325" s="5"/>
      <c r="R325" s="9"/>
      <c r="S325" s="5"/>
      <c r="T325" s="5"/>
      <c r="U325" s="5"/>
    </row>
    <row r="326" spans="17:21" ht="15.6">
      <c r="Q326" s="9"/>
      <c r="R326" s="9"/>
      <c r="S326" s="5"/>
      <c r="T326" s="5"/>
      <c r="U326" s="5"/>
    </row>
    <row r="327" spans="17:21" ht="15.6">
      <c r="Q327" s="9"/>
      <c r="R327" s="9"/>
      <c r="S327" s="129"/>
      <c r="T327" s="5"/>
      <c r="U327" s="5"/>
    </row>
  </sheetData>
  <mergeCells count="41">
    <mergeCell ref="S150:W150"/>
    <mergeCell ref="S158:W158"/>
    <mergeCell ref="S172:W172"/>
    <mergeCell ref="S180:W180"/>
    <mergeCell ref="S59:V59"/>
    <mergeCell ref="S106:W106"/>
    <mergeCell ref="S114:W114"/>
    <mergeCell ref="S128:V128"/>
    <mergeCell ref="S136:W136"/>
    <mergeCell ref="S95:V95"/>
    <mergeCell ref="S87:V87"/>
    <mergeCell ref="S80:V80"/>
    <mergeCell ref="S73:V73"/>
    <mergeCell ref="S66:V66"/>
    <mergeCell ref="T51:U51"/>
    <mergeCell ref="V51:W51"/>
    <mergeCell ref="C22:D22"/>
    <mergeCell ref="C23:D23"/>
    <mergeCell ref="R38:S38"/>
    <mergeCell ref="Q39:Q40"/>
    <mergeCell ref="R39:S39"/>
    <mergeCell ref="T39:U39"/>
    <mergeCell ref="V39:W39"/>
    <mergeCell ref="C24:D24"/>
    <mergeCell ref="L24:M24"/>
    <mergeCell ref="C21:D21"/>
    <mergeCell ref="L21:M21"/>
    <mergeCell ref="L22:M22"/>
    <mergeCell ref="L23:M23"/>
    <mergeCell ref="R51:S51"/>
    <mergeCell ref="C6:E6"/>
    <mergeCell ref="L6:N6"/>
    <mergeCell ref="C13:E13"/>
    <mergeCell ref="L13:N13"/>
    <mergeCell ref="C20:D20"/>
    <mergeCell ref="L20:M20"/>
    <mergeCell ref="T3:V3"/>
    <mergeCell ref="C4:D4"/>
    <mergeCell ref="L4:M4"/>
    <mergeCell ref="C5:D5"/>
    <mergeCell ref="L5:M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2:AE241"/>
  <sheetViews>
    <sheetView topLeftCell="A30" zoomScaleNormal="100" workbookViewId="0">
      <selection activeCell="AF40" sqref="AF40"/>
    </sheetView>
  </sheetViews>
  <sheetFormatPr defaultColWidth="12.6640625" defaultRowHeight="15.75" customHeight="1"/>
  <cols>
    <col min="3" max="3" width="20.44140625" customWidth="1"/>
    <col min="5" max="5" width="16.33203125" customWidth="1"/>
    <col min="6" max="6" width="15.109375" customWidth="1"/>
    <col min="7" max="7" width="15.77734375" bestFit="1" customWidth="1"/>
    <col min="11" max="11" width="16.44140625" customWidth="1"/>
    <col min="12" max="12" width="13.5546875" bestFit="1" customWidth="1"/>
    <col min="13" max="13" width="14.77734375" customWidth="1"/>
    <col min="16" max="16" width="18.33203125" customWidth="1"/>
    <col min="17" max="17" width="27.88671875" customWidth="1"/>
    <col min="19" max="19" width="35.5546875" customWidth="1"/>
    <col min="20" max="20" width="26" customWidth="1"/>
    <col min="21" max="21" width="26.6640625" customWidth="1"/>
    <col min="22" max="22" width="26.109375" customWidth="1"/>
    <col min="23" max="23" width="30.77734375" customWidth="1"/>
    <col min="24" max="24" width="17.21875" customWidth="1"/>
    <col min="25" max="25" width="18.33203125" customWidth="1"/>
  </cols>
  <sheetData>
    <row r="2" spans="10:27" ht="15.75" customHeight="1">
      <c r="J2" s="401" t="s">
        <v>79</v>
      </c>
      <c r="K2" s="402"/>
      <c r="L2" s="33">
        <f>L5*Q5</f>
        <v>4393.2102446846047</v>
      </c>
    </row>
    <row r="3" spans="10:27" ht="15.75" customHeight="1">
      <c r="J3" s="401" t="s">
        <v>80</v>
      </c>
      <c r="K3" s="402"/>
      <c r="L3" s="33">
        <f>SUM(L5:L10)</f>
        <v>257.95374579793349</v>
      </c>
    </row>
    <row r="4" spans="10:27" ht="15.75" customHeight="1">
      <c r="J4" s="401" t="s">
        <v>66</v>
      </c>
      <c r="K4" s="403"/>
      <c r="L4" s="402"/>
      <c r="P4" s="15" t="s">
        <v>6</v>
      </c>
      <c r="Q4" s="15" t="s">
        <v>7</v>
      </c>
      <c r="R4" s="5"/>
      <c r="S4" s="449" t="s">
        <v>307</v>
      </c>
      <c r="T4" s="391"/>
      <c r="U4" s="389"/>
      <c r="V4" s="5"/>
      <c r="W4" s="5"/>
      <c r="X4" s="5"/>
      <c r="Y4" s="5"/>
      <c r="Z4" s="5"/>
      <c r="AA4" s="5"/>
    </row>
    <row r="5" spans="10:27" ht="15.75" customHeight="1">
      <c r="J5" s="34" t="s">
        <v>67</v>
      </c>
      <c r="K5" s="40" t="s">
        <v>373</v>
      </c>
      <c r="L5" s="36">
        <f>U13</f>
        <v>257.95374579793349</v>
      </c>
      <c r="P5" s="19" t="s">
        <v>30</v>
      </c>
      <c r="Q5" s="20">
        <f>17.031</f>
        <v>17.030999999999999</v>
      </c>
      <c r="R5" s="5"/>
      <c r="S5" s="82" t="s">
        <v>201</v>
      </c>
      <c r="T5" s="85">
        <v>5</v>
      </c>
      <c r="U5" s="81" t="s">
        <v>372</v>
      </c>
      <c r="V5" s="5"/>
      <c r="W5" s="5"/>
      <c r="X5" s="5"/>
      <c r="Y5" s="5"/>
      <c r="Z5" s="5"/>
      <c r="AA5" s="5"/>
    </row>
    <row r="6" spans="10:27" ht="15.75" customHeight="1">
      <c r="J6" s="34" t="s">
        <v>68</v>
      </c>
      <c r="K6" s="37"/>
      <c r="L6" s="35"/>
      <c r="P6" s="19" t="s">
        <v>48</v>
      </c>
      <c r="Q6" s="20">
        <v>44.052999999999997</v>
      </c>
      <c r="R6" s="5"/>
      <c r="S6" s="123" t="s">
        <v>309</v>
      </c>
      <c r="T6" s="124">
        <v>-5</v>
      </c>
      <c r="U6" s="81" t="s">
        <v>310</v>
      </c>
      <c r="V6" s="5"/>
      <c r="W6" s="5"/>
      <c r="X6" s="5"/>
      <c r="Y6" s="5"/>
      <c r="Z6" s="5"/>
      <c r="AA6" s="5"/>
    </row>
    <row r="7" spans="10:27" ht="15.75" customHeight="1">
      <c r="J7" s="34" t="s">
        <v>69</v>
      </c>
      <c r="K7" s="35"/>
      <c r="L7" s="35"/>
      <c r="P7" s="19" t="s">
        <v>59</v>
      </c>
      <c r="Q7" s="20">
        <v>61.082999999999998</v>
      </c>
      <c r="R7" s="5"/>
      <c r="S7" s="82" t="s">
        <v>209</v>
      </c>
      <c r="T7" s="85">
        <v>0</v>
      </c>
      <c r="U7" s="81" t="s">
        <v>311</v>
      </c>
      <c r="V7" s="5"/>
      <c r="W7" s="5"/>
      <c r="X7" s="5"/>
      <c r="Y7" s="5"/>
      <c r="Z7" s="5"/>
      <c r="AA7" s="5"/>
    </row>
    <row r="8" spans="10:27" ht="15.75" customHeight="1">
      <c r="J8" s="34" t="s">
        <v>70</v>
      </c>
      <c r="K8" s="35"/>
      <c r="L8" s="35"/>
      <c r="P8" s="19" t="s">
        <v>61</v>
      </c>
      <c r="Q8" s="20">
        <v>105.136</v>
      </c>
      <c r="R8" s="5"/>
      <c r="S8" s="125"/>
      <c r="T8" s="126">
        <f>SUM(T5:T7)</f>
        <v>0</v>
      </c>
      <c r="U8" s="125" t="s">
        <v>214</v>
      </c>
      <c r="V8" s="5"/>
      <c r="W8" s="5"/>
      <c r="X8" s="5"/>
      <c r="Y8" s="5"/>
      <c r="Z8" s="5"/>
      <c r="AA8" s="5"/>
    </row>
    <row r="9" spans="10:27" ht="15.75" customHeight="1">
      <c r="J9" s="34" t="s">
        <v>71</v>
      </c>
      <c r="K9" s="35"/>
      <c r="L9" s="35"/>
      <c r="P9" s="19" t="s">
        <v>63</v>
      </c>
      <c r="Q9" s="20">
        <v>149.18799999999999</v>
      </c>
      <c r="R9" s="5"/>
      <c r="S9" s="5"/>
      <c r="T9" s="5"/>
      <c r="U9" s="5"/>
      <c r="V9" s="5"/>
      <c r="W9" s="5"/>
      <c r="X9" s="5"/>
      <c r="Y9" s="5"/>
      <c r="Z9" s="5"/>
      <c r="AA9" s="5"/>
    </row>
    <row r="10" spans="10:27" ht="15.75" customHeight="1">
      <c r="J10" s="34" t="s">
        <v>72</v>
      </c>
      <c r="K10" s="35"/>
      <c r="L10" s="35"/>
      <c r="P10" s="19" t="s">
        <v>65</v>
      </c>
      <c r="Q10" s="24">
        <v>62.07</v>
      </c>
      <c r="R10" s="5"/>
      <c r="S10" s="11" t="s">
        <v>243</v>
      </c>
      <c r="T10" s="5"/>
      <c r="U10" s="5"/>
      <c r="V10" s="5"/>
      <c r="W10" s="5"/>
      <c r="X10" s="5"/>
      <c r="Y10" s="5"/>
      <c r="Z10" s="5"/>
      <c r="AA10" s="5"/>
    </row>
    <row r="11" spans="10:27" ht="15.75" customHeight="1">
      <c r="J11" s="408" t="s">
        <v>85</v>
      </c>
      <c r="K11" s="409"/>
      <c r="L11" s="410"/>
      <c r="R11" s="5"/>
      <c r="S11" s="95" t="s">
        <v>312</v>
      </c>
      <c r="T11" s="117" t="s">
        <v>135</v>
      </c>
      <c r="U11" s="95" t="s">
        <v>373</v>
      </c>
      <c r="W11" s="5"/>
      <c r="X11" s="5"/>
      <c r="Y11" s="5"/>
      <c r="Z11" s="5"/>
      <c r="AA11" s="5"/>
    </row>
    <row r="12" spans="10:27" ht="15.75" customHeight="1">
      <c r="J12" s="34" t="s">
        <v>67</v>
      </c>
      <c r="K12" s="35"/>
      <c r="L12" s="130">
        <f>L5/$L$3</f>
        <v>1</v>
      </c>
      <c r="R12" s="5"/>
      <c r="S12" s="96">
        <f>E22</f>
        <v>257.95374579793349</v>
      </c>
      <c r="T12" s="117" t="s">
        <v>135</v>
      </c>
      <c r="U12" s="95" t="s">
        <v>373</v>
      </c>
      <c r="V12" s="5"/>
      <c r="W12" s="5"/>
      <c r="X12" s="5"/>
      <c r="Y12" s="5"/>
      <c r="Z12" s="5"/>
      <c r="AA12" s="5"/>
    </row>
    <row r="13" spans="10:27" ht="15.75" customHeight="1">
      <c r="J13" s="34" t="s">
        <v>68</v>
      </c>
      <c r="K13" s="35"/>
      <c r="L13" s="35"/>
      <c r="S13" s="95" t="s">
        <v>373</v>
      </c>
      <c r="T13" s="117" t="s">
        <v>135</v>
      </c>
      <c r="U13" s="96">
        <f>S12</f>
        <v>257.95374579793349</v>
      </c>
      <c r="V13" s="5" t="s">
        <v>317</v>
      </c>
    </row>
    <row r="14" spans="10:27" ht="15.75" customHeight="1">
      <c r="J14" s="34" t="s">
        <v>69</v>
      </c>
      <c r="K14" s="35"/>
      <c r="L14" s="35"/>
    </row>
    <row r="15" spans="10:27" ht="15.75" customHeight="1">
      <c r="J15" s="34" t="s">
        <v>70</v>
      </c>
      <c r="K15" s="35"/>
      <c r="L15" s="35"/>
      <c r="S15" s="11" t="s">
        <v>318</v>
      </c>
      <c r="T15" s="5"/>
      <c r="U15" s="5"/>
      <c r="V15" s="5"/>
    </row>
    <row r="16" spans="10:27" ht="15.75" customHeight="1">
      <c r="J16" s="34" t="s">
        <v>71</v>
      </c>
      <c r="K16" s="35"/>
      <c r="L16" s="35"/>
      <c r="S16" s="95" t="s">
        <v>313</v>
      </c>
      <c r="T16" s="117" t="s">
        <v>135</v>
      </c>
      <c r="U16" s="95" t="s">
        <v>374</v>
      </c>
    </row>
    <row r="17" spans="3:22" ht="15.75" customHeight="1">
      <c r="J17" s="34" t="s">
        <v>72</v>
      </c>
      <c r="K17" s="35"/>
      <c r="L17" s="35"/>
      <c r="S17" s="96">
        <f>E23</f>
        <v>68.071127363343578</v>
      </c>
      <c r="T17" s="117" t="s">
        <v>135</v>
      </c>
      <c r="U17" s="95" t="s">
        <v>374</v>
      </c>
      <c r="V17" s="5"/>
    </row>
    <row r="18" spans="3:22" ht="15.75" customHeight="1">
      <c r="J18" s="406" t="s">
        <v>99</v>
      </c>
      <c r="K18" s="411"/>
      <c r="L18" s="50">
        <v>1</v>
      </c>
      <c r="S18" s="95" t="s">
        <v>374</v>
      </c>
      <c r="T18" s="117" t="s">
        <v>135</v>
      </c>
      <c r="U18" s="96">
        <f>S17</f>
        <v>68.071127363343578</v>
      </c>
      <c r="V18" s="5" t="s">
        <v>319</v>
      </c>
    </row>
    <row r="19" spans="3:22" ht="15.75" customHeight="1">
      <c r="C19" s="407" t="s">
        <v>79</v>
      </c>
      <c r="D19" s="389"/>
      <c r="E19" s="33">
        <f>E22*Q5+E23*Q6+E24*Q7+E25*Q8+E26*Q9</f>
        <v>19948.089818118537</v>
      </c>
      <c r="J19" s="396" t="s">
        <v>92</v>
      </c>
      <c r="K19" s="399"/>
      <c r="L19" s="48">
        <f>SUM(L12:L17)</f>
        <v>1</v>
      </c>
      <c r="S19" s="5"/>
      <c r="T19" s="5"/>
      <c r="U19" s="5"/>
      <c r="V19" s="5"/>
    </row>
    <row r="20" spans="3:22" ht="15.75" customHeight="1">
      <c r="C20" s="407" t="s">
        <v>80</v>
      </c>
      <c r="D20" s="389"/>
      <c r="E20" s="33">
        <f>SUM(E22:E27)</f>
        <v>497.9940370265661</v>
      </c>
      <c r="J20" s="396" t="s">
        <v>75</v>
      </c>
      <c r="K20" s="399"/>
      <c r="L20" s="40">
        <v>10</v>
      </c>
      <c r="S20" s="11" t="s">
        <v>237</v>
      </c>
      <c r="T20" s="5"/>
      <c r="U20" s="5"/>
      <c r="V20" s="5"/>
    </row>
    <row r="21" spans="3:22" ht="15.75" customHeight="1">
      <c r="C21" s="401" t="s">
        <v>66</v>
      </c>
      <c r="D21" s="391"/>
      <c r="E21" s="389"/>
      <c r="J21" s="396" t="s">
        <v>76</v>
      </c>
      <c r="K21" s="389"/>
      <c r="L21" s="40">
        <v>1</v>
      </c>
      <c r="S21" s="95" t="s">
        <v>314</v>
      </c>
      <c r="U21" s="95" t="s">
        <v>375</v>
      </c>
    </row>
    <row r="22" spans="3:22" ht="15.75" customHeight="1">
      <c r="C22" s="34" t="s">
        <v>67</v>
      </c>
      <c r="D22" s="40" t="s">
        <v>312</v>
      </c>
      <c r="E22" s="36">
        <f>'Cooler 1'!N7</f>
        <v>257.95374579793349</v>
      </c>
      <c r="J22" s="400" t="s">
        <v>548</v>
      </c>
      <c r="K22" s="400"/>
      <c r="L22" s="216">
        <f>V56</f>
        <v>-138511.69863363699</v>
      </c>
      <c r="S22" s="96">
        <f>E24</f>
        <v>143.30763655440751</v>
      </c>
      <c r="T22" s="117" t="s">
        <v>135</v>
      </c>
      <c r="U22" s="95" t="s">
        <v>375</v>
      </c>
      <c r="V22" s="5"/>
    </row>
    <row r="23" spans="3:22" ht="15.75" customHeight="1">
      <c r="C23" s="34" t="s">
        <v>68</v>
      </c>
      <c r="D23" s="40" t="s">
        <v>313</v>
      </c>
      <c r="E23" s="36">
        <f>'Cooler 1'!N8</f>
        <v>68.071127363343578</v>
      </c>
      <c r="S23" s="95" t="s">
        <v>375</v>
      </c>
      <c r="T23" s="117" t="s">
        <v>135</v>
      </c>
      <c r="U23" s="96">
        <f>S22</f>
        <v>143.30763655440751</v>
      </c>
      <c r="V23" s="5" t="s">
        <v>320</v>
      </c>
    </row>
    <row r="24" spans="3:22" ht="15.75" customHeight="1">
      <c r="C24" s="34" t="s">
        <v>69</v>
      </c>
      <c r="D24" s="40" t="s">
        <v>314</v>
      </c>
      <c r="E24" s="36">
        <f>'Cooler 1'!N9</f>
        <v>143.30763655440751</v>
      </c>
      <c r="N24" s="32" t="s">
        <v>77</v>
      </c>
      <c r="S24" s="5"/>
      <c r="T24" s="5"/>
      <c r="U24" s="5"/>
      <c r="V24" s="5"/>
    </row>
    <row r="25" spans="3:22" ht="15.75" customHeight="1">
      <c r="C25" s="34" t="s">
        <v>70</v>
      </c>
      <c r="D25" s="40" t="s">
        <v>315</v>
      </c>
      <c r="E25" s="36">
        <f>'Cooler 1'!N10</f>
        <v>10.748072741580565</v>
      </c>
      <c r="S25" s="11" t="s">
        <v>321</v>
      </c>
      <c r="T25" s="5"/>
      <c r="U25" s="5"/>
      <c r="V25" s="5"/>
    </row>
    <row r="26" spans="3:22" ht="15.75" customHeight="1">
      <c r="C26" s="34" t="s">
        <v>71</v>
      </c>
      <c r="D26" s="40" t="s">
        <v>316</v>
      </c>
      <c r="E26" s="36">
        <f>'Cooler 1'!N11</f>
        <v>17.913454569300939</v>
      </c>
      <c r="S26" s="95" t="s">
        <v>315</v>
      </c>
      <c r="T26" s="117" t="s">
        <v>135</v>
      </c>
    </row>
    <row r="27" spans="3:22" ht="15.6">
      <c r="C27" s="34" t="s">
        <v>72</v>
      </c>
      <c r="D27" s="35"/>
      <c r="E27" s="35"/>
      <c r="S27" s="96">
        <f>E25</f>
        <v>10.748072741580565</v>
      </c>
      <c r="T27" s="117" t="s">
        <v>135</v>
      </c>
      <c r="U27" s="95" t="s">
        <v>376</v>
      </c>
      <c r="V27" s="5"/>
    </row>
    <row r="28" spans="3:22" ht="15.6">
      <c r="C28" s="404" t="s">
        <v>85</v>
      </c>
      <c r="D28" s="405"/>
      <c r="E28" s="398"/>
      <c r="S28" s="95" t="s">
        <v>376</v>
      </c>
      <c r="T28" s="117" t="s">
        <v>135</v>
      </c>
      <c r="U28" s="96">
        <f>S27</f>
        <v>10.748072741580565</v>
      </c>
      <c r="V28" s="5" t="s">
        <v>322</v>
      </c>
    </row>
    <row r="29" spans="3:22" ht="15.6">
      <c r="C29" s="34" t="s">
        <v>67</v>
      </c>
      <c r="D29" s="35"/>
      <c r="E29" s="54">
        <f t="shared" ref="E29:E33" si="0">E22/$E$20</f>
        <v>0.51798561151079126</v>
      </c>
      <c r="P29" s="95"/>
      <c r="S29" s="5"/>
      <c r="T29" s="5"/>
      <c r="U29" s="5"/>
      <c r="V29" s="5"/>
    </row>
    <row r="30" spans="3:22" ht="15.6">
      <c r="C30" s="34" t="s">
        <v>68</v>
      </c>
      <c r="D30" s="35"/>
      <c r="E30" s="54">
        <f t="shared" si="0"/>
        <v>0.1366906474820144</v>
      </c>
      <c r="S30" s="11" t="s">
        <v>323</v>
      </c>
      <c r="T30" s="5"/>
      <c r="U30" s="5"/>
      <c r="V30" s="5"/>
    </row>
    <row r="31" spans="3:22" ht="15.6">
      <c r="C31" s="34" t="s">
        <v>69</v>
      </c>
      <c r="D31" s="35"/>
      <c r="E31" s="54">
        <f t="shared" si="0"/>
        <v>0.28776978417266186</v>
      </c>
      <c r="S31" s="95" t="s">
        <v>316</v>
      </c>
      <c r="T31" s="117" t="s">
        <v>135</v>
      </c>
      <c r="U31" s="95" t="s">
        <v>377</v>
      </c>
    </row>
    <row r="32" spans="3:22" ht="15.6">
      <c r="C32" s="34" t="s">
        <v>70</v>
      </c>
      <c r="D32" s="35"/>
      <c r="E32" s="54">
        <f t="shared" si="0"/>
        <v>2.1582733812949641E-2</v>
      </c>
      <c r="S32" s="96">
        <f>E26</f>
        <v>17.913454569300939</v>
      </c>
      <c r="T32" s="117" t="s">
        <v>135</v>
      </c>
      <c r="U32" s="95" t="s">
        <v>377</v>
      </c>
      <c r="V32" s="5"/>
    </row>
    <row r="33" spans="2:25" ht="15.6">
      <c r="C33" s="34" t="s">
        <v>71</v>
      </c>
      <c r="D33" s="35"/>
      <c r="E33" s="54">
        <f t="shared" si="0"/>
        <v>3.5971223021582732E-2</v>
      </c>
      <c r="S33" s="95" t="s">
        <v>377</v>
      </c>
      <c r="T33" s="117" t="s">
        <v>135</v>
      </c>
      <c r="U33" s="96">
        <f>S32</f>
        <v>17.913454569300939</v>
      </c>
      <c r="V33" s="5" t="s">
        <v>324</v>
      </c>
    </row>
    <row r="34" spans="2:25" ht="15.6">
      <c r="C34" s="34" t="s">
        <v>72</v>
      </c>
      <c r="D34" s="35"/>
      <c r="E34" s="35"/>
      <c r="S34" s="5"/>
      <c r="T34" s="5"/>
      <c r="U34" s="5"/>
      <c r="V34" s="5"/>
    </row>
    <row r="35" spans="2:25" ht="15.6">
      <c r="C35" s="406" t="s">
        <v>99</v>
      </c>
      <c r="D35" s="389"/>
      <c r="E35" s="164">
        <f>E29</f>
        <v>0.51798561151079126</v>
      </c>
      <c r="R35" s="5"/>
      <c r="S35" s="11" t="s">
        <v>256</v>
      </c>
      <c r="T35" s="5"/>
      <c r="U35" s="5"/>
      <c r="V35" s="5"/>
      <c r="W35" s="5"/>
      <c r="X35" s="5"/>
      <c r="Y35" s="5"/>
    </row>
    <row r="36" spans="2:25" ht="15.6">
      <c r="C36" s="397" t="s">
        <v>92</v>
      </c>
      <c r="D36" s="398"/>
      <c r="E36" s="48">
        <f>SUM(E29:E34)</f>
        <v>0.99999999999999989</v>
      </c>
      <c r="R36" s="5"/>
      <c r="S36" s="107" t="s">
        <v>257</v>
      </c>
      <c r="T36" s="5"/>
      <c r="U36" s="5"/>
      <c r="V36" s="5"/>
      <c r="W36" s="5"/>
      <c r="X36" s="5"/>
      <c r="Y36" s="5"/>
    </row>
    <row r="37" spans="2:25" ht="15.6">
      <c r="C37" s="397" t="s">
        <v>75</v>
      </c>
      <c r="D37" s="398"/>
      <c r="E37" s="40">
        <v>10</v>
      </c>
      <c r="O37" s="32"/>
      <c r="R37" s="5"/>
      <c r="S37" s="5"/>
      <c r="T37" s="5"/>
      <c r="U37" s="5"/>
      <c r="V37" s="5"/>
      <c r="W37" s="5"/>
      <c r="X37" s="5"/>
      <c r="Y37" s="5"/>
    </row>
    <row r="38" spans="2:25" ht="15.6">
      <c r="B38" s="32" t="s">
        <v>84</v>
      </c>
      <c r="C38" s="396" t="s">
        <v>76</v>
      </c>
      <c r="D38" s="389"/>
      <c r="E38" s="40">
        <v>1</v>
      </c>
      <c r="R38" s="5"/>
      <c r="S38" s="108" t="s">
        <v>258</v>
      </c>
      <c r="T38" s="5"/>
      <c r="U38" s="5"/>
      <c r="V38" s="5"/>
      <c r="W38" s="5"/>
      <c r="X38" s="5"/>
      <c r="Y38" s="5"/>
    </row>
    <row r="39" spans="2:25" ht="15.6">
      <c r="C39" s="400" t="s">
        <v>548</v>
      </c>
      <c r="D39" s="400"/>
      <c r="E39" s="216">
        <f>T56</f>
        <v>-15092870.994543552</v>
      </c>
      <c r="R39" s="5"/>
      <c r="S39" s="109">
        <v>1</v>
      </c>
      <c r="T39" s="5" t="s">
        <v>259</v>
      </c>
      <c r="U39" s="5"/>
      <c r="V39" s="5"/>
      <c r="W39" s="5"/>
      <c r="X39" s="5"/>
      <c r="Y39" s="5"/>
    </row>
    <row r="40" spans="2:25" ht="15.6">
      <c r="R40" s="5"/>
      <c r="S40" s="109">
        <v>2</v>
      </c>
      <c r="T40" s="5" t="s">
        <v>260</v>
      </c>
      <c r="U40" s="5"/>
      <c r="V40" s="5"/>
      <c r="W40" s="5"/>
      <c r="X40" s="5"/>
      <c r="Y40" s="5"/>
    </row>
    <row r="41" spans="2:25" ht="15.6">
      <c r="R41" s="5"/>
      <c r="S41" s="109">
        <v>3</v>
      </c>
      <c r="T41" s="5" t="s">
        <v>261</v>
      </c>
      <c r="U41" s="5"/>
      <c r="V41" s="5"/>
      <c r="W41" s="5"/>
      <c r="X41" s="5"/>
      <c r="Y41" s="5"/>
    </row>
    <row r="42" spans="2:25" ht="15.6">
      <c r="R42" s="5"/>
      <c r="S42" s="5"/>
      <c r="T42" s="5"/>
      <c r="U42" s="5"/>
      <c r="V42" s="5"/>
      <c r="W42" s="153"/>
      <c r="X42" s="5"/>
      <c r="Y42" s="5"/>
    </row>
    <row r="43" spans="2:25" ht="15.6">
      <c r="R43" s="5"/>
      <c r="S43" s="5" t="s">
        <v>262</v>
      </c>
      <c r="T43" s="463" t="s">
        <v>378</v>
      </c>
      <c r="U43" s="445"/>
      <c r="V43" s="64">
        <v>25</v>
      </c>
      <c r="W43" s="5" t="s">
        <v>326</v>
      </c>
      <c r="X43" s="5"/>
      <c r="Y43" s="5"/>
    </row>
    <row r="44" spans="2:25" ht="15.6">
      <c r="R44" s="5"/>
      <c r="S44" s="458" t="s">
        <v>152</v>
      </c>
      <c r="T44" s="456" t="s">
        <v>327</v>
      </c>
      <c r="U44" s="464"/>
      <c r="V44" s="456" t="s">
        <v>379</v>
      </c>
      <c r="W44" s="464"/>
      <c r="X44" s="456" t="s">
        <v>380</v>
      </c>
      <c r="Y44" s="464"/>
    </row>
    <row r="45" spans="2:25" ht="15.6">
      <c r="R45" s="5"/>
      <c r="S45" s="459"/>
      <c r="T45" s="221" t="s">
        <v>267</v>
      </c>
      <c r="U45" s="221" t="s">
        <v>268</v>
      </c>
      <c r="V45" s="221" t="s">
        <v>328</v>
      </c>
      <c r="W45" s="221" t="s">
        <v>329</v>
      </c>
      <c r="X45" s="221" t="s">
        <v>328</v>
      </c>
      <c r="Y45" s="221" t="s">
        <v>329</v>
      </c>
    </row>
    <row r="46" spans="2:25" ht="15.6">
      <c r="R46" s="5"/>
      <c r="S46" s="20" t="s">
        <v>330</v>
      </c>
      <c r="T46" s="33">
        <f t="shared" ref="T46" si="1">E22</f>
        <v>257.95374579793349</v>
      </c>
      <c r="U46" s="110">
        <f>U65</f>
        <v>-536.96331567186962</v>
      </c>
      <c r="V46" s="33">
        <f>L5</f>
        <v>257.95374579793349</v>
      </c>
      <c r="W46" s="110">
        <f>U157</f>
        <v>-536.96331567186962</v>
      </c>
      <c r="X46" s="20" t="s">
        <v>193</v>
      </c>
      <c r="Y46" s="20" t="s">
        <v>193</v>
      </c>
    </row>
    <row r="47" spans="2:25" ht="15.6">
      <c r="R47" s="5"/>
      <c r="S47" s="20" t="s">
        <v>331</v>
      </c>
      <c r="T47" s="20" t="s">
        <v>193</v>
      </c>
      <c r="U47" s="20" t="s">
        <v>193</v>
      </c>
      <c r="V47" s="20" t="s">
        <v>193</v>
      </c>
      <c r="W47" s="20" t="s">
        <v>193</v>
      </c>
      <c r="X47" s="20" t="s">
        <v>193</v>
      </c>
      <c r="Y47" s="20" t="s">
        <v>193</v>
      </c>
    </row>
    <row r="48" spans="2:25" ht="15.6">
      <c r="R48" s="5"/>
      <c r="S48" s="20" t="s">
        <v>273</v>
      </c>
      <c r="T48" s="20" t="s">
        <v>193</v>
      </c>
      <c r="U48" s="20" t="s">
        <v>193</v>
      </c>
      <c r="V48" s="20" t="s">
        <v>193</v>
      </c>
      <c r="W48" s="20" t="s">
        <v>193</v>
      </c>
      <c r="X48" s="20" t="s">
        <v>193</v>
      </c>
      <c r="Y48" s="20" t="s">
        <v>193</v>
      </c>
    </row>
    <row r="49" spans="5:31" ht="15.6">
      <c r="E49" s="412" t="s">
        <v>79</v>
      </c>
      <c r="F49" s="413"/>
      <c r="G49" s="33">
        <f>G53*Q6+G54*Q7+G55*Q8+G56*Q9</f>
        <v>15554.879573433933</v>
      </c>
      <c r="R49" s="5"/>
      <c r="S49" s="20" t="s">
        <v>333</v>
      </c>
      <c r="T49" s="20" t="s">
        <v>193</v>
      </c>
      <c r="U49" s="20" t="s">
        <v>193</v>
      </c>
      <c r="V49" s="20" t="s">
        <v>193</v>
      </c>
      <c r="W49" s="20" t="s">
        <v>193</v>
      </c>
      <c r="X49" s="20" t="s">
        <v>193</v>
      </c>
      <c r="Y49" s="20" t="s">
        <v>193</v>
      </c>
    </row>
    <row r="50" spans="5:31" ht="15.6">
      <c r="E50" s="412" t="s">
        <v>80</v>
      </c>
      <c r="F50" s="413"/>
      <c r="G50" s="33">
        <f>SUM(G52:G57)</f>
        <v>240.04029122863258</v>
      </c>
      <c r="R50" s="5"/>
      <c r="S50" s="20" t="s">
        <v>275</v>
      </c>
      <c r="T50" s="20" t="s">
        <v>193</v>
      </c>
      <c r="U50" s="20" t="s">
        <v>193</v>
      </c>
      <c r="V50" s="20" t="s">
        <v>193</v>
      </c>
      <c r="W50" s="20" t="s">
        <v>193</v>
      </c>
      <c r="X50" s="20" t="s">
        <v>193</v>
      </c>
      <c r="Y50" s="20" t="s">
        <v>193</v>
      </c>
    </row>
    <row r="51" spans="5:31" ht="15.6">
      <c r="E51" s="401" t="s">
        <v>66</v>
      </c>
      <c r="F51" s="403"/>
      <c r="G51" s="402"/>
      <c r="R51" s="5"/>
      <c r="S51" s="20" t="s">
        <v>416</v>
      </c>
      <c r="T51" s="33">
        <f>E23</f>
        <v>68.071127363343578</v>
      </c>
      <c r="U51" s="110">
        <f>U86</f>
        <v>-26456.980500997608</v>
      </c>
      <c r="V51" s="20" t="s">
        <v>193</v>
      </c>
      <c r="W51" s="20" t="s">
        <v>193</v>
      </c>
      <c r="X51" s="33">
        <f>G53</f>
        <v>68.071127363343578</v>
      </c>
      <c r="Y51" s="110">
        <f>U178</f>
        <v>-26456.980500997608</v>
      </c>
    </row>
    <row r="52" spans="5:31" ht="15.6">
      <c r="E52" s="34" t="s">
        <v>67</v>
      </c>
      <c r="F52" s="35"/>
      <c r="G52" s="35"/>
      <c r="R52" s="5"/>
      <c r="S52" s="20" t="s">
        <v>417</v>
      </c>
      <c r="T52" s="33">
        <f>E24</f>
        <v>143.30763655440751</v>
      </c>
      <c r="U52" s="110">
        <f>U107</f>
        <v>-69971.534741111696</v>
      </c>
      <c r="V52" s="20" t="s">
        <v>193</v>
      </c>
      <c r="W52" s="20" t="s">
        <v>193</v>
      </c>
      <c r="X52" s="33">
        <f>G54</f>
        <v>143.30763655440751</v>
      </c>
      <c r="Y52" s="110">
        <f>U199</f>
        <v>-69971.534741111696</v>
      </c>
    </row>
    <row r="53" spans="5:31" ht="15.6">
      <c r="E53" s="34" t="s">
        <v>68</v>
      </c>
      <c r="F53" s="40" t="s">
        <v>374</v>
      </c>
      <c r="G53" s="41">
        <f>U18</f>
        <v>68.071127363343578</v>
      </c>
      <c r="R53" s="5"/>
      <c r="S53" s="20" t="s">
        <v>418</v>
      </c>
      <c r="T53" s="33">
        <f>E25</f>
        <v>10.748072741580565</v>
      </c>
      <c r="U53" s="110">
        <f>U128</f>
        <v>-87512.992464102746</v>
      </c>
      <c r="V53" s="20" t="s">
        <v>193</v>
      </c>
      <c r="W53" s="20" t="s">
        <v>193</v>
      </c>
      <c r="X53" s="33">
        <f>G55</f>
        <v>10.748072741580565</v>
      </c>
      <c r="Y53" s="110">
        <f>U220</f>
        <v>-87512.992464102746</v>
      </c>
    </row>
    <row r="54" spans="5:31" ht="15.6">
      <c r="E54" s="34" t="s">
        <v>69</v>
      </c>
      <c r="F54" s="51" t="s">
        <v>375</v>
      </c>
      <c r="G54" s="41">
        <f>U23</f>
        <v>143.30763655440751</v>
      </c>
      <c r="R54" s="5"/>
      <c r="S54" s="20" t="s">
        <v>337</v>
      </c>
      <c r="T54" s="33">
        <f>E26</f>
        <v>17.913454569300939</v>
      </c>
      <c r="U54" s="110">
        <f>U149</f>
        <v>-121994.97977633192</v>
      </c>
      <c r="V54" s="20" t="s">
        <v>193</v>
      </c>
      <c r="W54" s="20" t="s">
        <v>193</v>
      </c>
      <c r="X54" s="33">
        <f>G56</f>
        <v>17.913454569300939</v>
      </c>
      <c r="Y54" s="110">
        <f>U241</f>
        <v>-121994.97977633192</v>
      </c>
    </row>
    <row r="55" spans="5:31" ht="15.6">
      <c r="E55" s="34" t="s">
        <v>70</v>
      </c>
      <c r="F55" s="52" t="s">
        <v>376</v>
      </c>
      <c r="G55" s="41">
        <f>U28</f>
        <v>10.748072741580565</v>
      </c>
      <c r="R55" s="5"/>
      <c r="S55" s="20" t="s">
        <v>276</v>
      </c>
      <c r="T55" s="20" t="s">
        <v>193</v>
      </c>
      <c r="U55" s="20" t="s">
        <v>193</v>
      </c>
      <c r="V55" s="20" t="s">
        <v>193</v>
      </c>
      <c r="W55" s="20" t="s">
        <v>193</v>
      </c>
      <c r="X55" s="20" t="s">
        <v>193</v>
      </c>
      <c r="Y55" s="20" t="s">
        <v>193</v>
      </c>
    </row>
    <row r="56" spans="5:31" ht="15.6">
      <c r="E56" s="34" t="s">
        <v>71</v>
      </c>
      <c r="F56" s="52" t="s">
        <v>377</v>
      </c>
      <c r="G56" s="41">
        <f>U33</f>
        <v>17.913454569300939</v>
      </c>
      <c r="R56" s="5"/>
      <c r="S56" s="222" t="s">
        <v>469</v>
      </c>
      <c r="T56" s="441">
        <f>T46*U46+T51*U51+T52*U52+T53*U53+T54*U54</f>
        <v>-15092870.994543552</v>
      </c>
      <c r="U56" s="442"/>
      <c r="V56" s="469">
        <f>V46*W46</f>
        <v>-138511.69863363699</v>
      </c>
      <c r="W56" s="442"/>
      <c r="X56" s="441">
        <f>X51*Y51+X52*Y52+X53*Y53+X54*Y54</f>
        <v>-14954359.295909915</v>
      </c>
      <c r="Y56" s="442"/>
    </row>
    <row r="57" spans="5:31" ht="15.6">
      <c r="E57" s="34" t="s">
        <v>72</v>
      </c>
      <c r="F57" s="35"/>
      <c r="G57" s="35"/>
      <c r="R57" s="5"/>
      <c r="S57" s="5"/>
      <c r="T57" s="5"/>
      <c r="U57" s="5"/>
      <c r="V57" s="5"/>
      <c r="W57" s="5"/>
      <c r="X57" s="5"/>
      <c r="Y57" s="5"/>
    </row>
    <row r="58" spans="5:31" ht="15.6">
      <c r="E58" s="408" t="s">
        <v>85</v>
      </c>
      <c r="F58" s="409"/>
      <c r="G58" s="410"/>
      <c r="R58" s="5"/>
      <c r="S58" s="5"/>
      <c r="T58" s="5"/>
      <c r="U58" s="5"/>
      <c r="V58" s="5"/>
      <c r="W58" s="5"/>
      <c r="X58" s="5"/>
      <c r="Y58" s="5"/>
      <c r="AA58" s="5"/>
      <c r="AB58" s="5"/>
      <c r="AC58" s="5"/>
      <c r="AD58" s="5"/>
      <c r="AE58" s="5"/>
    </row>
    <row r="59" spans="5:31" ht="15.6">
      <c r="E59" s="34" t="s">
        <v>67</v>
      </c>
      <c r="F59" s="35"/>
      <c r="G59" s="131"/>
      <c r="R59" s="5"/>
      <c r="S59" s="1"/>
      <c r="T59" s="2"/>
      <c r="U59" s="2"/>
      <c r="V59" s="2"/>
      <c r="W59" s="208"/>
      <c r="X59" s="208"/>
      <c r="Y59" s="3"/>
      <c r="AA59" s="5"/>
      <c r="AB59" s="9"/>
      <c r="AC59" s="5"/>
      <c r="AD59" s="5"/>
      <c r="AE59" s="5"/>
    </row>
    <row r="60" spans="5:31" ht="15.6">
      <c r="E60" s="34" t="s">
        <v>68</v>
      </c>
      <c r="F60" s="35"/>
      <c r="G60" s="41">
        <f>G53/$G$50</f>
        <v>0.28358208955223885</v>
      </c>
      <c r="R60" s="5"/>
      <c r="S60" s="4"/>
      <c r="T60" s="9" t="s">
        <v>278</v>
      </c>
      <c r="U60" s="5"/>
      <c r="V60" s="5"/>
      <c r="W60" s="148"/>
      <c r="X60" s="148"/>
      <c r="Y60" s="6"/>
      <c r="AA60" s="9"/>
      <c r="AB60" s="5"/>
      <c r="AC60" s="9"/>
      <c r="AD60" s="5"/>
      <c r="AE60" s="5"/>
    </row>
    <row r="61" spans="5:31" ht="15.6">
      <c r="E61" s="34" t="s">
        <v>69</v>
      </c>
      <c r="F61" s="35"/>
      <c r="G61" s="41">
        <f>G54/$G$50</f>
        <v>0.59701492537313428</v>
      </c>
      <c r="R61" s="5"/>
      <c r="S61" s="116" t="s">
        <v>563</v>
      </c>
      <c r="T61" s="5"/>
      <c r="U61" s="109" t="s">
        <v>564</v>
      </c>
      <c r="V61" s="5"/>
      <c r="W61" s="148"/>
      <c r="X61" s="148"/>
      <c r="Y61" s="6"/>
      <c r="AA61" s="5"/>
      <c r="AB61" s="5"/>
      <c r="AC61" s="5"/>
      <c r="AD61" s="5"/>
      <c r="AE61" s="5"/>
    </row>
    <row r="62" spans="5:31" ht="15.6">
      <c r="E62" s="34" t="s">
        <v>70</v>
      </c>
      <c r="F62" s="35"/>
      <c r="G62" s="41">
        <f>G55/$G$50</f>
        <v>4.4776119402985079E-2</v>
      </c>
      <c r="R62" s="5"/>
      <c r="S62" s="4"/>
      <c r="T62" s="5"/>
      <c r="U62" s="5"/>
      <c r="V62" s="5"/>
      <c r="W62" s="148"/>
      <c r="X62" s="148"/>
      <c r="Y62" s="6"/>
      <c r="AA62" s="5"/>
      <c r="AB62" s="9"/>
      <c r="AC62" s="5"/>
      <c r="AD62" s="5"/>
      <c r="AE62" s="64"/>
    </row>
    <row r="63" spans="5:31" ht="15.6">
      <c r="E63" s="34" t="s">
        <v>71</v>
      </c>
      <c r="F63" s="35"/>
      <c r="G63" s="41">
        <f>G56/$G$50</f>
        <v>7.4626865671641784E-2</v>
      </c>
      <c r="R63" s="5"/>
      <c r="S63" s="4" t="s">
        <v>575</v>
      </c>
      <c r="T63" s="9"/>
      <c r="U63" s="5"/>
      <c r="V63" s="5"/>
      <c r="W63" s="148"/>
      <c r="X63" s="148"/>
      <c r="Y63" s="67"/>
      <c r="AA63" s="9"/>
      <c r="AB63" s="9"/>
      <c r="AC63" s="5"/>
      <c r="AD63" s="5"/>
      <c r="AE63" s="5"/>
    </row>
    <row r="64" spans="5:31" ht="49.8" customHeight="1">
      <c r="E64" s="34" t="s">
        <v>72</v>
      </c>
      <c r="F64" s="35"/>
      <c r="G64" s="132"/>
      <c r="R64" s="5"/>
      <c r="S64" s="88" t="s">
        <v>278</v>
      </c>
      <c r="T64" s="94" t="s">
        <v>135</v>
      </c>
      <c r="U64" s="377"/>
      <c r="V64" s="377"/>
      <c r="W64" s="377"/>
      <c r="X64" s="377"/>
      <c r="Y64" s="465"/>
      <c r="AA64" s="9"/>
      <c r="AB64" s="9"/>
      <c r="AC64" s="129"/>
      <c r="AD64" s="5"/>
      <c r="AE64" s="5"/>
    </row>
    <row r="65" spans="5:31" ht="15.6">
      <c r="E65" s="406" t="s">
        <v>99</v>
      </c>
      <c r="F65" s="389"/>
      <c r="G65" s="50">
        <v>0</v>
      </c>
      <c r="R65" s="5"/>
      <c r="S65" s="85" t="s">
        <v>278</v>
      </c>
      <c r="T65" s="124"/>
      <c r="U65" s="120">
        <f>(Database!$C$31*(($E$37+273.15)-($V$43+273.15)))+(((Database!$D$31)*(($E$37+273.15)^2-($V$43+273.15)^2))/2)+((Database!$E$31*(($E$37+273.15)^3-($V$43+273.15)^3))/3)+((Database!$F$31*(($E$37+273.15)^4-($V$43+273.15)^4))/4)+((Database!$G$31)*(($E$37+273.15)^(5)-($V$43+273.15)^5))/5</f>
        <v>-536.96331567186962</v>
      </c>
      <c r="V65" s="11" t="s">
        <v>279</v>
      </c>
      <c r="W65" s="204"/>
      <c r="X65" s="204"/>
      <c r="Y65" s="12"/>
      <c r="AA65" s="5"/>
      <c r="AB65" s="9"/>
      <c r="AC65" s="5"/>
      <c r="AD65" s="5"/>
      <c r="AE65" s="5"/>
    </row>
    <row r="66" spans="5:31" ht="15.6">
      <c r="E66" s="397" t="s">
        <v>92</v>
      </c>
      <c r="F66" s="398"/>
      <c r="G66" s="48">
        <f>SUM(G59:G64)</f>
        <v>1</v>
      </c>
      <c r="R66" s="5"/>
      <c r="S66" s="148"/>
      <c r="T66" s="148"/>
      <c r="U66" s="148"/>
      <c r="V66" s="148"/>
      <c r="W66" s="148"/>
      <c r="X66" s="148"/>
      <c r="Y66" s="148"/>
      <c r="AA66" s="5"/>
      <c r="AB66" s="9"/>
      <c r="AC66" s="5"/>
      <c r="AD66" s="5"/>
      <c r="AE66" s="5"/>
    </row>
    <row r="67" spans="5:31" ht="15.6">
      <c r="E67" s="397" t="s">
        <v>75</v>
      </c>
      <c r="F67" s="398"/>
      <c r="G67" s="40">
        <v>10</v>
      </c>
      <c r="R67" s="5"/>
      <c r="S67" s="1"/>
      <c r="T67" s="2"/>
      <c r="U67" s="91" t="s">
        <v>280</v>
      </c>
      <c r="V67" s="2"/>
      <c r="W67" s="2"/>
      <c r="X67" s="2"/>
      <c r="Y67" s="3"/>
      <c r="AA67" s="5"/>
      <c r="AB67" s="9"/>
      <c r="AC67" s="5"/>
      <c r="AD67" s="5"/>
      <c r="AE67" s="5"/>
    </row>
    <row r="68" spans="5:31" ht="15.6">
      <c r="E68" s="400" t="s">
        <v>548</v>
      </c>
      <c r="F68" s="400"/>
      <c r="G68" s="216">
        <f>X56</f>
        <v>-14954359.295909915</v>
      </c>
      <c r="R68" s="5"/>
      <c r="S68" s="116" t="s">
        <v>281</v>
      </c>
      <c r="T68" s="5"/>
      <c r="U68" s="5"/>
      <c r="V68" s="5"/>
      <c r="W68" s="109" t="s">
        <v>338</v>
      </c>
      <c r="X68" s="5"/>
      <c r="Y68" s="6"/>
      <c r="AA68" s="9"/>
      <c r="AB68" s="9"/>
      <c r="AC68" s="9"/>
      <c r="AD68" s="5"/>
      <c r="AE68" s="5"/>
    </row>
    <row r="69" spans="5:31" ht="15.6">
      <c r="R69" s="5"/>
      <c r="S69" s="156" t="s">
        <v>383</v>
      </c>
      <c r="T69" s="5"/>
      <c r="U69" s="5"/>
      <c r="V69" s="148"/>
      <c r="W69" s="64" t="s">
        <v>384</v>
      </c>
      <c r="X69" s="5"/>
      <c r="Y69" s="6"/>
      <c r="AA69" s="5"/>
      <c r="AB69" s="9"/>
      <c r="AC69" s="5"/>
      <c r="AD69" s="5"/>
      <c r="AE69" s="5"/>
    </row>
    <row r="70" spans="5:31" ht="15.6">
      <c r="R70" s="5"/>
      <c r="S70" s="172"/>
      <c r="T70" s="5"/>
      <c r="U70" s="5"/>
      <c r="V70" s="5"/>
      <c r="W70" s="148"/>
      <c r="X70" s="5"/>
      <c r="Y70" s="6"/>
      <c r="AA70" s="9"/>
      <c r="AB70" s="9"/>
      <c r="AC70" s="5"/>
      <c r="AD70" s="5"/>
      <c r="AE70" s="5"/>
    </row>
    <row r="71" spans="5:31" ht="15.6">
      <c r="R71" s="5"/>
      <c r="S71" s="4"/>
      <c r="T71" s="9" t="s">
        <v>341</v>
      </c>
      <c r="U71" s="9" t="s">
        <v>385</v>
      </c>
      <c r="V71" s="9" t="s">
        <v>342</v>
      </c>
      <c r="W71" s="5"/>
      <c r="X71" s="5"/>
      <c r="Y71" s="6"/>
      <c r="AA71" s="9"/>
      <c r="AB71" s="9"/>
      <c r="AC71" s="129"/>
      <c r="AD71" s="5"/>
      <c r="AE71" s="5"/>
    </row>
    <row r="72" spans="5:31" ht="15.6">
      <c r="R72" s="5"/>
      <c r="S72" s="4"/>
      <c r="T72" s="5"/>
      <c r="U72" s="148"/>
      <c r="V72" s="5"/>
      <c r="W72" s="5"/>
      <c r="X72" s="5"/>
      <c r="Y72" s="6"/>
      <c r="AA72" s="5"/>
      <c r="AB72" s="9"/>
      <c r="AC72" s="5"/>
      <c r="AD72" s="5"/>
      <c r="AE72" s="5"/>
    </row>
    <row r="73" spans="5:31" ht="15.6">
      <c r="R73" s="5"/>
      <c r="S73" s="4" t="s">
        <v>576</v>
      </c>
      <c r="T73" s="9"/>
      <c r="U73" s="5"/>
      <c r="V73" s="148"/>
      <c r="W73" s="5"/>
      <c r="X73" s="5"/>
      <c r="Y73" s="6"/>
      <c r="AA73" s="5"/>
      <c r="AB73" s="9"/>
      <c r="AC73" s="5"/>
      <c r="AD73" s="5"/>
      <c r="AE73" s="5"/>
    </row>
    <row r="74" spans="5:31" ht="46.2" customHeight="1">
      <c r="R74" s="5"/>
      <c r="S74" s="88" t="s">
        <v>383</v>
      </c>
      <c r="T74" s="94" t="s">
        <v>135</v>
      </c>
      <c r="U74" s="387"/>
      <c r="V74" s="387"/>
      <c r="W74" s="387"/>
      <c r="X74" s="387"/>
      <c r="Y74" s="468"/>
      <c r="AA74" s="5"/>
      <c r="AB74" s="9"/>
      <c r="AC74" s="5"/>
      <c r="AD74" s="5"/>
      <c r="AE74" s="5"/>
    </row>
    <row r="75" spans="5:31" ht="15.6">
      <c r="H75" s="7" t="s">
        <v>117</v>
      </c>
      <c r="R75" s="5"/>
      <c r="S75" s="116" t="s">
        <v>383</v>
      </c>
      <c r="T75" s="117" t="s">
        <v>135</v>
      </c>
      <c r="U75" s="96">
        <f>(Database!$C$32*((Database!$H$11)-($V$43+273.15)))+(((Database!$D$32)*((Database!$H$11)^2-($V$43+273.15)^2))/2)+((Database!$E$32*((Database!$H$11)^3-($V$43+273.15)^3))/3)+((Database!$F$32*((Database!$H$11)^4-($V$43+273.15)^4))/4)+((Database!$G$32)*((Database!$H$11)^(5)-($V$43+273.15)^5))/5</f>
        <v>-695.48620406653799</v>
      </c>
      <c r="V75" s="148"/>
      <c r="W75" s="5"/>
      <c r="X75" s="5"/>
      <c r="Y75" s="6"/>
      <c r="AA75" s="115"/>
      <c r="AB75" s="9"/>
      <c r="AC75" s="115"/>
      <c r="AD75" s="5"/>
      <c r="AE75" s="5"/>
    </row>
    <row r="76" spans="5:31" ht="15.6">
      <c r="R76" s="5"/>
      <c r="S76" s="172"/>
      <c r="T76" s="148"/>
      <c r="U76" s="148"/>
      <c r="V76" s="5"/>
      <c r="W76" s="5"/>
      <c r="X76" s="5"/>
      <c r="Y76" s="6"/>
      <c r="AA76" s="5"/>
      <c r="AB76" s="9"/>
      <c r="AC76" s="5"/>
      <c r="AD76" s="5"/>
      <c r="AE76" s="5"/>
    </row>
    <row r="77" spans="5:31" ht="15.6">
      <c r="R77" s="5"/>
      <c r="S77" s="4" t="s">
        <v>344</v>
      </c>
      <c r="T77" s="9"/>
      <c r="U77" s="5"/>
      <c r="V77" s="5"/>
      <c r="W77" s="5"/>
      <c r="X77" s="5"/>
      <c r="Y77" s="6"/>
      <c r="AA77" s="9"/>
      <c r="AB77" s="9"/>
      <c r="AC77" s="5"/>
      <c r="AD77" s="5"/>
      <c r="AE77" s="5"/>
    </row>
    <row r="78" spans="5:31" ht="15.6">
      <c r="R78" s="5"/>
      <c r="S78" s="116" t="s">
        <v>385</v>
      </c>
      <c r="T78" s="117" t="s">
        <v>135</v>
      </c>
      <c r="U78" s="94" t="s">
        <v>551</v>
      </c>
      <c r="V78" s="5"/>
      <c r="W78" s="5"/>
      <c r="X78" s="5"/>
      <c r="Y78" s="6"/>
      <c r="AA78" s="9"/>
      <c r="AB78" s="9"/>
      <c r="AC78" s="129"/>
      <c r="AD78" s="5"/>
      <c r="AE78" s="5"/>
    </row>
    <row r="79" spans="5:31" ht="15.6">
      <c r="R79" s="5"/>
      <c r="S79" s="116" t="s">
        <v>385</v>
      </c>
      <c r="T79" s="117" t="s">
        <v>135</v>
      </c>
      <c r="U79" s="9">
        <f>Database!$I$21*1000*-1</f>
        <v>-25700</v>
      </c>
      <c r="V79" s="5" t="s">
        <v>279</v>
      </c>
      <c r="W79" s="5"/>
      <c r="X79" s="5"/>
      <c r="Y79" s="6"/>
      <c r="AA79" s="5"/>
      <c r="AB79" s="9"/>
      <c r="AC79" s="5"/>
      <c r="AD79" s="5"/>
      <c r="AE79" s="5"/>
    </row>
    <row r="80" spans="5:31" ht="15.6">
      <c r="R80" s="5"/>
      <c r="S80" s="4"/>
      <c r="T80" s="9"/>
      <c r="U80" s="5"/>
      <c r="V80" s="5"/>
      <c r="W80" s="5"/>
      <c r="X80" s="5"/>
      <c r="Y80" s="6"/>
      <c r="AA80" s="5"/>
      <c r="AB80" s="9"/>
      <c r="AC80" s="5"/>
      <c r="AD80" s="5"/>
      <c r="AE80" s="5"/>
    </row>
    <row r="81" spans="18:31" ht="15.6">
      <c r="R81" s="5"/>
      <c r="S81" s="4" t="s">
        <v>577</v>
      </c>
      <c r="T81" s="5"/>
      <c r="U81" s="5"/>
      <c r="V81" s="5"/>
      <c r="W81" s="5"/>
      <c r="X81" s="5"/>
      <c r="Y81" s="6"/>
      <c r="AA81" s="5"/>
      <c r="AB81" s="9"/>
      <c r="AC81" s="5"/>
      <c r="AD81" s="5"/>
      <c r="AE81" s="5"/>
    </row>
    <row r="82" spans="18:31" ht="51.6" customHeight="1">
      <c r="R82" s="5"/>
      <c r="S82" s="88" t="s">
        <v>384</v>
      </c>
      <c r="T82" s="94" t="s">
        <v>135</v>
      </c>
      <c r="U82" s="377"/>
      <c r="V82" s="377"/>
      <c r="W82" s="377"/>
      <c r="X82" s="377"/>
      <c r="Y82" s="465"/>
      <c r="AA82" s="115"/>
      <c r="AB82" s="9"/>
      <c r="AC82" s="115"/>
      <c r="AD82" s="5"/>
      <c r="AE82" s="5"/>
    </row>
    <row r="83" spans="18:31" ht="15.6">
      <c r="R83" s="5"/>
      <c r="S83" s="88" t="s">
        <v>384</v>
      </c>
      <c r="T83" s="94" t="s">
        <v>135</v>
      </c>
      <c r="U83" s="129">
        <f>Database!$C$44*(($E$37+273.15)-(Database!$H$11))+((Database!$D$44*(($E$37+273.15)^2-(Database!$H$11)^2))/2)+((Database!$E$44*(($E$37+273.15)^3-(Database!$H$11)^3))/3)+((Database!$F$44*(($E$37+273.15)^4-(Database!$H$11)^4))/4)</f>
        <v>-61.494296931069591</v>
      </c>
      <c r="V83" s="5" t="s">
        <v>279</v>
      </c>
      <c r="W83" s="5"/>
      <c r="X83" s="5"/>
      <c r="Y83" s="6"/>
      <c r="AA83" s="5"/>
      <c r="AB83" s="9"/>
      <c r="AC83" s="5"/>
      <c r="AD83" s="5"/>
      <c r="AE83" s="5"/>
    </row>
    <row r="84" spans="18:31" ht="15.6">
      <c r="R84" s="5"/>
      <c r="S84" s="181"/>
      <c r="T84" s="153"/>
      <c r="U84" s="5"/>
      <c r="V84" s="5"/>
      <c r="W84" s="5"/>
      <c r="X84" s="5"/>
      <c r="Y84" s="6"/>
      <c r="AA84" s="9"/>
      <c r="AB84" s="9"/>
      <c r="AC84" s="5"/>
      <c r="AD84" s="5"/>
      <c r="AE84" s="5"/>
    </row>
    <row r="85" spans="18:31" ht="15.6">
      <c r="R85" s="5"/>
      <c r="S85" s="88" t="s">
        <v>280</v>
      </c>
      <c r="T85" s="94" t="s">
        <v>135</v>
      </c>
      <c r="U85" s="9" t="s">
        <v>383</v>
      </c>
      <c r="V85" s="117" t="s">
        <v>284</v>
      </c>
      <c r="W85" s="9" t="s">
        <v>385</v>
      </c>
      <c r="X85" s="117" t="s">
        <v>284</v>
      </c>
      <c r="Y85" s="121" t="s">
        <v>384</v>
      </c>
      <c r="AA85" s="9"/>
      <c r="AB85" s="9"/>
      <c r="AC85" s="129"/>
      <c r="AD85" s="5"/>
      <c r="AE85" s="5"/>
    </row>
    <row r="86" spans="18:31" ht="15.6">
      <c r="R86" s="5"/>
      <c r="S86" s="85" t="s">
        <v>280</v>
      </c>
      <c r="T86" s="118" t="s">
        <v>135</v>
      </c>
      <c r="U86" s="119">
        <f>U83+U79+U75</f>
        <v>-26456.980500997608</v>
      </c>
      <c r="V86" s="11" t="s">
        <v>279</v>
      </c>
      <c r="W86" s="11"/>
      <c r="X86" s="11"/>
      <c r="Y86" s="12"/>
      <c r="AA86" s="5"/>
      <c r="AB86" s="9"/>
      <c r="AC86" s="5"/>
      <c r="AD86" s="5"/>
      <c r="AE86" s="5"/>
    </row>
    <row r="87" spans="18:31" ht="15.6">
      <c r="R87" s="5"/>
      <c r="S87" s="148"/>
      <c r="T87" s="148"/>
      <c r="U87" s="148"/>
      <c r="V87" s="148"/>
      <c r="W87" s="148"/>
      <c r="X87" s="148"/>
      <c r="Y87" s="148"/>
      <c r="AA87" s="5"/>
      <c r="AB87" s="9"/>
      <c r="AC87" s="5"/>
      <c r="AD87" s="5"/>
      <c r="AE87" s="5"/>
    </row>
    <row r="88" spans="18:31" ht="15.6">
      <c r="R88" s="5"/>
      <c r="S88" s="1"/>
      <c r="T88" s="2"/>
      <c r="U88" s="91" t="s">
        <v>287</v>
      </c>
      <c r="V88" s="2"/>
      <c r="W88" s="2"/>
      <c r="X88" s="2"/>
      <c r="Y88" s="3"/>
      <c r="AA88" s="5"/>
      <c r="AB88" s="9"/>
      <c r="AC88" s="5"/>
      <c r="AD88" s="5"/>
      <c r="AE88" s="5"/>
    </row>
    <row r="89" spans="18:31" ht="15.6">
      <c r="R89" s="5"/>
      <c r="S89" s="116" t="s">
        <v>346</v>
      </c>
      <c r="T89" s="5"/>
      <c r="U89" s="5"/>
      <c r="V89" s="5"/>
      <c r="W89" s="9" t="s">
        <v>347</v>
      </c>
      <c r="X89" s="5"/>
      <c r="Y89" s="6"/>
      <c r="AA89" s="115"/>
      <c r="AB89" s="9"/>
      <c r="AC89" s="115"/>
      <c r="AD89" s="5"/>
      <c r="AE89" s="5"/>
    </row>
    <row r="90" spans="18:31" ht="15.6">
      <c r="R90" s="5"/>
      <c r="S90" s="156" t="s">
        <v>386</v>
      </c>
      <c r="T90" s="5"/>
      <c r="U90" s="5"/>
      <c r="V90" s="5"/>
      <c r="W90" s="64" t="s">
        <v>387</v>
      </c>
      <c r="X90" s="5"/>
      <c r="Y90" s="6"/>
      <c r="AA90" s="5"/>
      <c r="AB90" s="9"/>
      <c r="AC90" s="5"/>
      <c r="AD90" s="5"/>
      <c r="AE90" s="5"/>
    </row>
    <row r="91" spans="18:31" ht="15.6">
      <c r="R91" s="5"/>
      <c r="S91" s="172"/>
      <c r="T91" s="5"/>
      <c r="U91" s="5"/>
      <c r="V91" s="5"/>
      <c r="W91" s="148"/>
      <c r="X91" s="5"/>
      <c r="Y91" s="6"/>
      <c r="AA91" s="9"/>
      <c r="AB91" s="9"/>
      <c r="AC91" s="5"/>
      <c r="AD91" s="5"/>
      <c r="AE91" s="5"/>
    </row>
    <row r="92" spans="18:31" ht="15.6">
      <c r="R92" s="5"/>
      <c r="S92" s="4"/>
      <c r="T92" s="9" t="s">
        <v>350</v>
      </c>
      <c r="U92" s="9" t="s">
        <v>388</v>
      </c>
      <c r="V92" s="9" t="s">
        <v>351</v>
      </c>
      <c r="W92" s="5"/>
      <c r="X92" s="5"/>
      <c r="Y92" s="6"/>
      <c r="AA92" s="9"/>
      <c r="AB92" s="9"/>
      <c r="AC92" s="129"/>
      <c r="AD92" s="5"/>
      <c r="AE92" s="5"/>
    </row>
    <row r="93" spans="18:31" ht="15.6">
      <c r="R93" s="5"/>
      <c r="S93" s="4"/>
      <c r="T93" s="5"/>
      <c r="U93" s="148"/>
      <c r="V93" s="5"/>
      <c r="W93" s="5"/>
      <c r="X93" s="5"/>
      <c r="Y93" s="6"/>
      <c r="AA93" s="5"/>
      <c r="AB93" s="5"/>
      <c r="AC93" s="5"/>
      <c r="AD93" s="5"/>
      <c r="AE93" s="5"/>
    </row>
    <row r="94" spans="18:31" ht="15.6">
      <c r="R94" s="5"/>
      <c r="S94" s="4" t="s">
        <v>578</v>
      </c>
      <c r="T94" s="9"/>
      <c r="U94" s="5"/>
      <c r="V94" s="148"/>
      <c r="W94" s="5"/>
      <c r="X94" s="5"/>
      <c r="Y94" s="6"/>
      <c r="AA94" s="5"/>
      <c r="AB94" s="5"/>
      <c r="AC94" s="5"/>
      <c r="AD94" s="5"/>
      <c r="AE94" s="5"/>
    </row>
    <row r="95" spans="18:31" ht="51" customHeight="1">
      <c r="R95" s="5"/>
      <c r="S95" s="88" t="s">
        <v>386</v>
      </c>
      <c r="T95" s="94" t="s">
        <v>135</v>
      </c>
      <c r="U95" s="377"/>
      <c r="V95" s="377"/>
      <c r="W95" s="377"/>
      <c r="X95" s="377"/>
      <c r="Y95" s="465"/>
      <c r="AA95" s="5"/>
      <c r="AB95" s="5"/>
      <c r="AC95" s="5"/>
      <c r="AD95" s="5"/>
      <c r="AE95" s="5"/>
    </row>
    <row r="96" spans="18:31" ht="15.6">
      <c r="R96" s="5"/>
      <c r="S96" s="88" t="s">
        <v>386</v>
      </c>
      <c r="T96" s="94" t="s">
        <v>135</v>
      </c>
      <c r="U96" s="96">
        <f>(Database!$C$33*((Database!$H$12)-($V$43+273.15)))+(((Database!$D$33)*((Database!$H$12)^2-($V$43+273.15)^2))/2)+((Database!$E$33*((Database!$H$12)^3-($V$43+273.15)^3))/3)+((Database!$F$33*((Database!$H$12)^4-($V$43+273.15)^4))/4)+((Database!$G$33)*((Database!$H$12)^(5)-($V$43+273.15)^5))/5</f>
        <v>14587.315366913117</v>
      </c>
      <c r="V96" s="148"/>
      <c r="W96" s="5"/>
      <c r="X96" s="5"/>
      <c r="Y96" s="6"/>
      <c r="AA96" s="5"/>
      <c r="AB96" s="9"/>
      <c r="AC96" s="5"/>
      <c r="AD96" s="5"/>
      <c r="AE96" s="5"/>
    </row>
    <row r="97" spans="18:31" ht="15.6">
      <c r="R97" s="5"/>
      <c r="S97" s="181"/>
      <c r="T97" s="168"/>
      <c r="U97" s="148"/>
      <c r="V97" s="5"/>
      <c r="W97" s="5"/>
      <c r="X97" s="5"/>
      <c r="Y97" s="6"/>
      <c r="AA97" s="9"/>
      <c r="AB97" s="5"/>
      <c r="AC97" s="9"/>
      <c r="AD97" s="5"/>
      <c r="AE97" s="5"/>
    </row>
    <row r="98" spans="18:31" ht="15.6">
      <c r="R98" s="5"/>
      <c r="S98" s="181" t="s">
        <v>353</v>
      </c>
      <c r="T98" s="21"/>
      <c r="U98" s="5"/>
      <c r="V98" s="5"/>
      <c r="W98" s="5"/>
      <c r="X98" s="5"/>
      <c r="Y98" s="6"/>
      <c r="AA98" s="5"/>
      <c r="AB98" s="5"/>
      <c r="AC98" s="5"/>
      <c r="AD98" s="5"/>
      <c r="AE98" s="5"/>
    </row>
    <row r="99" spans="18:31" ht="15.6">
      <c r="R99" s="5"/>
      <c r="S99" s="88" t="s">
        <v>388</v>
      </c>
      <c r="T99" s="94" t="s">
        <v>135</v>
      </c>
      <c r="U99" s="94" t="s">
        <v>552</v>
      </c>
      <c r="V99" s="5"/>
      <c r="W99" s="5"/>
      <c r="X99" s="5"/>
      <c r="Y99" s="6"/>
      <c r="AA99" s="5"/>
      <c r="AB99" s="9"/>
      <c r="AC99" s="5"/>
      <c r="AD99" s="5"/>
      <c r="AE99" s="64"/>
    </row>
    <row r="100" spans="18:31" ht="15.6">
      <c r="R100" s="5"/>
      <c r="S100" s="88" t="s">
        <v>388</v>
      </c>
      <c r="T100" s="94" t="s">
        <v>135</v>
      </c>
      <c r="U100" s="9">
        <f>Database!$I$22*1000*-1</f>
        <v>-51530</v>
      </c>
      <c r="V100" s="5" t="s">
        <v>279</v>
      </c>
      <c r="W100" s="5"/>
      <c r="X100" s="5"/>
      <c r="Y100" s="6"/>
      <c r="AA100" s="9"/>
      <c r="AB100" s="9"/>
      <c r="AC100" s="5"/>
      <c r="AD100" s="5"/>
      <c r="AE100" s="5"/>
    </row>
    <row r="101" spans="18:31" ht="15.6">
      <c r="R101" s="5"/>
      <c r="S101" s="181"/>
      <c r="T101" s="21"/>
      <c r="U101" s="5"/>
      <c r="V101" s="5"/>
      <c r="W101" s="5"/>
      <c r="X101" s="5"/>
      <c r="Y101" s="6"/>
      <c r="AA101" s="9"/>
      <c r="AB101" s="9"/>
      <c r="AC101" s="129"/>
      <c r="AD101" s="5"/>
      <c r="AE101" s="5"/>
    </row>
    <row r="102" spans="18:31" ht="15.6">
      <c r="R102" s="5"/>
      <c r="S102" s="181" t="s">
        <v>577</v>
      </c>
      <c r="T102" s="153"/>
      <c r="U102" s="5"/>
      <c r="V102" s="5"/>
      <c r="W102" s="5"/>
      <c r="X102" s="5"/>
      <c r="Y102" s="6"/>
      <c r="AA102" s="5"/>
      <c r="AB102" s="5"/>
      <c r="AC102" s="5"/>
      <c r="AD102" s="5"/>
      <c r="AE102" s="5"/>
    </row>
    <row r="103" spans="18:31" ht="52.8" customHeight="1">
      <c r="R103" s="5"/>
      <c r="S103" s="88" t="s">
        <v>387</v>
      </c>
      <c r="T103" s="94" t="s">
        <v>135</v>
      </c>
      <c r="U103" s="377"/>
      <c r="V103" s="377"/>
      <c r="W103" s="377"/>
      <c r="X103" s="377"/>
      <c r="Y103" s="465"/>
      <c r="AA103" s="5"/>
      <c r="AB103" s="9"/>
      <c r="AC103" s="5"/>
      <c r="AD103" s="5"/>
      <c r="AE103" s="5"/>
    </row>
    <row r="104" spans="18:31" ht="15.6">
      <c r="R104" s="5"/>
      <c r="S104" s="88" t="s">
        <v>387</v>
      </c>
      <c r="T104" s="94" t="s">
        <v>135</v>
      </c>
      <c r="U104" s="129">
        <f>Database!$C$45*(($E$37+273.15)-(Database!$H$12))+((Database!$D$45*(($E$37+273.15)^2-(Database!$H$12)^2))/2)+((Database!$E$45*(($E$37+273.15)^3-(Database!$H$12)^3))/3)+((Database!$F$45*(($E$37+273.15)^4-(Database!$H$12)^4))/4)</f>
        <v>-33028.850108024802</v>
      </c>
      <c r="V104" s="5" t="s">
        <v>279</v>
      </c>
      <c r="W104" s="5"/>
      <c r="X104" s="5"/>
      <c r="Y104" s="6"/>
      <c r="AA104" s="9"/>
      <c r="AB104" s="9"/>
      <c r="AC104" s="9"/>
      <c r="AD104" s="5"/>
      <c r="AE104" s="5"/>
    </row>
    <row r="105" spans="18:31" ht="15.6">
      <c r="R105" s="5"/>
      <c r="S105" s="181"/>
      <c r="T105" s="153"/>
      <c r="U105" s="5"/>
      <c r="V105" s="5"/>
      <c r="W105" s="5"/>
      <c r="X105" s="5"/>
      <c r="Y105" s="6"/>
      <c r="AA105" s="5"/>
      <c r="AB105" s="9"/>
      <c r="AC105" s="5"/>
      <c r="AD105" s="5"/>
      <c r="AE105" s="5"/>
    </row>
    <row r="106" spans="18:31" ht="15.6">
      <c r="R106" s="5"/>
      <c r="S106" s="88" t="s">
        <v>287</v>
      </c>
      <c r="T106" s="94" t="s">
        <v>135</v>
      </c>
      <c r="U106" s="9" t="s">
        <v>386</v>
      </c>
      <c r="V106" s="117" t="s">
        <v>284</v>
      </c>
      <c r="W106" s="9" t="s">
        <v>388</v>
      </c>
      <c r="X106" s="117" t="s">
        <v>284</v>
      </c>
      <c r="Y106" s="121" t="s">
        <v>387</v>
      </c>
      <c r="AA106" s="9"/>
      <c r="AB106" s="9"/>
      <c r="AC106" s="5"/>
      <c r="AD106" s="5"/>
      <c r="AE106" s="5"/>
    </row>
    <row r="107" spans="18:31" ht="15.6">
      <c r="R107" s="5"/>
      <c r="S107" s="135" t="s">
        <v>287</v>
      </c>
      <c r="T107" s="182" t="s">
        <v>135</v>
      </c>
      <c r="U107" s="119">
        <f>U104+U100+U96</f>
        <v>-69971.534741111696</v>
      </c>
      <c r="V107" s="11" t="s">
        <v>279</v>
      </c>
      <c r="W107" s="11"/>
      <c r="X107" s="11"/>
      <c r="Y107" s="12"/>
      <c r="AA107" s="9"/>
      <c r="AB107" s="9"/>
      <c r="AC107" s="129"/>
      <c r="AD107" s="5"/>
      <c r="AE107" s="5"/>
    </row>
    <row r="108" spans="18:31" ht="15.6">
      <c r="R108" s="5"/>
      <c r="S108" s="148"/>
      <c r="T108" s="148"/>
      <c r="U108" s="148"/>
      <c r="V108" s="148"/>
      <c r="W108" s="148"/>
      <c r="X108" s="148"/>
      <c r="Y108" s="148"/>
      <c r="AA108" s="5"/>
      <c r="AB108" s="5"/>
      <c r="AC108" s="5"/>
      <c r="AD108" s="5"/>
      <c r="AE108" s="5"/>
    </row>
    <row r="109" spans="18:31" ht="15.6">
      <c r="R109" s="5"/>
      <c r="S109" s="1"/>
      <c r="T109" s="2"/>
      <c r="U109" s="91" t="s">
        <v>288</v>
      </c>
      <c r="V109" s="2"/>
      <c r="W109" s="2"/>
      <c r="X109" s="2"/>
      <c r="Y109" s="3"/>
      <c r="AA109" s="5"/>
      <c r="AB109" s="5"/>
      <c r="AC109" s="5"/>
      <c r="AD109" s="5"/>
      <c r="AE109" s="5"/>
    </row>
    <row r="110" spans="18:31" ht="15.6">
      <c r="R110" s="5"/>
      <c r="S110" s="116" t="s">
        <v>355</v>
      </c>
      <c r="T110" s="5"/>
      <c r="U110" s="5"/>
      <c r="V110" s="5"/>
      <c r="W110" s="109" t="s">
        <v>356</v>
      </c>
      <c r="X110" s="5"/>
      <c r="Y110" s="6"/>
      <c r="AA110" s="5"/>
      <c r="AB110" s="9"/>
      <c r="AC110" s="5"/>
      <c r="AD110" s="5"/>
      <c r="AE110" s="5"/>
    </row>
    <row r="111" spans="18:31" ht="15.6">
      <c r="R111" s="5"/>
      <c r="S111" s="156" t="s">
        <v>389</v>
      </c>
      <c r="T111" s="5"/>
      <c r="U111" s="5"/>
      <c r="V111" s="5"/>
      <c r="W111" s="5"/>
      <c r="X111" s="5"/>
      <c r="Y111" s="6"/>
      <c r="AA111" s="115"/>
      <c r="AB111" s="9"/>
      <c r="AC111" s="115"/>
      <c r="AD111" s="5"/>
      <c r="AE111" s="5"/>
    </row>
    <row r="112" spans="18:31" ht="15.6">
      <c r="R112" s="5"/>
      <c r="S112" s="172"/>
      <c r="T112" s="5"/>
      <c r="U112" s="5"/>
      <c r="V112" s="5"/>
      <c r="W112" s="9" t="s">
        <v>390</v>
      </c>
      <c r="X112" s="5"/>
      <c r="Y112" s="6"/>
      <c r="AA112" s="5"/>
      <c r="AB112" s="9"/>
      <c r="AC112" s="5"/>
      <c r="AD112" s="5"/>
      <c r="AE112" s="5"/>
    </row>
    <row r="113" spans="18:31" ht="15.6">
      <c r="R113" s="5"/>
      <c r="S113" s="4"/>
      <c r="T113" s="9" t="s">
        <v>359</v>
      </c>
      <c r="U113" s="5"/>
      <c r="V113" s="9" t="s">
        <v>360</v>
      </c>
      <c r="W113" s="5"/>
      <c r="X113" s="5"/>
      <c r="Y113" s="6"/>
      <c r="AA113" s="9"/>
      <c r="AB113" s="9"/>
      <c r="AC113" s="5"/>
      <c r="AD113" s="5"/>
      <c r="AE113" s="5"/>
    </row>
    <row r="114" spans="18:31" ht="15.6">
      <c r="R114" s="5"/>
      <c r="S114" s="4"/>
      <c r="T114" s="5"/>
      <c r="U114" s="9" t="s">
        <v>391</v>
      </c>
      <c r="V114" s="5"/>
      <c r="W114" s="5"/>
      <c r="X114" s="5"/>
      <c r="Y114" s="6"/>
      <c r="AA114" s="9"/>
      <c r="AB114" s="9"/>
      <c r="AC114" s="129"/>
      <c r="AD114" s="5"/>
      <c r="AE114" s="5"/>
    </row>
    <row r="115" spans="18:31" ht="15.6">
      <c r="R115" s="5"/>
      <c r="S115" s="4" t="s">
        <v>579</v>
      </c>
      <c r="T115" s="9"/>
      <c r="U115" s="5"/>
      <c r="V115" s="148"/>
      <c r="W115" s="5"/>
      <c r="X115" s="5"/>
      <c r="Y115" s="6"/>
      <c r="AA115" s="5"/>
      <c r="AB115" s="9"/>
      <c r="AC115" s="5"/>
      <c r="AD115" s="5"/>
      <c r="AE115" s="5"/>
    </row>
    <row r="116" spans="18:31" ht="57.6" customHeight="1">
      <c r="R116" s="5"/>
      <c r="S116" s="88" t="s">
        <v>389</v>
      </c>
      <c r="T116" s="94" t="s">
        <v>135</v>
      </c>
      <c r="U116" s="377"/>
      <c r="V116" s="377"/>
      <c r="W116" s="377"/>
      <c r="X116" s="377"/>
      <c r="Y116" s="465"/>
      <c r="AA116" s="5"/>
      <c r="AB116" s="9"/>
      <c r="AC116" s="5"/>
      <c r="AD116" s="5"/>
      <c r="AE116" s="5"/>
    </row>
    <row r="117" spans="18:31" ht="15.6">
      <c r="R117" s="5"/>
      <c r="S117" s="116" t="s">
        <v>389</v>
      </c>
      <c r="T117" s="117" t="s">
        <v>135</v>
      </c>
      <c r="U117" s="96">
        <f>(Database!$C$34*((Database!$H$13)-($V$43+273.15)))+(((Database!$D$34)*((Database!$H$13)^2-($V$43+273.15)^2))/2)+((Database!$E$34*((Database!$H$13)^3-($V$43+273.15)^3))/3)+((Database!$F$34*((Database!$H$13)^4-($V$43+273.15)^4))/4)+((Database!$G$34)*((Database!$H$13)^(5)-($V$43+273.15)^5))/5</f>
        <v>44168.085339864891</v>
      </c>
      <c r="V117" s="148"/>
      <c r="W117" s="5"/>
      <c r="X117" s="5"/>
      <c r="Y117" s="6"/>
      <c r="AA117" s="5"/>
      <c r="AB117" s="9"/>
      <c r="AC117" s="5"/>
      <c r="AD117" s="5"/>
      <c r="AE117" s="5"/>
    </row>
    <row r="118" spans="18:31" ht="15.6">
      <c r="R118" s="5"/>
      <c r="S118" s="4"/>
      <c r="T118" s="148"/>
      <c r="U118" s="148"/>
      <c r="V118" s="5"/>
      <c r="W118" s="5"/>
      <c r="X118" s="5"/>
      <c r="Y118" s="6"/>
      <c r="AA118" s="115"/>
      <c r="AB118" s="9"/>
      <c r="AC118" s="115"/>
      <c r="AD118" s="5"/>
      <c r="AE118" s="5"/>
    </row>
    <row r="119" spans="18:31" ht="15.6">
      <c r="R119" s="5"/>
      <c r="S119" s="4" t="s">
        <v>362</v>
      </c>
      <c r="T119" s="9"/>
      <c r="U119" s="5"/>
      <c r="V119" s="5"/>
      <c r="W119" s="5"/>
      <c r="X119" s="5"/>
      <c r="Y119" s="6"/>
      <c r="AA119" s="5"/>
      <c r="AB119" s="9"/>
      <c r="AC119" s="5"/>
      <c r="AD119" s="5"/>
      <c r="AE119" s="5"/>
    </row>
    <row r="120" spans="18:31" ht="15.6">
      <c r="R120" s="5"/>
      <c r="S120" s="116" t="s">
        <v>391</v>
      </c>
      <c r="T120" s="117" t="s">
        <v>135</v>
      </c>
      <c r="U120" s="94" t="s">
        <v>553</v>
      </c>
      <c r="V120" s="5"/>
      <c r="W120" s="5"/>
      <c r="X120" s="5"/>
      <c r="Y120" s="6"/>
      <c r="AA120" s="9"/>
      <c r="AB120" s="9"/>
      <c r="AC120" s="5"/>
      <c r="AD120" s="5"/>
      <c r="AE120" s="5"/>
    </row>
    <row r="121" spans="18:31" ht="15.6">
      <c r="R121" s="5"/>
      <c r="S121" s="116" t="s">
        <v>391</v>
      </c>
      <c r="T121" s="117" t="s">
        <v>135</v>
      </c>
      <c r="U121" s="9">
        <f>Database!$I$23*1000*-1</f>
        <v>-64459.999999999993</v>
      </c>
      <c r="V121" s="5" t="s">
        <v>279</v>
      </c>
      <c r="W121" s="5"/>
      <c r="X121" s="5"/>
      <c r="Y121" s="6"/>
      <c r="AA121" s="9"/>
      <c r="AB121" s="9"/>
      <c r="AC121" s="129"/>
      <c r="AD121" s="5"/>
      <c r="AE121" s="5"/>
    </row>
    <row r="122" spans="18:31" ht="15.6">
      <c r="R122" s="5"/>
      <c r="S122" s="4"/>
      <c r="T122" s="9"/>
      <c r="U122" s="5"/>
      <c r="V122" s="5"/>
      <c r="W122" s="5"/>
      <c r="X122" s="5"/>
      <c r="Y122" s="6"/>
      <c r="AA122" s="5"/>
      <c r="AB122" s="9"/>
      <c r="AC122" s="5"/>
      <c r="AD122" s="5"/>
      <c r="AE122" s="5"/>
    </row>
    <row r="123" spans="18:31" ht="15.6">
      <c r="R123" s="5"/>
      <c r="S123" s="4" t="s">
        <v>577</v>
      </c>
      <c r="T123" s="5"/>
      <c r="U123" s="5"/>
      <c r="V123" s="5"/>
      <c r="W123" s="5"/>
      <c r="X123" s="5"/>
      <c r="Y123" s="6"/>
      <c r="AA123" s="5"/>
      <c r="AB123" s="9"/>
      <c r="AC123" s="5"/>
      <c r="AD123" s="5"/>
      <c r="AE123" s="5"/>
    </row>
    <row r="124" spans="18:31" ht="50.4" customHeight="1">
      <c r="R124" s="5"/>
      <c r="S124" s="88" t="s">
        <v>390</v>
      </c>
      <c r="T124" s="94" t="s">
        <v>135</v>
      </c>
      <c r="U124" s="377"/>
      <c r="V124" s="377"/>
      <c r="W124" s="377"/>
      <c r="X124" s="377"/>
      <c r="Y124" s="465"/>
      <c r="AA124" s="5"/>
      <c r="AB124" s="9"/>
      <c r="AC124" s="5"/>
      <c r="AD124" s="5"/>
      <c r="AE124" s="5"/>
    </row>
    <row r="125" spans="18:31" ht="15.6">
      <c r="R125" s="5"/>
      <c r="S125" s="88" t="s">
        <v>390</v>
      </c>
      <c r="T125" s="94" t="s">
        <v>135</v>
      </c>
      <c r="U125" s="129">
        <f>Database!$C$46*(($E$37+273.15)-(Database!$H$13))+((Database!$D$46*(($E$37+273.15)^2-(Database!$H$13)^2))/2)+((Database!$E$46*(($E$37+273.15)^3-(Database!$H$13)^3))/3)+((Database!$F$46*(($E$37+273.15)^4-(Database!$H$13)^4))/4)</f>
        <v>-67221.077803967637</v>
      </c>
      <c r="V125" s="5" t="s">
        <v>279</v>
      </c>
      <c r="W125" s="5"/>
      <c r="X125" s="5"/>
      <c r="Y125" s="6"/>
      <c r="AA125" s="115"/>
      <c r="AB125" s="9"/>
      <c r="AC125" s="115"/>
      <c r="AD125" s="5"/>
      <c r="AE125" s="5"/>
    </row>
    <row r="126" spans="18:31" ht="15.6">
      <c r="R126" s="5"/>
      <c r="S126" s="181"/>
      <c r="T126" s="153"/>
      <c r="U126" s="5"/>
      <c r="V126" s="5"/>
      <c r="W126" s="5"/>
      <c r="X126" s="5"/>
      <c r="Y126" s="6"/>
      <c r="AA126" s="5"/>
      <c r="AB126" s="9"/>
      <c r="AC126" s="5"/>
      <c r="AD126" s="5"/>
      <c r="AE126" s="5"/>
    </row>
    <row r="127" spans="18:31" ht="15.6">
      <c r="R127" s="5"/>
      <c r="S127" s="116" t="s">
        <v>288</v>
      </c>
      <c r="T127" s="117" t="s">
        <v>135</v>
      </c>
      <c r="U127" s="9" t="s">
        <v>389</v>
      </c>
      <c r="V127" s="117" t="s">
        <v>284</v>
      </c>
      <c r="W127" s="9" t="s">
        <v>391</v>
      </c>
      <c r="X127" s="117" t="s">
        <v>284</v>
      </c>
      <c r="Y127" s="121" t="s">
        <v>390</v>
      </c>
      <c r="AA127" s="9"/>
      <c r="AB127" s="9"/>
      <c r="AC127" s="5"/>
      <c r="AD127" s="5"/>
      <c r="AE127" s="5"/>
    </row>
    <row r="128" spans="18:31" ht="15.6">
      <c r="R128" s="5"/>
      <c r="S128" s="85" t="s">
        <v>288</v>
      </c>
      <c r="T128" s="118" t="s">
        <v>135</v>
      </c>
      <c r="U128" s="119">
        <f>U125+U121+U117</f>
        <v>-87512.992464102746</v>
      </c>
      <c r="V128" s="11" t="s">
        <v>279</v>
      </c>
      <c r="W128" s="11"/>
      <c r="X128" s="11"/>
      <c r="Y128" s="12"/>
      <c r="AA128" s="9"/>
      <c r="AB128" s="9"/>
      <c r="AC128" s="129"/>
      <c r="AD128" s="5"/>
      <c r="AE128" s="5"/>
    </row>
    <row r="129" spans="18:31" ht="15.6">
      <c r="R129" s="5"/>
      <c r="S129" s="148"/>
      <c r="T129" s="148"/>
      <c r="U129" s="148"/>
      <c r="V129" s="148"/>
      <c r="W129" s="148"/>
      <c r="X129" s="148"/>
      <c r="Y129" s="148"/>
      <c r="AA129" s="5"/>
      <c r="AB129" s="5"/>
      <c r="AC129" s="5"/>
      <c r="AD129" s="5"/>
      <c r="AE129" s="5"/>
    </row>
    <row r="130" spans="18:31" ht="15.6">
      <c r="R130" s="5"/>
      <c r="S130" s="1"/>
      <c r="T130" s="2"/>
      <c r="U130" s="91" t="s">
        <v>289</v>
      </c>
      <c r="V130" s="2"/>
      <c r="W130" s="2"/>
      <c r="X130" s="2"/>
      <c r="Y130" s="3"/>
    </row>
    <row r="131" spans="18:31" ht="15.6">
      <c r="R131" s="5"/>
      <c r="S131" s="116" t="s">
        <v>364</v>
      </c>
      <c r="T131" s="5"/>
      <c r="U131" s="5"/>
      <c r="V131" s="5"/>
      <c r="W131" s="109" t="s">
        <v>365</v>
      </c>
      <c r="X131" s="5"/>
      <c r="Y131" s="6"/>
    </row>
    <row r="132" spans="18:31" ht="15.6">
      <c r="R132" s="5"/>
      <c r="S132" s="156" t="s">
        <v>392</v>
      </c>
      <c r="T132" s="5"/>
      <c r="U132" s="5"/>
      <c r="V132" s="5"/>
      <c r="W132" s="64" t="s">
        <v>393</v>
      </c>
      <c r="X132" s="5"/>
      <c r="Y132" s="6"/>
    </row>
    <row r="133" spans="18:31" ht="15.6">
      <c r="R133" s="5"/>
      <c r="S133" s="172"/>
      <c r="T133" s="5"/>
      <c r="U133" s="5"/>
      <c r="V133" s="5"/>
      <c r="W133" s="148"/>
      <c r="X133" s="5"/>
      <c r="Y133" s="6"/>
    </row>
    <row r="134" spans="18:31" ht="15.6">
      <c r="R134" s="5"/>
      <c r="S134" s="4"/>
      <c r="T134" s="9" t="s">
        <v>368</v>
      </c>
      <c r="U134" s="9" t="s">
        <v>394</v>
      </c>
      <c r="V134" s="9" t="s">
        <v>369</v>
      </c>
      <c r="W134" s="5"/>
      <c r="X134" s="5"/>
      <c r="Y134" s="6"/>
    </row>
    <row r="135" spans="18:31" ht="15.6">
      <c r="R135" s="5"/>
      <c r="S135" s="4"/>
      <c r="T135" s="5"/>
      <c r="U135" s="148"/>
      <c r="V135" s="5"/>
      <c r="W135" s="5"/>
      <c r="X135" s="5"/>
      <c r="Y135" s="6"/>
    </row>
    <row r="136" spans="18:31" ht="15.6">
      <c r="R136" s="5"/>
      <c r="S136" s="4" t="s">
        <v>581</v>
      </c>
      <c r="T136" s="9"/>
      <c r="U136" s="5"/>
      <c r="V136" s="148"/>
      <c r="W136" s="5"/>
      <c r="X136" s="5"/>
      <c r="Y136" s="6"/>
    </row>
    <row r="137" spans="18:31" ht="49.2" customHeight="1">
      <c r="R137" s="5"/>
      <c r="S137" s="88" t="s">
        <v>392</v>
      </c>
      <c r="T137" s="94" t="s">
        <v>135</v>
      </c>
      <c r="U137" s="377"/>
      <c r="V137" s="377"/>
      <c r="W137" s="377"/>
      <c r="X137" s="377"/>
      <c r="Y137" s="465"/>
    </row>
    <row r="138" spans="18:31" ht="15.6">
      <c r="S138" s="88" t="s">
        <v>392</v>
      </c>
      <c r="T138" s="94" t="s">
        <v>135</v>
      </c>
      <c r="U138" s="96">
        <f>(Database!$C$35*((Database!$H$14)-($V$43+273.15)))+(((Database!$D$35)*((Database!$H$14)^2-($V$43+273.15)^2))/2)+((Database!$E$35*((Database!$H$14)^3-($V$43+273.15)^3))/3)+((Database!$F$35*((Database!$H$14)^4-($V$43+273.15)^4))/4)+((Database!$G$35)*((Database!$H$14)^(5)-($V$43+273.15)^5))/5</f>
        <v>83864.044961042237</v>
      </c>
      <c r="V138" s="148"/>
      <c r="W138" s="5"/>
      <c r="X138" s="5"/>
      <c r="Y138" s="6"/>
    </row>
    <row r="139" spans="18:31" ht="15.6">
      <c r="S139" s="181"/>
      <c r="T139" s="168"/>
      <c r="U139" s="148"/>
      <c r="V139" s="5"/>
      <c r="W139" s="5"/>
      <c r="X139" s="5"/>
      <c r="Y139" s="6"/>
    </row>
    <row r="140" spans="18:31" ht="15.6">
      <c r="S140" s="181" t="s">
        <v>371</v>
      </c>
      <c r="T140" s="21"/>
      <c r="U140" s="5"/>
      <c r="V140" s="5"/>
      <c r="W140" s="5"/>
      <c r="X140" s="5"/>
      <c r="Y140" s="6"/>
    </row>
    <row r="141" spans="18:31" ht="15.6">
      <c r="S141" s="88" t="s">
        <v>394</v>
      </c>
      <c r="T141" s="94" t="s">
        <v>135</v>
      </c>
      <c r="U141" s="94" t="s">
        <v>554</v>
      </c>
      <c r="V141" s="5"/>
      <c r="W141" s="5"/>
      <c r="X141" s="5"/>
      <c r="Y141" s="6"/>
    </row>
    <row r="142" spans="18:31" ht="15.6">
      <c r="S142" s="88" t="s">
        <v>394</v>
      </c>
      <c r="T142" s="94" t="s">
        <v>135</v>
      </c>
      <c r="U142" s="9">
        <f>Database!$I$24*1000*-1</f>
        <v>-70680</v>
      </c>
      <c r="V142" s="5" t="s">
        <v>279</v>
      </c>
      <c r="W142" s="5"/>
      <c r="X142" s="5"/>
      <c r="Y142" s="6"/>
    </row>
    <row r="143" spans="18:31" ht="15.6">
      <c r="S143" s="181"/>
      <c r="T143" s="21"/>
      <c r="U143" s="5"/>
      <c r="V143" s="5"/>
      <c r="W143" s="5"/>
      <c r="X143" s="5"/>
      <c r="Y143" s="6"/>
    </row>
    <row r="144" spans="18:31" ht="15.6">
      <c r="S144" s="181" t="s">
        <v>577</v>
      </c>
      <c r="T144" s="153"/>
      <c r="U144" s="5"/>
      <c r="V144" s="5"/>
      <c r="W144" s="5"/>
      <c r="X144" s="5"/>
      <c r="Y144" s="6"/>
    </row>
    <row r="145" spans="19:25" ht="55.8" customHeight="1">
      <c r="S145" s="88" t="s">
        <v>393</v>
      </c>
      <c r="T145" s="94" t="s">
        <v>135</v>
      </c>
      <c r="U145" s="377"/>
      <c r="V145" s="377"/>
      <c r="W145" s="377"/>
      <c r="X145" s="377"/>
      <c r="Y145" s="465"/>
    </row>
    <row r="146" spans="19:25" ht="15.6">
      <c r="S146" s="88" t="s">
        <v>393</v>
      </c>
      <c r="T146" s="94" t="s">
        <v>135</v>
      </c>
      <c r="U146" s="129">
        <f>Database!$C$47*(($E$37+273.15)-(Database!$H$14))+((Database!$D$47*(($E$37+273.15)^2-(Database!$H$14)^2))/2)+((Database!$E$47*(($E$37+273.15)^3-(Database!$H$14)^3))/3)+((Database!$F$47*(($E$37+273.15)^4-(Database!$H$14)^4))/4)</f>
        <v>-135179.02473737416</v>
      </c>
      <c r="V146" s="5" t="s">
        <v>279</v>
      </c>
      <c r="W146" s="5"/>
      <c r="X146" s="5"/>
      <c r="Y146" s="6"/>
    </row>
    <row r="147" spans="19:25" ht="15.6">
      <c r="S147" s="181"/>
      <c r="T147" s="153"/>
      <c r="U147" s="5"/>
      <c r="V147" s="5"/>
      <c r="W147" s="5"/>
      <c r="X147" s="5"/>
      <c r="Y147" s="6"/>
    </row>
    <row r="148" spans="19:25" ht="15.6">
      <c r="S148" s="88" t="s">
        <v>289</v>
      </c>
      <c r="T148" s="94" t="s">
        <v>135</v>
      </c>
      <c r="U148" s="9" t="s">
        <v>392</v>
      </c>
      <c r="V148" s="117" t="s">
        <v>284</v>
      </c>
      <c r="W148" s="9" t="s">
        <v>394</v>
      </c>
      <c r="X148" s="117" t="s">
        <v>284</v>
      </c>
      <c r="Y148" s="121" t="s">
        <v>393</v>
      </c>
    </row>
    <row r="149" spans="19:25" ht="15.6">
      <c r="S149" s="135" t="s">
        <v>289</v>
      </c>
      <c r="T149" s="182" t="s">
        <v>135</v>
      </c>
      <c r="U149" s="119">
        <f>U146+U142+U138</f>
        <v>-121994.97977633192</v>
      </c>
      <c r="V149" s="11" t="s">
        <v>279</v>
      </c>
      <c r="W149" s="11"/>
      <c r="X149" s="11"/>
      <c r="Y149" s="12"/>
    </row>
    <row r="150" spans="19:25" ht="15.75" customHeight="1">
      <c r="S150" s="148"/>
      <c r="T150" s="148"/>
      <c r="U150" s="148"/>
      <c r="V150" s="148"/>
      <c r="W150" s="148"/>
      <c r="X150" s="148"/>
      <c r="Y150" s="148"/>
    </row>
    <row r="151" spans="19:25" ht="15.6">
      <c r="S151" s="1"/>
      <c r="T151" s="2"/>
      <c r="U151" s="2"/>
      <c r="V151" s="2"/>
      <c r="W151" s="208"/>
      <c r="X151" s="208"/>
      <c r="Y151" s="3"/>
    </row>
    <row r="152" spans="19:25" ht="15.6">
      <c r="S152" s="4"/>
      <c r="T152" s="9" t="s">
        <v>290</v>
      </c>
      <c r="U152" s="5"/>
      <c r="V152" s="5"/>
      <c r="W152" s="148"/>
      <c r="X152" s="148"/>
      <c r="Y152" s="6"/>
    </row>
    <row r="153" spans="19:25" ht="15.6">
      <c r="S153" s="116" t="s">
        <v>563</v>
      </c>
      <c r="T153" s="5"/>
      <c r="U153" s="109" t="s">
        <v>564</v>
      </c>
      <c r="V153" s="5"/>
      <c r="W153" s="148"/>
      <c r="X153" s="148"/>
      <c r="Y153" s="6"/>
    </row>
    <row r="154" spans="19:25" ht="15.6">
      <c r="S154" s="4"/>
      <c r="T154" s="5"/>
      <c r="U154" s="5"/>
      <c r="V154" s="5"/>
      <c r="W154" s="148"/>
      <c r="X154" s="148"/>
      <c r="Y154" s="6"/>
    </row>
    <row r="155" spans="19:25" ht="15.6">
      <c r="S155" s="4" t="s">
        <v>575</v>
      </c>
      <c r="T155" s="9"/>
      <c r="U155" s="5"/>
      <c r="V155" s="5"/>
      <c r="W155" s="148"/>
      <c r="X155" s="148"/>
      <c r="Y155" s="67"/>
    </row>
    <row r="156" spans="19:25" ht="47.4" customHeight="1">
      <c r="S156" s="88" t="s">
        <v>290</v>
      </c>
      <c r="T156" s="94" t="s">
        <v>135</v>
      </c>
      <c r="U156" s="377"/>
      <c r="V156" s="377"/>
      <c r="W156" s="377"/>
      <c r="X156" s="377"/>
      <c r="Y156" s="465"/>
    </row>
    <row r="157" spans="19:25" ht="15.6">
      <c r="S157" s="135" t="s">
        <v>290</v>
      </c>
      <c r="T157" s="180" t="s">
        <v>135</v>
      </c>
      <c r="U157" s="120">
        <f>(Database!$C$31*(($L$20+273.15)-($V$43+273.15)))+(((Database!$D$31)*(($L$20+273.15)^2-($V$43+273.15)^2))/2)+((Database!$E$31*(($L$20+273.15)^3-($V$43+273.15)^3))/3)+((Database!$F$31*(($L$20+273.15)^4-($V$43+273.15)^4))/4)+((Database!$G$31)*(($L$20+273.15)^(5)-($V$43+273.15)^5))/5</f>
        <v>-536.96331567186962</v>
      </c>
      <c r="V157" s="11" t="s">
        <v>279</v>
      </c>
      <c r="W157" s="204"/>
      <c r="X157" s="204"/>
      <c r="Y157" s="12"/>
    </row>
    <row r="158" spans="19:25" ht="15.75" customHeight="1">
      <c r="S158" s="148"/>
      <c r="T158" s="148"/>
      <c r="U158" s="148"/>
      <c r="V158" s="148"/>
      <c r="W158" s="148"/>
      <c r="X158" s="148"/>
      <c r="Y158" s="148"/>
    </row>
    <row r="159" spans="19:25" ht="15.6">
      <c r="S159" s="1"/>
      <c r="T159" s="2"/>
      <c r="U159" s="91" t="s">
        <v>292</v>
      </c>
      <c r="V159" s="2"/>
      <c r="W159" s="2"/>
      <c r="X159" s="2"/>
      <c r="Y159" s="3"/>
    </row>
    <row r="160" spans="19:25" ht="15.6">
      <c r="S160" s="116" t="s">
        <v>425</v>
      </c>
      <c r="T160" s="5"/>
      <c r="U160" s="5"/>
      <c r="V160" s="5"/>
      <c r="W160" s="9" t="s">
        <v>555</v>
      </c>
      <c r="X160" s="5"/>
      <c r="Y160" s="6"/>
    </row>
    <row r="161" spans="19:25" ht="15.6">
      <c r="S161" s="156" t="s">
        <v>339</v>
      </c>
      <c r="T161" s="5"/>
      <c r="U161" s="5"/>
      <c r="V161" s="5"/>
      <c r="W161" s="64" t="s">
        <v>340</v>
      </c>
      <c r="X161" s="5"/>
      <c r="Y161" s="6"/>
    </row>
    <row r="162" spans="19:25" ht="15.6">
      <c r="S162" s="172"/>
      <c r="T162" s="5"/>
      <c r="U162" s="5"/>
      <c r="V162" s="5"/>
      <c r="W162" s="148"/>
      <c r="X162" s="5"/>
      <c r="Y162" s="6"/>
    </row>
    <row r="163" spans="19:25" ht="15.6">
      <c r="S163" s="158"/>
      <c r="T163" s="9" t="s">
        <v>509</v>
      </c>
      <c r="U163" s="9" t="s">
        <v>343</v>
      </c>
      <c r="V163" s="9" t="s">
        <v>510</v>
      </c>
      <c r="W163" s="5"/>
      <c r="X163" s="5"/>
      <c r="Y163" s="6"/>
    </row>
    <row r="164" spans="19:25" ht="15.6">
      <c r="S164" s="158"/>
      <c r="T164" s="5"/>
      <c r="U164" s="148"/>
      <c r="V164" s="5"/>
      <c r="W164" s="5"/>
      <c r="X164" s="5"/>
      <c r="Y164" s="6"/>
    </row>
    <row r="165" spans="19:25" ht="15.6">
      <c r="S165" s="158" t="s">
        <v>576</v>
      </c>
      <c r="T165" s="9"/>
      <c r="U165" s="5"/>
      <c r="V165" s="148"/>
      <c r="W165" s="5"/>
      <c r="X165" s="5"/>
      <c r="Y165" s="6"/>
    </row>
    <row r="166" spans="19:25" ht="49.8" customHeight="1">
      <c r="S166" s="183" t="s">
        <v>339</v>
      </c>
      <c r="T166" s="94" t="s">
        <v>135</v>
      </c>
      <c r="U166" s="377"/>
      <c r="V166" s="377"/>
      <c r="W166" s="377"/>
      <c r="X166" s="377"/>
      <c r="Y166" s="465"/>
    </row>
    <row r="167" spans="19:25" ht="15.6">
      <c r="S167" s="183" t="s">
        <v>339</v>
      </c>
      <c r="T167" s="94" t="s">
        <v>135</v>
      </c>
      <c r="U167" s="96">
        <f>(Database!$C$32*((Database!$H$11)-($V$43+273.15)))+(((Database!$D$32)*((Database!$H$11)^2-($V$43+273.15)^2))/2)+((Database!$E$32*((Database!$H$11)^3-($V$43+273.15)^3))/3)+((Database!$F$32*((Database!$H$11)^4-($V$43+273.15)^4))/4)+((Database!$G$32)*((Database!$H$11)^(5)-($V$43+273.15)^5))/5</f>
        <v>-695.48620406653799</v>
      </c>
      <c r="V167" s="148"/>
      <c r="W167" s="5"/>
      <c r="X167" s="5"/>
      <c r="Y167" s="6"/>
    </row>
    <row r="168" spans="19:25" ht="15.6">
      <c r="S168" s="194"/>
      <c r="T168" s="168"/>
      <c r="U168" s="148"/>
      <c r="V168" s="5"/>
      <c r="W168" s="5"/>
      <c r="X168" s="5"/>
      <c r="Y168" s="6"/>
    </row>
    <row r="169" spans="19:25" ht="15.6">
      <c r="S169" s="184" t="s">
        <v>344</v>
      </c>
      <c r="T169" s="21"/>
      <c r="U169" s="5"/>
      <c r="V169" s="5"/>
      <c r="W169" s="5"/>
      <c r="X169" s="5"/>
      <c r="Y169" s="6"/>
    </row>
    <row r="170" spans="19:25" ht="15.6">
      <c r="S170" s="183" t="s">
        <v>343</v>
      </c>
      <c r="T170" s="94" t="s">
        <v>135</v>
      </c>
      <c r="U170" s="94" t="s">
        <v>551</v>
      </c>
      <c r="V170" s="5"/>
      <c r="W170" s="5"/>
      <c r="X170" s="5"/>
      <c r="Y170" s="6"/>
    </row>
    <row r="171" spans="19:25" ht="15.6">
      <c r="S171" s="183" t="s">
        <v>343</v>
      </c>
      <c r="T171" s="94" t="s">
        <v>135</v>
      </c>
      <c r="U171" s="9">
        <f>Database!$I$21*1000*-1</f>
        <v>-25700</v>
      </c>
      <c r="V171" s="5" t="s">
        <v>279</v>
      </c>
      <c r="W171" s="5"/>
      <c r="X171" s="5"/>
      <c r="Y171" s="6"/>
    </row>
    <row r="172" spans="19:25" ht="15.6">
      <c r="S172" s="184"/>
      <c r="T172" s="21"/>
      <c r="U172" s="5"/>
      <c r="V172" s="5"/>
      <c r="W172" s="5"/>
      <c r="X172" s="5"/>
      <c r="Y172" s="6"/>
    </row>
    <row r="173" spans="19:25" ht="15.6">
      <c r="S173" s="184" t="s">
        <v>577</v>
      </c>
      <c r="T173" s="153"/>
      <c r="U173" s="5"/>
      <c r="V173" s="5"/>
      <c r="W173" s="5"/>
      <c r="X173" s="5"/>
      <c r="Y173" s="6"/>
    </row>
    <row r="174" spans="19:25" ht="48.6" customHeight="1">
      <c r="S174" s="183" t="s">
        <v>340</v>
      </c>
      <c r="T174" s="94" t="s">
        <v>135</v>
      </c>
      <c r="U174" s="377"/>
      <c r="V174" s="377"/>
      <c r="W174" s="377"/>
      <c r="X174" s="377"/>
      <c r="Y174" s="465"/>
    </row>
    <row r="175" spans="19:25" ht="15.6">
      <c r="S175" s="183" t="s">
        <v>340</v>
      </c>
      <c r="T175" s="94" t="s">
        <v>135</v>
      </c>
      <c r="U175" s="129">
        <f>Database!$C$44*(($G$67+273.15)-(Database!$H$11))+((Database!$D$44*(($G$67+273.15)^2-(Database!$H$11)^2))/2)+((Database!$E$44*(($G$67+273.15)^3-(Database!$H$11)^3))/3)+((Database!$F$44*(($G$67+273.15)^4-(Database!$H$11)^4))/4)</f>
        <v>-61.494296931069591</v>
      </c>
      <c r="V175" s="5" t="s">
        <v>279</v>
      </c>
      <c r="W175" s="5"/>
      <c r="X175" s="5"/>
      <c r="Y175" s="6"/>
    </row>
    <row r="176" spans="19:25" ht="15.6">
      <c r="S176" s="184"/>
      <c r="T176" s="153"/>
      <c r="U176" s="5"/>
      <c r="V176" s="5"/>
      <c r="W176" s="5"/>
      <c r="X176" s="5"/>
      <c r="Y176" s="6"/>
    </row>
    <row r="177" spans="19:25" ht="15.6">
      <c r="S177" s="183" t="s">
        <v>292</v>
      </c>
      <c r="T177" s="94" t="s">
        <v>135</v>
      </c>
      <c r="U177" s="9" t="s">
        <v>339</v>
      </c>
      <c r="V177" s="117" t="s">
        <v>284</v>
      </c>
      <c r="W177" s="9" t="s">
        <v>343</v>
      </c>
      <c r="X177" s="117" t="s">
        <v>284</v>
      </c>
      <c r="Y177" s="121" t="s">
        <v>340</v>
      </c>
    </row>
    <row r="178" spans="19:25" ht="15.6">
      <c r="S178" s="185" t="s">
        <v>292</v>
      </c>
      <c r="T178" s="182" t="s">
        <v>135</v>
      </c>
      <c r="U178" s="119">
        <f>U175+U171+U167</f>
        <v>-26456.980500997608</v>
      </c>
      <c r="V178" s="11" t="s">
        <v>279</v>
      </c>
      <c r="W178" s="11"/>
      <c r="X178" s="11"/>
      <c r="Y178" s="12"/>
    </row>
    <row r="179" spans="19:25" ht="15.75" customHeight="1">
      <c r="S179" s="148"/>
      <c r="T179" s="148"/>
      <c r="U179" s="148"/>
      <c r="V179" s="148"/>
      <c r="W179" s="148"/>
      <c r="X179" s="148"/>
      <c r="Y179" s="148"/>
    </row>
    <row r="180" spans="19:25" ht="15.6">
      <c r="S180" s="1"/>
      <c r="T180" s="2"/>
      <c r="U180" s="91" t="s">
        <v>345</v>
      </c>
      <c r="V180" s="2"/>
      <c r="W180" s="2"/>
      <c r="X180" s="2"/>
      <c r="Y180" s="3"/>
    </row>
    <row r="181" spans="19:25" ht="15.6">
      <c r="S181" s="116" t="s">
        <v>346</v>
      </c>
      <c r="T181" s="5"/>
      <c r="U181" s="5"/>
      <c r="V181" s="5"/>
      <c r="W181" s="9" t="s">
        <v>347</v>
      </c>
      <c r="X181" s="5"/>
      <c r="Y181" s="6"/>
    </row>
    <row r="182" spans="19:25" ht="15.6">
      <c r="S182" s="156" t="s">
        <v>348</v>
      </c>
      <c r="T182" s="5"/>
      <c r="U182" s="5"/>
      <c r="V182" s="5"/>
      <c r="W182" s="64" t="s">
        <v>349</v>
      </c>
      <c r="X182" s="5"/>
      <c r="Y182" s="6"/>
    </row>
    <row r="183" spans="19:25" ht="15.6">
      <c r="S183" s="172"/>
      <c r="T183" s="5"/>
      <c r="U183" s="5"/>
      <c r="V183" s="5"/>
      <c r="W183" s="148"/>
      <c r="X183" s="5"/>
      <c r="Y183" s="6"/>
    </row>
    <row r="184" spans="19:25" ht="15.6">
      <c r="S184" s="4"/>
      <c r="T184" s="9" t="s">
        <v>350</v>
      </c>
      <c r="U184" s="9" t="s">
        <v>352</v>
      </c>
      <c r="V184" s="9" t="s">
        <v>351</v>
      </c>
      <c r="W184" s="5"/>
      <c r="X184" s="5"/>
      <c r="Y184" s="6"/>
    </row>
    <row r="185" spans="19:25" ht="15.6">
      <c r="S185" s="4"/>
      <c r="T185" s="5"/>
      <c r="U185" s="148"/>
      <c r="V185" s="5"/>
      <c r="W185" s="5"/>
      <c r="X185" s="5"/>
      <c r="Y185" s="6"/>
    </row>
    <row r="186" spans="19:25" ht="15.6">
      <c r="S186" s="4" t="s">
        <v>578</v>
      </c>
      <c r="T186" s="9"/>
      <c r="U186" s="5"/>
      <c r="V186" s="148"/>
      <c r="W186" s="5"/>
      <c r="X186" s="5"/>
      <c r="Y186" s="6"/>
    </row>
    <row r="187" spans="19:25" ht="53.4" customHeight="1">
      <c r="S187" s="88" t="s">
        <v>348</v>
      </c>
      <c r="T187" s="94" t="s">
        <v>135</v>
      </c>
      <c r="U187" s="377"/>
      <c r="V187" s="377"/>
      <c r="W187" s="377"/>
      <c r="X187" s="377"/>
      <c r="Y187" s="465"/>
    </row>
    <row r="188" spans="19:25" ht="15.6">
      <c r="S188" s="88" t="s">
        <v>348</v>
      </c>
      <c r="T188" s="94" t="s">
        <v>135</v>
      </c>
      <c r="U188" s="96">
        <f>(Database!$C$33*((Database!$H$12)-($V$43+273.15)))+(((Database!$D$33)*((Database!$H$12)^2-($V$43+273.15)^2))/2)+((Database!$E$33*((Database!$H$12)^3-($V$43+273.15)^3))/3)+((Database!$F$33*((Database!$H$12)^4-($V$43+273.15)^4))/4)+((Database!$G$33)*((Database!$H$12)^(5)-($V$43+273.15)^5))/5</f>
        <v>14587.315366913117</v>
      </c>
      <c r="V188" s="148"/>
      <c r="W188" s="5"/>
      <c r="X188" s="5"/>
      <c r="Y188" s="6"/>
    </row>
    <row r="189" spans="19:25" ht="15.6">
      <c r="S189" s="181"/>
      <c r="T189" s="168"/>
      <c r="U189" s="148"/>
      <c r="V189" s="5"/>
      <c r="W189" s="5"/>
      <c r="X189" s="5"/>
      <c r="Y189" s="6"/>
    </row>
    <row r="190" spans="19:25" ht="15.6">
      <c r="S190" s="181" t="s">
        <v>353</v>
      </c>
      <c r="T190" s="21"/>
      <c r="U190" s="5"/>
      <c r="V190" s="5"/>
      <c r="W190" s="5"/>
      <c r="X190" s="5"/>
      <c r="Y190" s="6"/>
    </row>
    <row r="191" spans="19:25" ht="15.6">
      <c r="S191" s="88" t="s">
        <v>352</v>
      </c>
      <c r="T191" s="94" t="s">
        <v>135</v>
      </c>
      <c r="U191" s="94" t="s">
        <v>552</v>
      </c>
      <c r="V191" s="5"/>
      <c r="W191" s="5"/>
      <c r="X191" s="5"/>
      <c r="Y191" s="6"/>
    </row>
    <row r="192" spans="19:25" ht="15.6">
      <c r="S192" s="88" t="s">
        <v>352</v>
      </c>
      <c r="T192" s="94" t="s">
        <v>135</v>
      </c>
      <c r="U192" s="9">
        <f>Database!$I$22*1000*-1</f>
        <v>-51530</v>
      </c>
      <c r="V192" s="5" t="s">
        <v>279</v>
      </c>
      <c r="W192" s="5"/>
      <c r="X192" s="5"/>
      <c r="Y192" s="6"/>
    </row>
    <row r="193" spans="19:25" ht="15.6">
      <c r="S193" s="181"/>
      <c r="T193" s="21"/>
      <c r="U193" s="5"/>
      <c r="V193" s="5"/>
      <c r="W193" s="5"/>
      <c r="X193" s="5"/>
      <c r="Y193" s="6"/>
    </row>
    <row r="194" spans="19:25" ht="15.6">
      <c r="S194" s="181" t="s">
        <v>577</v>
      </c>
      <c r="T194" s="153"/>
      <c r="U194" s="5"/>
      <c r="V194" s="5"/>
      <c r="W194" s="5"/>
      <c r="X194" s="5"/>
      <c r="Y194" s="6"/>
    </row>
    <row r="195" spans="19:25" ht="55.2" customHeight="1">
      <c r="S195" s="88" t="s">
        <v>349</v>
      </c>
      <c r="T195" s="94" t="s">
        <v>135</v>
      </c>
      <c r="U195" s="377"/>
      <c r="V195" s="377"/>
      <c r="W195" s="377"/>
      <c r="X195" s="377"/>
      <c r="Y195" s="465"/>
    </row>
    <row r="196" spans="19:25" ht="15.6">
      <c r="S196" s="88" t="s">
        <v>349</v>
      </c>
      <c r="T196" s="94" t="s">
        <v>135</v>
      </c>
      <c r="U196" s="129">
        <f>Database!$C$45*(($G$67+273.15)-(Database!$H$12))+((Database!$D$45*(($G$67+273.15)^2-(Database!$H$12)^2))/2)+((Database!$E$45*(($G$67+273.15)^3-(Database!$H$12)^3))/3)+((Database!$F$45*(($G$67+273.15)^4-(Database!$H$12)^4))/4)</f>
        <v>-33028.850108024802</v>
      </c>
      <c r="V196" s="5" t="s">
        <v>279</v>
      </c>
      <c r="W196" s="5"/>
      <c r="X196" s="5"/>
      <c r="Y196" s="6"/>
    </row>
    <row r="197" spans="19:25" ht="15.6">
      <c r="S197" s="181"/>
      <c r="T197" s="153"/>
      <c r="U197" s="5"/>
      <c r="V197" s="5"/>
      <c r="W197" s="5"/>
      <c r="X197" s="5"/>
      <c r="Y197" s="6"/>
    </row>
    <row r="198" spans="19:25" ht="15.6">
      <c r="S198" s="88" t="s">
        <v>345</v>
      </c>
      <c r="T198" s="94" t="s">
        <v>135</v>
      </c>
      <c r="U198" s="9" t="s">
        <v>348</v>
      </c>
      <c r="V198" s="117" t="s">
        <v>284</v>
      </c>
      <c r="W198" s="9" t="s">
        <v>352</v>
      </c>
      <c r="X198" s="117" t="s">
        <v>284</v>
      </c>
      <c r="Y198" s="121" t="s">
        <v>349</v>
      </c>
    </row>
    <row r="199" spans="19:25" ht="15.6">
      <c r="S199" s="135" t="s">
        <v>345</v>
      </c>
      <c r="T199" s="182" t="s">
        <v>135</v>
      </c>
      <c r="U199" s="119">
        <f>U196+U192+U188</f>
        <v>-69971.534741111696</v>
      </c>
      <c r="V199" s="11" t="s">
        <v>279</v>
      </c>
      <c r="W199" s="11"/>
      <c r="X199" s="11"/>
      <c r="Y199" s="12"/>
    </row>
    <row r="200" spans="19:25" ht="15.75" customHeight="1">
      <c r="S200" s="148"/>
      <c r="T200" s="148"/>
      <c r="U200" s="148"/>
      <c r="V200" s="148"/>
      <c r="W200" s="148"/>
      <c r="X200" s="148"/>
      <c r="Y200" s="148"/>
    </row>
    <row r="201" spans="19:25" ht="15.6">
      <c r="S201" s="1"/>
      <c r="T201" s="2"/>
      <c r="U201" s="91" t="s">
        <v>354</v>
      </c>
      <c r="V201" s="2"/>
      <c r="W201" s="2"/>
      <c r="X201" s="2"/>
      <c r="Y201" s="3"/>
    </row>
    <row r="202" spans="19:25" ht="15.6">
      <c r="S202" s="116" t="s">
        <v>355</v>
      </c>
      <c r="T202" s="5"/>
      <c r="U202" s="5"/>
      <c r="V202" s="5"/>
      <c r="W202" s="109" t="s">
        <v>356</v>
      </c>
      <c r="X202" s="5"/>
      <c r="Y202" s="6"/>
    </row>
    <row r="203" spans="19:25" ht="15.6">
      <c r="S203" s="156" t="s">
        <v>357</v>
      </c>
      <c r="T203" s="5"/>
      <c r="U203" s="5"/>
      <c r="V203" s="5"/>
      <c r="W203" s="64" t="s">
        <v>358</v>
      </c>
      <c r="X203" s="5"/>
      <c r="Y203" s="6"/>
    </row>
    <row r="204" spans="19:25" ht="15.6">
      <c r="S204" s="172"/>
      <c r="T204" s="5"/>
      <c r="U204" s="5"/>
      <c r="V204" s="5"/>
      <c r="W204" s="148"/>
      <c r="X204" s="5"/>
      <c r="Y204" s="6"/>
    </row>
    <row r="205" spans="19:25" ht="15.6">
      <c r="S205" s="4"/>
      <c r="T205" s="9" t="s">
        <v>359</v>
      </c>
      <c r="U205" s="9" t="s">
        <v>361</v>
      </c>
      <c r="V205" s="9" t="s">
        <v>360</v>
      </c>
      <c r="W205" s="5"/>
      <c r="X205" s="5"/>
      <c r="Y205" s="6"/>
    </row>
    <row r="206" spans="19:25" ht="15.6">
      <c r="S206" s="4"/>
      <c r="T206" s="5"/>
      <c r="U206" s="148"/>
      <c r="V206" s="5"/>
      <c r="W206" s="5"/>
      <c r="X206" s="5"/>
      <c r="Y206" s="6"/>
    </row>
    <row r="207" spans="19:25" ht="15.6">
      <c r="S207" s="4" t="s">
        <v>579</v>
      </c>
      <c r="T207" s="9"/>
      <c r="U207" s="5"/>
      <c r="V207" s="148"/>
      <c r="W207" s="5"/>
      <c r="X207" s="5"/>
      <c r="Y207" s="6"/>
    </row>
    <row r="208" spans="19:25" ht="52.2" customHeight="1">
      <c r="S208" s="88" t="s">
        <v>357</v>
      </c>
      <c r="T208" s="94" t="s">
        <v>135</v>
      </c>
      <c r="U208" s="377"/>
      <c r="V208" s="377"/>
      <c r="W208" s="377"/>
      <c r="X208" s="377"/>
      <c r="Y208" s="465"/>
    </row>
    <row r="209" spans="19:25" ht="15.6">
      <c r="S209" s="116" t="s">
        <v>357</v>
      </c>
      <c r="T209" s="117" t="s">
        <v>135</v>
      </c>
      <c r="U209" s="96">
        <f>(Database!$C$34*((Database!$H$13)-($V$43+273.15)))+(((Database!$D$34)*((Database!$H$13)^2-($V$43+273.15)^2))/2)+((Database!$E$34*((Database!$H$13)^3-($V$43+273.15)^3))/3)+((Database!$F$34*((Database!$H$13)^4-($V$43+273.15)^4))/4)+((Database!$G$34)*((Database!$H$13)^(5)-($V$43+273.15)^5))/5</f>
        <v>44168.085339864891</v>
      </c>
      <c r="V209" s="148"/>
      <c r="W209" s="5"/>
      <c r="X209" s="5"/>
      <c r="Y209" s="6"/>
    </row>
    <row r="210" spans="19:25" ht="15.6">
      <c r="S210" s="4"/>
      <c r="T210" s="148"/>
      <c r="U210" s="148"/>
      <c r="V210" s="5"/>
      <c r="W210" s="5"/>
      <c r="X210" s="5"/>
      <c r="Y210" s="6"/>
    </row>
    <row r="211" spans="19:25" ht="15.6">
      <c r="S211" s="4" t="s">
        <v>362</v>
      </c>
      <c r="T211" s="9"/>
      <c r="U211" s="5"/>
      <c r="V211" s="5"/>
      <c r="W211" s="5"/>
      <c r="X211" s="5"/>
      <c r="Y211" s="6"/>
    </row>
    <row r="212" spans="19:25" ht="15.6">
      <c r="S212" s="116" t="s">
        <v>361</v>
      </c>
      <c r="T212" s="117" t="s">
        <v>135</v>
      </c>
      <c r="U212" s="94" t="s">
        <v>553</v>
      </c>
      <c r="V212" s="5"/>
      <c r="W212" s="5"/>
      <c r="X212" s="5"/>
      <c r="Y212" s="6"/>
    </row>
    <row r="213" spans="19:25" ht="15.6">
      <c r="S213" s="116" t="s">
        <v>361</v>
      </c>
      <c r="T213" s="117" t="s">
        <v>135</v>
      </c>
      <c r="U213" s="9">
        <f>Database!$I$23*1000*-1</f>
        <v>-64459.999999999993</v>
      </c>
      <c r="V213" s="5" t="s">
        <v>279</v>
      </c>
      <c r="W213" s="5"/>
      <c r="X213" s="5"/>
      <c r="Y213" s="6"/>
    </row>
    <row r="214" spans="19:25" ht="15.6">
      <c r="S214" s="4"/>
      <c r="T214" s="9"/>
      <c r="U214" s="5"/>
      <c r="V214" s="5"/>
      <c r="W214" s="5"/>
      <c r="X214" s="5"/>
      <c r="Y214" s="6"/>
    </row>
    <row r="215" spans="19:25" ht="15.6">
      <c r="S215" s="4" t="s">
        <v>580</v>
      </c>
      <c r="T215" s="5"/>
      <c r="U215" s="5"/>
      <c r="V215" s="5"/>
      <c r="W215" s="5"/>
      <c r="X215" s="5"/>
      <c r="Y215" s="6"/>
    </row>
    <row r="216" spans="19:25" ht="51.6" customHeight="1">
      <c r="S216" s="88" t="s">
        <v>358</v>
      </c>
      <c r="T216" s="94" t="s">
        <v>135</v>
      </c>
      <c r="U216" s="377"/>
      <c r="V216" s="377"/>
      <c r="W216" s="377"/>
      <c r="X216" s="377"/>
      <c r="Y216" s="465"/>
    </row>
    <row r="217" spans="19:25" ht="15.6">
      <c r="S217" s="88" t="s">
        <v>358</v>
      </c>
      <c r="T217" s="94" t="s">
        <v>135</v>
      </c>
      <c r="U217" s="129">
        <f>Database!$C$46*(($G$67+273.15)-(Database!$H$13))+((Database!$D$46*(($G$67+273.15)^2-(Database!$H$13)^2))/2)+((Database!$E$46*(($G$67+273.15)^3-(Database!$H$13)^3))/3)+((Database!$F$46*(($G$67+273.15)^4-(Database!$H$13)^4))/4)</f>
        <v>-67221.077803967637</v>
      </c>
      <c r="V217" s="5" t="s">
        <v>279</v>
      </c>
      <c r="W217" s="5"/>
      <c r="X217" s="5"/>
      <c r="Y217" s="6"/>
    </row>
    <row r="218" spans="19:25" ht="15.6">
      <c r="S218" s="181"/>
      <c r="T218" s="153"/>
      <c r="U218" s="5"/>
      <c r="V218" s="5"/>
      <c r="W218" s="5"/>
      <c r="X218" s="5"/>
      <c r="Y218" s="6"/>
    </row>
    <row r="219" spans="19:25" ht="15.6">
      <c r="S219" s="88" t="s">
        <v>354</v>
      </c>
      <c r="T219" s="94" t="s">
        <v>135</v>
      </c>
      <c r="U219" s="9" t="s">
        <v>357</v>
      </c>
      <c r="V219" s="117" t="s">
        <v>284</v>
      </c>
      <c r="W219" s="9" t="s">
        <v>361</v>
      </c>
      <c r="X219" s="117" t="s">
        <v>284</v>
      </c>
      <c r="Y219" s="121" t="s">
        <v>358</v>
      </c>
    </row>
    <row r="220" spans="19:25" ht="15.6">
      <c r="S220" s="85" t="s">
        <v>354</v>
      </c>
      <c r="T220" s="118" t="s">
        <v>135</v>
      </c>
      <c r="U220" s="119">
        <f>U217+U213+U209</f>
        <v>-87512.992464102746</v>
      </c>
      <c r="V220" s="11" t="s">
        <v>279</v>
      </c>
      <c r="W220" s="11"/>
      <c r="X220" s="11"/>
      <c r="Y220" s="12"/>
    </row>
    <row r="221" spans="19:25" ht="15.75" customHeight="1">
      <c r="S221" s="148"/>
      <c r="T221" s="148"/>
      <c r="U221" s="148"/>
      <c r="V221" s="148"/>
      <c r="W221" s="148"/>
      <c r="X221" s="148"/>
      <c r="Y221" s="148"/>
    </row>
    <row r="222" spans="19:25" ht="15.6">
      <c r="S222" s="1"/>
      <c r="T222" s="2"/>
      <c r="U222" s="91" t="s">
        <v>363</v>
      </c>
      <c r="V222" s="2"/>
      <c r="W222" s="2"/>
      <c r="X222" s="2"/>
      <c r="Y222" s="3"/>
    </row>
    <row r="223" spans="19:25" ht="15.6">
      <c r="S223" s="116" t="s">
        <v>364</v>
      </c>
      <c r="T223" s="5"/>
      <c r="U223" s="5"/>
      <c r="V223" s="5"/>
      <c r="W223" s="109" t="s">
        <v>365</v>
      </c>
      <c r="X223" s="5"/>
      <c r="Y223" s="6"/>
    </row>
    <row r="224" spans="19:25" ht="15.6">
      <c r="S224" s="156" t="s">
        <v>366</v>
      </c>
      <c r="T224" s="5"/>
      <c r="U224" s="5"/>
      <c r="V224" s="5"/>
      <c r="W224" s="64" t="s">
        <v>367</v>
      </c>
      <c r="X224" s="5"/>
      <c r="Y224" s="6"/>
    </row>
    <row r="225" spans="19:25" ht="15.6">
      <c r="S225" s="172"/>
      <c r="T225" s="5"/>
      <c r="U225" s="5"/>
      <c r="V225" s="5"/>
      <c r="W225" s="148"/>
      <c r="X225" s="5"/>
      <c r="Y225" s="6"/>
    </row>
    <row r="226" spans="19:25" ht="15.6">
      <c r="S226" s="4"/>
      <c r="T226" s="9" t="s">
        <v>368</v>
      </c>
      <c r="U226" s="9" t="s">
        <v>370</v>
      </c>
      <c r="V226" s="9" t="s">
        <v>369</v>
      </c>
      <c r="W226" s="5"/>
      <c r="X226" s="5"/>
      <c r="Y226" s="6"/>
    </row>
    <row r="227" spans="19:25" ht="15.6">
      <c r="S227" s="4"/>
      <c r="T227" s="5"/>
      <c r="U227" s="148"/>
      <c r="V227" s="5"/>
      <c r="W227" s="5"/>
      <c r="X227" s="5"/>
      <c r="Y227" s="6"/>
    </row>
    <row r="228" spans="19:25" ht="15.6">
      <c r="S228" s="4" t="s">
        <v>581</v>
      </c>
      <c r="T228" s="9"/>
      <c r="U228" s="5"/>
      <c r="V228" s="148"/>
      <c r="W228" s="5"/>
      <c r="X228" s="5"/>
      <c r="Y228" s="6"/>
    </row>
    <row r="229" spans="19:25" ht="46.8" customHeight="1">
      <c r="S229" s="88" t="s">
        <v>366</v>
      </c>
      <c r="T229" s="94" t="s">
        <v>135</v>
      </c>
      <c r="U229" s="377"/>
      <c r="V229" s="377"/>
      <c r="W229" s="377"/>
      <c r="X229" s="377"/>
      <c r="Y229" s="465"/>
    </row>
    <row r="230" spans="19:25" ht="15.6">
      <c r="S230" s="116" t="s">
        <v>366</v>
      </c>
      <c r="T230" s="117" t="s">
        <v>135</v>
      </c>
      <c r="U230" s="96">
        <f>(Database!$C$35*((Database!$H$14)-($V$43+273.15)))+(((Database!$D$35)*((Database!$H$14)^2-($V$43+273.15)^2))/2)+((Database!$E$35*((Database!$H$14)^3-($V$43+273.15)^3))/3)+((Database!$F$35*((Database!$H$14)^4-($V$43+273.15)^4))/4)+((Database!$G$35)*((Database!$H$14)^(5)-($V$43+273.15)^5))/5</f>
        <v>83864.044961042237</v>
      </c>
      <c r="V230" s="148"/>
      <c r="W230" s="5"/>
      <c r="X230" s="5"/>
      <c r="Y230" s="6"/>
    </row>
    <row r="231" spans="19:25" ht="15.6">
      <c r="S231" s="4"/>
      <c r="T231" s="148"/>
      <c r="U231" s="148"/>
      <c r="V231" s="5"/>
      <c r="W231" s="5"/>
      <c r="X231" s="5"/>
      <c r="Y231" s="6"/>
    </row>
    <row r="232" spans="19:25" ht="15.6">
      <c r="S232" s="4" t="s">
        <v>371</v>
      </c>
      <c r="T232" s="9"/>
      <c r="U232" s="5"/>
      <c r="V232" s="5"/>
      <c r="W232" s="5"/>
      <c r="X232" s="5"/>
      <c r="Y232" s="6"/>
    </row>
    <row r="233" spans="19:25" ht="15.6">
      <c r="S233" s="116" t="s">
        <v>370</v>
      </c>
      <c r="T233" s="117" t="s">
        <v>135</v>
      </c>
      <c r="U233" s="94" t="s">
        <v>554</v>
      </c>
      <c r="V233" s="5"/>
      <c r="W233" s="5"/>
      <c r="X233" s="5"/>
      <c r="Y233" s="6"/>
    </row>
    <row r="234" spans="19:25" ht="15.6">
      <c r="S234" s="116" t="s">
        <v>370</v>
      </c>
      <c r="T234" s="117" t="s">
        <v>135</v>
      </c>
      <c r="U234" s="9">
        <f>Database!$I$24*1000*-1</f>
        <v>-70680</v>
      </c>
      <c r="V234" s="5" t="s">
        <v>279</v>
      </c>
      <c r="W234" s="5"/>
      <c r="X234" s="5"/>
      <c r="Y234" s="6"/>
    </row>
    <row r="235" spans="19:25" ht="15.6">
      <c r="S235" s="4"/>
      <c r="T235" s="9"/>
      <c r="U235" s="5"/>
      <c r="V235" s="5"/>
      <c r="W235" s="5"/>
      <c r="X235" s="5"/>
      <c r="Y235" s="6"/>
    </row>
    <row r="236" spans="19:25" ht="15.6">
      <c r="S236" s="4" t="s">
        <v>577</v>
      </c>
      <c r="T236" s="5"/>
      <c r="U236" s="5"/>
      <c r="V236" s="5"/>
      <c r="W236" s="5"/>
      <c r="X236" s="5"/>
      <c r="Y236" s="6"/>
    </row>
    <row r="237" spans="19:25" ht="52.2" customHeight="1">
      <c r="S237" s="88" t="s">
        <v>367</v>
      </c>
      <c r="T237" s="94" t="s">
        <v>135</v>
      </c>
      <c r="U237" s="377"/>
      <c r="V237" s="377"/>
      <c r="W237" s="377"/>
      <c r="X237" s="377"/>
      <c r="Y237" s="465"/>
    </row>
    <row r="238" spans="19:25" ht="15.6">
      <c r="S238" s="116" t="s">
        <v>367</v>
      </c>
      <c r="T238" s="117" t="s">
        <v>135</v>
      </c>
      <c r="U238" s="129">
        <f>Database!$C$47*(($G$67+273.15)-(Database!$H$14))+((Database!$D$47*(($G$67+273.15)^2-(Database!$H$14)^2))/2)+((Database!$E$47*(($G$67+273.15)^3-(Database!$H$14)^3))/3)+((Database!$F$47*(($G$67+273.15)^4-(Database!$H$14)^4))/4)</f>
        <v>-135179.02473737416</v>
      </c>
      <c r="V238" s="5" t="s">
        <v>279</v>
      </c>
      <c r="W238" s="5"/>
      <c r="X238" s="5"/>
      <c r="Y238" s="6"/>
    </row>
    <row r="239" spans="19:25" ht="15.6">
      <c r="S239" s="4"/>
      <c r="T239" s="5"/>
      <c r="U239" s="5"/>
      <c r="V239" s="5"/>
      <c r="W239" s="5"/>
      <c r="X239" s="5"/>
      <c r="Y239" s="6"/>
    </row>
    <row r="240" spans="19:25" ht="15.6">
      <c r="S240" s="116" t="s">
        <v>363</v>
      </c>
      <c r="T240" s="117" t="s">
        <v>135</v>
      </c>
      <c r="U240" s="9" t="s">
        <v>366</v>
      </c>
      <c r="V240" s="117" t="s">
        <v>284</v>
      </c>
      <c r="W240" s="9" t="s">
        <v>370</v>
      </c>
      <c r="X240" s="117" t="s">
        <v>284</v>
      </c>
      <c r="Y240" s="121" t="s">
        <v>367</v>
      </c>
    </row>
    <row r="241" spans="19:25" ht="15.6">
      <c r="S241" s="85" t="s">
        <v>363</v>
      </c>
      <c r="T241" s="118" t="s">
        <v>135</v>
      </c>
      <c r="U241" s="119">
        <f>U238+U234+U230</f>
        <v>-121994.97977633192</v>
      </c>
      <c r="V241" s="11" t="s">
        <v>279</v>
      </c>
      <c r="W241" s="11"/>
      <c r="X241" s="11"/>
      <c r="Y241" s="12"/>
    </row>
  </sheetData>
  <mergeCells count="53">
    <mergeCell ref="J2:K2"/>
    <mergeCell ref="J4:L4"/>
    <mergeCell ref="J11:L11"/>
    <mergeCell ref="J18:K18"/>
    <mergeCell ref="J22:K22"/>
    <mergeCell ref="J3:K3"/>
    <mergeCell ref="E49:F49"/>
    <mergeCell ref="E50:F50"/>
    <mergeCell ref="U187:Y187"/>
    <mergeCell ref="U145:Y145"/>
    <mergeCell ref="U166:Y166"/>
    <mergeCell ref="U174:Y174"/>
    <mergeCell ref="U95:Y95"/>
    <mergeCell ref="U103:Y103"/>
    <mergeCell ref="U156:Y156"/>
    <mergeCell ref="E51:G51"/>
    <mergeCell ref="E58:G58"/>
    <mergeCell ref="X56:Y56"/>
    <mergeCell ref="E65:F65"/>
    <mergeCell ref="E66:F66"/>
    <mergeCell ref="E67:F67"/>
    <mergeCell ref="E68:F68"/>
    <mergeCell ref="U237:Y237"/>
    <mergeCell ref="U216:Y216"/>
    <mergeCell ref="U208:Y208"/>
    <mergeCell ref="U229:Y229"/>
    <mergeCell ref="U195:Y195"/>
    <mergeCell ref="C19:D19"/>
    <mergeCell ref="C20:D20"/>
    <mergeCell ref="J19:K19"/>
    <mergeCell ref="J20:K20"/>
    <mergeCell ref="S44:S45"/>
    <mergeCell ref="C21:E21"/>
    <mergeCell ref="C28:E28"/>
    <mergeCell ref="C35:D35"/>
    <mergeCell ref="C36:D36"/>
    <mergeCell ref="J21:K21"/>
    <mergeCell ref="C37:D37"/>
    <mergeCell ref="C38:D38"/>
    <mergeCell ref="C39:D39"/>
    <mergeCell ref="S4:U4"/>
    <mergeCell ref="U116:Y116"/>
    <mergeCell ref="U124:Y124"/>
    <mergeCell ref="U137:Y137"/>
    <mergeCell ref="U74:Y74"/>
    <mergeCell ref="U82:Y82"/>
    <mergeCell ref="V56:W56"/>
    <mergeCell ref="T43:U43"/>
    <mergeCell ref="T56:U56"/>
    <mergeCell ref="U64:Y64"/>
    <mergeCell ref="T44:U44"/>
    <mergeCell ref="V44:W44"/>
    <mergeCell ref="X44:Y44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AF82"/>
  <sheetViews>
    <sheetView topLeftCell="S55" zoomScale="68" zoomScaleNormal="68" workbookViewId="0">
      <selection activeCell="J40" sqref="J40"/>
    </sheetView>
  </sheetViews>
  <sheetFormatPr defaultColWidth="12.6640625" defaultRowHeight="15.75" customHeight="1"/>
  <cols>
    <col min="4" max="4" width="16.33203125" customWidth="1"/>
    <col min="5" max="5" width="13.5546875" bestFit="1" customWidth="1"/>
    <col min="9" max="10" width="12.6640625" customWidth="1"/>
    <col min="14" max="14" width="17.109375" customWidth="1"/>
    <col min="15" max="15" width="14.6640625" bestFit="1" customWidth="1"/>
    <col min="19" max="19" width="14.6640625" customWidth="1"/>
    <col min="20" max="20" width="14.21875" customWidth="1"/>
    <col min="22" max="22" width="33.33203125" customWidth="1"/>
    <col min="23" max="23" width="27.109375" customWidth="1"/>
    <col min="25" max="25" width="36.109375" customWidth="1"/>
    <col min="26" max="26" width="21.6640625" customWidth="1"/>
    <col min="27" max="27" width="17.33203125" customWidth="1"/>
    <col min="28" max="28" width="22" customWidth="1"/>
    <col min="29" max="29" width="24.44140625" customWidth="1"/>
    <col min="32" max="32" width="15.109375" customWidth="1"/>
  </cols>
  <sheetData>
    <row r="2" spans="3:32" ht="15.75" customHeight="1">
      <c r="C2" s="407" t="s">
        <v>79</v>
      </c>
      <c r="D2" s="389"/>
      <c r="E2" s="33">
        <f>E5*W7</f>
        <v>4393.2102446846047</v>
      </c>
      <c r="M2" s="407" t="s">
        <v>79</v>
      </c>
      <c r="N2" s="389"/>
      <c r="O2" s="33">
        <f>O5*W7</f>
        <v>4393.2102446846047</v>
      </c>
    </row>
    <row r="3" spans="3:32" ht="15.75" customHeight="1">
      <c r="C3" s="407" t="s">
        <v>80</v>
      </c>
      <c r="D3" s="389"/>
      <c r="E3" s="33">
        <f>SUM(E5:E10)</f>
        <v>257.95374579793349</v>
      </c>
      <c r="M3" s="407" t="s">
        <v>80</v>
      </c>
      <c r="N3" s="389"/>
      <c r="O3" s="33">
        <f>SUM(O5:O10)</f>
        <v>257.95374579793349</v>
      </c>
    </row>
    <row r="4" spans="3:32" ht="15.75" customHeight="1">
      <c r="C4" s="401" t="s">
        <v>66</v>
      </c>
      <c r="D4" s="391"/>
      <c r="E4" s="389"/>
      <c r="M4" s="401" t="s">
        <v>66</v>
      </c>
      <c r="N4" s="391"/>
      <c r="O4" s="389"/>
    </row>
    <row r="5" spans="3:32" ht="15.75" customHeight="1">
      <c r="C5" s="34" t="s">
        <v>67</v>
      </c>
      <c r="D5" s="45" t="s">
        <v>373</v>
      </c>
      <c r="E5" s="36">
        <f>'Phase Separator'!L5</f>
        <v>257.95374579793349</v>
      </c>
      <c r="M5" s="34" t="s">
        <v>67</v>
      </c>
      <c r="N5" s="45" t="s">
        <v>395</v>
      </c>
      <c r="O5" s="36">
        <f>AA14</f>
        <v>257.95374579793349</v>
      </c>
    </row>
    <row r="6" spans="3:32" ht="15.75" customHeight="1">
      <c r="C6" s="34" t="s">
        <v>68</v>
      </c>
      <c r="D6" s="37"/>
      <c r="E6" s="35"/>
      <c r="M6" s="34" t="s">
        <v>68</v>
      </c>
      <c r="N6" s="37"/>
      <c r="O6" s="35"/>
      <c r="V6" s="15" t="s">
        <v>6</v>
      </c>
      <c r="W6" s="15" t="s">
        <v>7</v>
      </c>
      <c r="Y6" s="449" t="s">
        <v>307</v>
      </c>
      <c r="Z6" s="391"/>
      <c r="AA6" s="389"/>
      <c r="AB6" s="5"/>
    </row>
    <row r="7" spans="3:32" ht="15.75" customHeight="1">
      <c r="C7" s="34" t="s">
        <v>69</v>
      </c>
      <c r="D7" s="35"/>
      <c r="E7" s="35"/>
      <c r="M7" s="34" t="s">
        <v>69</v>
      </c>
      <c r="N7" s="35"/>
      <c r="O7" s="35"/>
      <c r="V7" s="19" t="s">
        <v>30</v>
      </c>
      <c r="W7" s="20">
        <f>17.031</f>
        <v>17.030999999999999</v>
      </c>
      <c r="Y7" s="82" t="s">
        <v>201</v>
      </c>
      <c r="Z7" s="85">
        <v>1</v>
      </c>
      <c r="AA7" s="81" t="s">
        <v>396</v>
      </c>
      <c r="AB7" s="5"/>
    </row>
    <row r="8" spans="3:32" ht="15.75" customHeight="1">
      <c r="C8" s="34" t="s">
        <v>70</v>
      </c>
      <c r="D8" s="35"/>
      <c r="E8" s="35"/>
      <c r="M8" s="34" t="s">
        <v>70</v>
      </c>
      <c r="N8" s="35"/>
      <c r="O8" s="35"/>
      <c r="V8" s="19" t="s">
        <v>48</v>
      </c>
      <c r="W8" s="20">
        <v>44.052999999999997</v>
      </c>
      <c r="Y8" s="123" t="s">
        <v>309</v>
      </c>
      <c r="Z8" s="124">
        <v>-1</v>
      </c>
      <c r="AA8" s="81" t="s">
        <v>397</v>
      </c>
      <c r="AB8" s="5"/>
    </row>
    <row r="9" spans="3:32" ht="15.75" customHeight="1">
      <c r="C9" s="34" t="s">
        <v>71</v>
      </c>
      <c r="D9" s="35"/>
      <c r="E9" s="35"/>
      <c r="M9" s="34" t="s">
        <v>71</v>
      </c>
      <c r="N9" s="35"/>
      <c r="O9" s="35"/>
      <c r="V9" s="19" t="s">
        <v>59</v>
      </c>
      <c r="W9" s="20">
        <v>61.082999999999998</v>
      </c>
      <c r="Y9" s="82" t="s">
        <v>209</v>
      </c>
      <c r="Z9" s="85">
        <v>0</v>
      </c>
      <c r="AA9" s="81" t="s">
        <v>311</v>
      </c>
      <c r="AB9" s="5"/>
    </row>
    <row r="10" spans="3:32" ht="15.75" customHeight="1">
      <c r="C10" s="34" t="s">
        <v>72</v>
      </c>
      <c r="D10" s="35"/>
      <c r="E10" s="35"/>
      <c r="M10" s="34" t="s">
        <v>72</v>
      </c>
      <c r="N10" s="35"/>
      <c r="O10" s="35"/>
      <c r="V10" s="19" t="s">
        <v>61</v>
      </c>
      <c r="W10" s="20">
        <v>105.136</v>
      </c>
      <c r="Y10" s="125"/>
      <c r="Z10" s="126">
        <f>SUM(Z7:Z9)</f>
        <v>0</v>
      </c>
      <c r="AA10" s="125" t="s">
        <v>214</v>
      </c>
      <c r="AB10" s="5"/>
    </row>
    <row r="11" spans="3:32" ht="15.75" customHeight="1">
      <c r="C11" s="404" t="s">
        <v>85</v>
      </c>
      <c r="D11" s="405"/>
      <c r="E11" s="398"/>
      <c r="M11" s="404" t="s">
        <v>85</v>
      </c>
      <c r="N11" s="405"/>
      <c r="O11" s="398"/>
      <c r="V11" s="19" t="s">
        <v>63</v>
      </c>
      <c r="W11" s="20">
        <v>149.18799999999999</v>
      </c>
      <c r="Y11" s="5"/>
      <c r="Z11" s="5"/>
      <c r="AA11" s="5"/>
      <c r="AB11" s="5"/>
    </row>
    <row r="12" spans="3:32" ht="15.75" customHeight="1">
      <c r="C12" s="34" t="s">
        <v>67</v>
      </c>
      <c r="D12" s="35"/>
      <c r="E12" s="130">
        <f>E5/$E$3</f>
        <v>1</v>
      </c>
      <c r="M12" s="34" t="s">
        <v>67</v>
      </c>
      <c r="N12" s="35"/>
      <c r="O12" s="54">
        <f>O5/$O$3</f>
        <v>1</v>
      </c>
      <c r="V12" s="19" t="s">
        <v>65</v>
      </c>
      <c r="W12" s="24">
        <v>62.07</v>
      </c>
      <c r="Y12" s="11" t="s">
        <v>243</v>
      </c>
      <c r="Z12" s="5"/>
      <c r="AA12" s="5"/>
      <c r="AB12" s="5"/>
    </row>
    <row r="13" spans="3:32" ht="15.75" customHeight="1">
      <c r="C13" s="34" t="s">
        <v>68</v>
      </c>
      <c r="D13" s="35"/>
      <c r="E13" s="35"/>
      <c r="M13" s="34" t="s">
        <v>68</v>
      </c>
      <c r="N13" s="35"/>
      <c r="O13" s="35"/>
      <c r="Y13" s="96">
        <f>E5</f>
        <v>257.95374579793349</v>
      </c>
      <c r="Z13" s="9"/>
      <c r="AA13" s="95" t="s">
        <v>395</v>
      </c>
      <c r="AB13" s="9"/>
    </row>
    <row r="14" spans="3:32" ht="15.75" customHeight="1">
      <c r="C14" s="34" t="s">
        <v>69</v>
      </c>
      <c r="D14" s="35"/>
      <c r="E14" s="35"/>
      <c r="M14" s="34" t="s">
        <v>69</v>
      </c>
      <c r="N14" s="35"/>
      <c r="O14" s="35"/>
      <c r="Y14" s="95" t="s">
        <v>395</v>
      </c>
      <c r="Z14" s="117" t="s">
        <v>135</v>
      </c>
      <c r="AA14" s="102">
        <f>Y13</f>
        <v>257.95374579793349</v>
      </c>
      <c r="AB14" s="9" t="s">
        <v>246</v>
      </c>
    </row>
    <row r="15" spans="3:32" ht="15.75" customHeight="1">
      <c r="C15" s="34" t="s">
        <v>70</v>
      </c>
      <c r="D15" s="35"/>
      <c r="E15" s="35"/>
      <c r="M15" s="34" t="s">
        <v>70</v>
      </c>
      <c r="N15" s="35"/>
      <c r="O15" s="35"/>
    </row>
    <row r="16" spans="3:32" ht="15.75" customHeight="1">
      <c r="C16" s="34" t="s">
        <v>71</v>
      </c>
      <c r="D16" s="35"/>
      <c r="E16" s="35"/>
      <c r="M16" s="34" t="s">
        <v>71</v>
      </c>
      <c r="N16" s="35"/>
      <c r="O16" s="35"/>
      <c r="Y16" s="11" t="s">
        <v>256</v>
      </c>
      <c r="Z16" s="5"/>
      <c r="AA16" s="5"/>
      <c r="AB16" s="5"/>
      <c r="AC16" s="5"/>
      <c r="AD16" s="5"/>
      <c r="AE16" s="5"/>
      <c r="AF16" s="148"/>
    </row>
    <row r="17" spans="2:32" ht="15.75" customHeight="1">
      <c r="C17" s="34" t="s">
        <v>72</v>
      </c>
      <c r="D17" s="35"/>
      <c r="E17" s="35"/>
      <c r="M17" s="34" t="s">
        <v>72</v>
      </c>
      <c r="N17" s="35"/>
      <c r="O17" s="35"/>
      <c r="Y17" s="107" t="s">
        <v>257</v>
      </c>
      <c r="Z17" s="5"/>
      <c r="AA17" s="5"/>
      <c r="AB17" s="5"/>
      <c r="AC17" s="5"/>
      <c r="AD17" s="5"/>
      <c r="AE17" s="5"/>
      <c r="AF17" s="148"/>
    </row>
    <row r="18" spans="2:32" ht="15.75" customHeight="1">
      <c r="C18" s="406" t="s">
        <v>99</v>
      </c>
      <c r="D18" s="389"/>
      <c r="E18" s="50">
        <v>1</v>
      </c>
      <c r="M18" s="406" t="s">
        <v>99</v>
      </c>
      <c r="N18" s="389"/>
      <c r="O18" s="50">
        <v>0</v>
      </c>
      <c r="Y18" s="5"/>
      <c r="Z18" s="5"/>
      <c r="AA18" s="5"/>
      <c r="AB18" s="5"/>
      <c r="AC18" s="5"/>
      <c r="AD18" s="5"/>
      <c r="AE18" s="5"/>
      <c r="AF18" s="148"/>
    </row>
    <row r="19" spans="2:32" ht="15.75" customHeight="1">
      <c r="C19" s="397" t="s">
        <v>92</v>
      </c>
      <c r="D19" s="398"/>
      <c r="E19" s="48">
        <f>SUM(E12:E17)</f>
        <v>1</v>
      </c>
      <c r="M19" s="397" t="s">
        <v>92</v>
      </c>
      <c r="N19" s="398"/>
      <c r="O19" s="48">
        <f>SUM(O12:O17)</f>
        <v>1</v>
      </c>
      <c r="X19" s="5"/>
      <c r="Y19" s="108" t="s">
        <v>258</v>
      </c>
      <c r="Z19" s="5"/>
      <c r="AA19" s="5"/>
      <c r="AB19" s="5"/>
      <c r="AC19" s="5"/>
      <c r="AD19" s="5"/>
      <c r="AE19" s="5"/>
      <c r="AF19" s="148"/>
    </row>
    <row r="20" spans="2:32" ht="15.75" customHeight="1">
      <c r="C20" s="397" t="s">
        <v>75</v>
      </c>
      <c r="D20" s="398"/>
      <c r="E20" s="40">
        <v>10</v>
      </c>
      <c r="M20" s="397" t="s">
        <v>75</v>
      </c>
      <c r="N20" s="398"/>
      <c r="O20" s="40">
        <v>50</v>
      </c>
      <c r="X20" s="5"/>
      <c r="Y20" s="109">
        <v>1</v>
      </c>
      <c r="Z20" s="5" t="s">
        <v>259</v>
      </c>
      <c r="AA20" s="5"/>
      <c r="AB20" s="5"/>
      <c r="AC20" s="5"/>
      <c r="AD20" s="5"/>
      <c r="AE20" s="5"/>
      <c r="AF20" s="148"/>
    </row>
    <row r="21" spans="2:32" ht="15.75" customHeight="1">
      <c r="C21" s="396" t="s">
        <v>76</v>
      </c>
      <c r="D21" s="389"/>
      <c r="E21" s="45">
        <v>1</v>
      </c>
      <c r="M21" s="396" t="s">
        <v>76</v>
      </c>
      <c r="N21" s="389"/>
      <c r="O21" s="45">
        <v>1</v>
      </c>
      <c r="X21" s="5"/>
      <c r="Y21" s="109">
        <v>2</v>
      </c>
      <c r="Z21" s="5" t="s">
        <v>260</v>
      </c>
      <c r="AA21" s="5"/>
      <c r="AB21" s="5"/>
      <c r="AC21" s="5"/>
      <c r="AD21" s="5"/>
      <c r="AE21" s="5"/>
      <c r="AF21" s="148"/>
    </row>
    <row r="22" spans="2:32" ht="15.75" customHeight="1">
      <c r="C22" s="400" t="s">
        <v>548</v>
      </c>
      <c r="D22" s="400"/>
      <c r="E22" s="216">
        <f>Z38</f>
        <v>-138511.69863363699</v>
      </c>
      <c r="M22" s="400" t="s">
        <v>548</v>
      </c>
      <c r="N22" s="400"/>
      <c r="O22" s="216">
        <f>AB38</f>
        <v>-4849643.8491577543</v>
      </c>
      <c r="X22" s="5"/>
      <c r="Y22" s="109">
        <v>3</v>
      </c>
      <c r="Z22" s="5" t="s">
        <v>261</v>
      </c>
      <c r="AA22" s="5"/>
      <c r="AB22" s="5"/>
      <c r="AC22" s="5"/>
      <c r="AD22" s="5"/>
      <c r="AE22" s="5"/>
      <c r="AF22" s="148"/>
    </row>
    <row r="23" spans="2:32" ht="15.75" customHeight="1">
      <c r="P23" s="32" t="s">
        <v>78</v>
      </c>
      <c r="X23" s="5"/>
      <c r="Y23" s="5"/>
      <c r="Z23" s="5"/>
      <c r="AA23" s="5"/>
      <c r="AB23" s="5"/>
      <c r="AC23" s="5"/>
      <c r="AD23" s="5"/>
      <c r="AE23" s="5"/>
      <c r="AF23" s="148"/>
    </row>
    <row r="24" spans="2:32" ht="15.75" customHeight="1">
      <c r="B24" s="32" t="s">
        <v>77</v>
      </c>
      <c r="X24" s="5"/>
      <c r="Y24" s="5" t="s">
        <v>262</v>
      </c>
      <c r="Z24" s="463" t="s">
        <v>398</v>
      </c>
      <c r="AA24" s="445"/>
      <c r="AB24" s="64">
        <v>25</v>
      </c>
      <c r="AC24" s="5" t="s">
        <v>326</v>
      </c>
      <c r="AD24" s="5"/>
      <c r="AE24" s="5"/>
      <c r="AF24" s="148"/>
    </row>
    <row r="25" spans="2:32" ht="15.75" customHeight="1">
      <c r="X25" s="5"/>
      <c r="Y25" s="458" t="s">
        <v>152</v>
      </c>
      <c r="Z25" s="456" t="s">
        <v>379</v>
      </c>
      <c r="AA25" s="464"/>
      <c r="AB25" s="456" t="s">
        <v>399</v>
      </c>
      <c r="AC25" s="464"/>
      <c r="AD25" s="470"/>
      <c r="AE25" s="377"/>
      <c r="AF25" s="148"/>
    </row>
    <row r="26" spans="2:32" ht="15.75" customHeight="1">
      <c r="X26" s="5"/>
      <c r="Y26" s="459"/>
      <c r="Z26" s="221" t="s">
        <v>267</v>
      </c>
      <c r="AA26" s="221" t="s">
        <v>400</v>
      </c>
      <c r="AB26" s="221" t="s">
        <v>328</v>
      </c>
      <c r="AC26" s="221" t="s">
        <v>329</v>
      </c>
      <c r="AD26" s="9"/>
      <c r="AE26" s="9"/>
      <c r="AF26" s="148"/>
    </row>
    <row r="27" spans="2:32" ht="15.6">
      <c r="X27" s="5"/>
      <c r="Y27" s="20" t="s">
        <v>271</v>
      </c>
      <c r="Z27" s="33">
        <f>E5</f>
        <v>257.95374579793349</v>
      </c>
      <c r="AA27" s="110">
        <f>AA46</f>
        <v>-536.96331567186962</v>
      </c>
      <c r="AB27" s="20" t="s">
        <v>193</v>
      </c>
      <c r="AC27" s="20" t="s">
        <v>193</v>
      </c>
      <c r="AD27" s="9"/>
      <c r="AE27" s="9"/>
      <c r="AF27" s="148"/>
    </row>
    <row r="28" spans="2:32" ht="15.6">
      <c r="Y28" s="20" t="s">
        <v>272</v>
      </c>
      <c r="Z28" s="20" t="s">
        <v>193</v>
      </c>
      <c r="AA28" s="20" t="s">
        <v>193</v>
      </c>
      <c r="AB28" s="20" t="s">
        <v>193</v>
      </c>
      <c r="AC28" s="20" t="s">
        <v>193</v>
      </c>
      <c r="AD28" s="9"/>
      <c r="AE28" s="9"/>
      <c r="AF28" s="148"/>
    </row>
    <row r="29" spans="2:32" ht="15.6">
      <c r="Y29" s="20" t="s">
        <v>273</v>
      </c>
      <c r="Z29" s="20" t="s">
        <v>193</v>
      </c>
      <c r="AA29" s="20" t="s">
        <v>193</v>
      </c>
      <c r="AB29" s="20" t="s">
        <v>193</v>
      </c>
      <c r="AC29" s="20" t="s">
        <v>193</v>
      </c>
      <c r="AD29" s="9"/>
      <c r="AE29" s="9"/>
      <c r="AF29" s="148"/>
    </row>
    <row r="30" spans="2:32" ht="15.6">
      <c r="Y30" s="20" t="s">
        <v>333</v>
      </c>
      <c r="Z30" s="20" t="s">
        <v>193</v>
      </c>
      <c r="AA30" s="20" t="s">
        <v>193</v>
      </c>
      <c r="AB30" s="20" t="s">
        <v>193</v>
      </c>
      <c r="AC30" s="20" t="s">
        <v>193</v>
      </c>
      <c r="AD30" s="9"/>
      <c r="AE30" s="9"/>
      <c r="AF30" s="148"/>
    </row>
    <row r="31" spans="2:32" ht="15.6">
      <c r="X31" s="5"/>
      <c r="Y31" s="20" t="s">
        <v>275</v>
      </c>
      <c r="Z31" s="20" t="s">
        <v>193</v>
      </c>
      <c r="AA31" s="20" t="s">
        <v>193</v>
      </c>
      <c r="AB31" s="20" t="s">
        <v>193</v>
      </c>
      <c r="AC31" s="20" t="s">
        <v>193</v>
      </c>
      <c r="AD31" s="9"/>
      <c r="AE31" s="9"/>
      <c r="AF31" s="148"/>
    </row>
    <row r="32" spans="2:32" ht="15.6">
      <c r="X32" s="5"/>
      <c r="Y32" s="20" t="s">
        <v>489</v>
      </c>
      <c r="Z32" s="20" t="s">
        <v>193</v>
      </c>
      <c r="AA32" s="20" t="s">
        <v>193</v>
      </c>
      <c r="AB32" s="33">
        <f>O5</f>
        <v>257.95374579793349</v>
      </c>
      <c r="AC32" s="110">
        <f>AA68</f>
        <v>-18800.439722851297</v>
      </c>
      <c r="AD32" s="9"/>
      <c r="AE32" s="9"/>
      <c r="AF32" s="148"/>
    </row>
    <row r="33" spans="24:32" ht="15.6">
      <c r="X33" s="5"/>
      <c r="Y33" s="20" t="s">
        <v>416</v>
      </c>
      <c r="Z33" s="20" t="s">
        <v>193</v>
      </c>
      <c r="AA33" s="20" t="s">
        <v>193</v>
      </c>
      <c r="AB33" s="20" t="s">
        <v>193</v>
      </c>
      <c r="AC33" s="20" t="s">
        <v>193</v>
      </c>
      <c r="AD33" s="9"/>
      <c r="AE33" s="9"/>
      <c r="AF33" s="148"/>
    </row>
    <row r="34" spans="24:32" ht="15.6">
      <c r="X34" s="5"/>
      <c r="Y34" s="20" t="s">
        <v>417</v>
      </c>
      <c r="Z34" s="20" t="s">
        <v>193</v>
      </c>
      <c r="AA34" s="20" t="s">
        <v>193</v>
      </c>
      <c r="AB34" s="20" t="s">
        <v>193</v>
      </c>
      <c r="AC34" s="20" t="s">
        <v>193</v>
      </c>
      <c r="AD34" s="9"/>
      <c r="AE34" s="9"/>
      <c r="AF34" s="148"/>
    </row>
    <row r="35" spans="24:32" ht="15.6">
      <c r="X35" s="5"/>
      <c r="Y35" s="20" t="s">
        <v>418</v>
      </c>
      <c r="Z35" s="20" t="s">
        <v>193</v>
      </c>
      <c r="AA35" s="20" t="s">
        <v>193</v>
      </c>
      <c r="AB35" s="20" t="s">
        <v>193</v>
      </c>
      <c r="AC35" s="20" t="s">
        <v>193</v>
      </c>
      <c r="AD35" s="9"/>
      <c r="AE35" s="9"/>
      <c r="AF35" s="148"/>
    </row>
    <row r="36" spans="24:32" ht="15.6">
      <c r="X36" s="5"/>
      <c r="Y36" s="20" t="s">
        <v>337</v>
      </c>
      <c r="Z36" s="20" t="s">
        <v>193</v>
      </c>
      <c r="AA36" s="20" t="s">
        <v>193</v>
      </c>
      <c r="AB36" s="20" t="s">
        <v>193</v>
      </c>
      <c r="AC36" s="20" t="s">
        <v>193</v>
      </c>
      <c r="AD36" s="9"/>
      <c r="AE36" s="9"/>
      <c r="AF36" s="148"/>
    </row>
    <row r="37" spans="24:32" ht="15.6">
      <c r="X37" s="5"/>
      <c r="Y37" s="20" t="s">
        <v>276</v>
      </c>
      <c r="Z37" s="20" t="s">
        <v>193</v>
      </c>
      <c r="AA37" s="20" t="s">
        <v>193</v>
      </c>
      <c r="AB37" s="20" t="s">
        <v>193</v>
      </c>
      <c r="AC37" s="20" t="s">
        <v>193</v>
      </c>
      <c r="AD37" s="9"/>
      <c r="AE37" s="9"/>
      <c r="AF37" s="148"/>
    </row>
    <row r="38" spans="24:32" ht="15.6">
      <c r="X38" s="5"/>
      <c r="Y38" s="222" t="s">
        <v>469</v>
      </c>
      <c r="Z38" s="469">
        <f>Z27*AA27</f>
        <v>-138511.69863363699</v>
      </c>
      <c r="AA38" s="471"/>
      <c r="AB38" s="441">
        <f>AB32*AC32</f>
        <v>-4849643.8491577543</v>
      </c>
      <c r="AC38" s="473"/>
      <c r="AD38" s="470"/>
      <c r="AE38" s="377"/>
      <c r="AF38" s="148"/>
    </row>
    <row r="39" spans="24:32" ht="15.6">
      <c r="X39" s="5"/>
      <c r="Y39" s="5"/>
      <c r="Z39" s="5"/>
      <c r="AA39" s="5"/>
      <c r="AB39" s="5"/>
      <c r="AC39" s="5"/>
      <c r="AD39" s="5"/>
      <c r="AE39" s="5"/>
      <c r="AF39" s="148"/>
    </row>
    <row r="40" spans="24:32" ht="15.6">
      <c r="X40" s="5"/>
      <c r="Y40" s="5"/>
      <c r="Z40" s="5"/>
      <c r="AA40" s="5"/>
      <c r="AB40" s="5"/>
      <c r="AC40" s="5"/>
      <c r="AD40" s="5"/>
      <c r="AE40" s="5"/>
      <c r="AF40" s="148"/>
    </row>
    <row r="41" spans="24:32" ht="15.6">
      <c r="X41" s="5"/>
      <c r="Y41" s="1"/>
      <c r="Z41" s="472" t="s">
        <v>278</v>
      </c>
      <c r="AA41" s="472"/>
      <c r="AB41" s="2"/>
      <c r="AC41" s="208"/>
      <c r="AD41" s="179"/>
      <c r="AE41" s="208"/>
      <c r="AF41" s="3"/>
    </row>
    <row r="42" spans="24:32" ht="15.6">
      <c r="X42" s="5"/>
      <c r="Y42" s="116" t="s">
        <v>563</v>
      </c>
      <c r="Z42" s="5"/>
      <c r="AA42" s="148"/>
      <c r="AB42" s="109" t="s">
        <v>582</v>
      </c>
      <c r="AC42" s="148"/>
      <c r="AD42" s="5"/>
      <c r="AE42" s="148"/>
      <c r="AF42" s="6"/>
    </row>
    <row r="43" spans="24:32" ht="15.6">
      <c r="X43" s="5"/>
      <c r="Y43" s="4"/>
      <c r="Z43" s="5"/>
      <c r="AA43" s="5"/>
      <c r="AB43" s="5"/>
      <c r="AC43" s="148"/>
      <c r="AD43" s="5"/>
      <c r="AE43" s="148"/>
      <c r="AF43" s="6"/>
    </row>
    <row r="44" spans="24:32" ht="15.6">
      <c r="X44" s="5"/>
      <c r="Y44" s="4" t="s">
        <v>575</v>
      </c>
      <c r="Z44" s="9"/>
      <c r="AA44" s="5"/>
      <c r="AB44" s="5"/>
      <c r="AC44" s="148"/>
      <c r="AD44" s="5"/>
      <c r="AE44" s="148"/>
      <c r="AF44" s="67"/>
    </row>
    <row r="45" spans="24:32" ht="61.2" customHeight="1">
      <c r="X45" s="5"/>
      <c r="Y45" s="88" t="s">
        <v>278</v>
      </c>
      <c r="Z45" s="94" t="s">
        <v>135</v>
      </c>
      <c r="AA45" s="377"/>
      <c r="AB45" s="377"/>
      <c r="AC45" s="377"/>
      <c r="AD45" s="377"/>
      <c r="AE45" s="377"/>
      <c r="AF45" s="465"/>
    </row>
    <row r="46" spans="24:32" ht="15.6">
      <c r="X46" s="5"/>
      <c r="Y46" s="85" t="s">
        <v>278</v>
      </c>
      <c r="Z46" s="118" t="s">
        <v>135</v>
      </c>
      <c r="AA46" s="120">
        <f>(Database!$C$31*(($E$20+273.15)-($AB$24+273.15)))+(((Database!$D$31)*(($E$20+273.15)^2-($AB$24+273.15)^2))/2)+((Database!$E$31*(($E$20+273.15)^3-($AB$24+273.15)^3))/3)+((Database!$F$31*(($E$20+273.15)^4-($AB$24+273.15)^4))/4)+((Database!$G$31)*(($E$20+273.15)^(5)-($AB$24+273.15)^5))/5</f>
        <v>-536.96331567186962</v>
      </c>
      <c r="AB46" s="11" t="s">
        <v>279</v>
      </c>
      <c r="AC46" s="204"/>
      <c r="AD46" s="190"/>
      <c r="AE46" s="204"/>
      <c r="AF46" s="12"/>
    </row>
    <row r="47" spans="24:32" ht="15.6">
      <c r="X47" s="5"/>
      <c r="Y47" s="5"/>
      <c r="Z47" s="5"/>
      <c r="AA47" s="5"/>
      <c r="AB47" s="5"/>
      <c r="AC47" s="5"/>
      <c r="AD47" s="5"/>
      <c r="AE47" s="5"/>
      <c r="AF47" s="148"/>
    </row>
    <row r="48" spans="24:32" ht="15.6">
      <c r="X48" s="5"/>
      <c r="Y48" s="5"/>
      <c r="Z48" s="5"/>
      <c r="AA48" s="5"/>
      <c r="AB48" s="5"/>
      <c r="AC48" s="5"/>
      <c r="AD48" s="5"/>
      <c r="AE48" s="5"/>
      <c r="AF48" s="148"/>
    </row>
    <row r="49" spans="24:32" ht="15.6">
      <c r="X49" s="5"/>
      <c r="Y49" s="1"/>
      <c r="Z49" s="2"/>
      <c r="AA49" s="91" t="s">
        <v>280</v>
      </c>
      <c r="AB49" s="2"/>
      <c r="AC49" s="2"/>
      <c r="AD49" s="2"/>
      <c r="AE49" s="208"/>
      <c r="AF49" s="3"/>
    </row>
    <row r="50" spans="24:32" ht="15.6">
      <c r="X50" s="5"/>
      <c r="Y50" s="116" t="s">
        <v>565</v>
      </c>
      <c r="Z50" s="5"/>
      <c r="AA50" s="5"/>
      <c r="AB50" s="5"/>
      <c r="AC50" s="9" t="s">
        <v>568</v>
      </c>
      <c r="AD50" s="5"/>
      <c r="AE50" s="148"/>
      <c r="AF50" s="6"/>
    </row>
    <row r="51" spans="24:32" ht="15.6">
      <c r="X51" s="5"/>
      <c r="Y51" s="4"/>
      <c r="Z51" s="5"/>
      <c r="AA51" s="5"/>
      <c r="AB51" s="5"/>
      <c r="AC51" s="64" t="s">
        <v>384</v>
      </c>
      <c r="AD51" s="5"/>
      <c r="AE51" s="148"/>
      <c r="AF51" s="6"/>
    </row>
    <row r="52" spans="24:32" ht="15.6">
      <c r="X52" s="5"/>
      <c r="Y52" s="156" t="s">
        <v>383</v>
      </c>
      <c r="Z52" s="5"/>
      <c r="AA52" s="5"/>
      <c r="AB52" s="5"/>
      <c r="AC52" s="148"/>
      <c r="AD52" s="5"/>
      <c r="AE52" s="148"/>
      <c r="AF52" s="6"/>
    </row>
    <row r="53" spans="24:32" ht="15.6">
      <c r="X53" s="5"/>
      <c r="Y53" s="4"/>
      <c r="Z53" s="9" t="s">
        <v>566</v>
      </c>
      <c r="AA53" s="9" t="s">
        <v>385</v>
      </c>
      <c r="AB53" s="9" t="s">
        <v>567</v>
      </c>
      <c r="AC53" s="5"/>
      <c r="AD53" s="5"/>
      <c r="AE53" s="148"/>
      <c r="AF53" s="6"/>
    </row>
    <row r="54" spans="24:32" ht="15.6">
      <c r="X54" s="5"/>
      <c r="Y54" s="4"/>
      <c r="Z54" s="148"/>
      <c r="AA54" s="5"/>
      <c r="AB54" s="148"/>
      <c r="AC54" s="5"/>
      <c r="AD54" s="5"/>
      <c r="AE54" s="148"/>
      <c r="AF54" s="6"/>
    </row>
    <row r="55" spans="24:32" ht="15.6">
      <c r="X55" s="5"/>
      <c r="Y55" s="4" t="s">
        <v>583</v>
      </c>
      <c r="Z55" s="5"/>
      <c r="AA55" s="5"/>
      <c r="AB55" s="5"/>
      <c r="AC55" s="5"/>
      <c r="AD55" s="5"/>
      <c r="AE55" s="148"/>
      <c r="AF55" s="6"/>
    </row>
    <row r="56" spans="24:32" ht="48" customHeight="1">
      <c r="X56" s="5"/>
      <c r="Y56" s="88" t="s">
        <v>383</v>
      </c>
      <c r="Z56" s="94" t="s">
        <v>135</v>
      </c>
      <c r="AA56" s="377"/>
      <c r="AB56" s="377"/>
      <c r="AC56" s="377"/>
      <c r="AD56" s="377"/>
      <c r="AE56" s="377"/>
      <c r="AF56" s="465"/>
    </row>
    <row r="57" spans="24:32" ht="15.6">
      <c r="X57" s="5"/>
      <c r="Y57" s="116" t="s">
        <v>383</v>
      </c>
      <c r="Z57" s="117" t="s">
        <v>135</v>
      </c>
      <c r="AA57" s="96">
        <f>(Database!$C$31*((Database!$H$10)-($AB$24+273.15)))+(((Database!$D$31)*((Database!$H$10)^2-($AB$24+273.15)^2))/2)+((Database!$E$31*((Database!$H$10)^3-($AB$24+273.15)^3))/3)+((Database!$F$31*((Database!$H$10)^4-($AB$24+273.15)^4))/4)+((Database!$G$31)*((Database!$H$10)^(5)-($AB$24+273.15)^5))/5</f>
        <v>-2064.4337889981762</v>
      </c>
      <c r="AB57" s="5" t="s">
        <v>279</v>
      </c>
      <c r="AC57" s="5"/>
      <c r="AD57" s="5"/>
      <c r="AE57" s="148"/>
      <c r="AF57" s="6"/>
    </row>
    <row r="58" spans="24:32" ht="15.6">
      <c r="X58" s="5"/>
      <c r="Y58" s="4"/>
      <c r="Z58" s="9"/>
      <c r="AA58" s="9"/>
      <c r="AB58" s="5"/>
      <c r="AC58" s="5"/>
      <c r="AD58" s="5"/>
      <c r="AE58" s="148"/>
      <c r="AF58" s="6"/>
    </row>
    <row r="59" spans="24:32" ht="15.6">
      <c r="X59" s="5"/>
      <c r="Y59" s="4" t="s">
        <v>569</v>
      </c>
      <c r="Z59" s="9"/>
      <c r="AA59" s="9"/>
      <c r="AB59" s="5"/>
      <c r="AC59" s="5"/>
      <c r="AD59" s="5"/>
      <c r="AE59" s="148"/>
      <c r="AF59" s="6"/>
    </row>
    <row r="60" spans="24:32" ht="15.6">
      <c r="X60" s="5"/>
      <c r="Y60" s="116" t="s">
        <v>385</v>
      </c>
      <c r="Z60" s="117" t="s">
        <v>135</v>
      </c>
      <c r="AA60" s="94" t="s">
        <v>556</v>
      </c>
      <c r="AB60" s="5"/>
      <c r="AC60" s="5"/>
      <c r="AD60" s="5"/>
      <c r="AE60" s="148"/>
      <c r="AF60" s="6"/>
    </row>
    <row r="61" spans="24:32" ht="15.6">
      <c r="X61" s="5"/>
      <c r="Y61" s="116" t="s">
        <v>385</v>
      </c>
      <c r="Z61" s="117" t="s">
        <v>135</v>
      </c>
      <c r="AA61" s="9">
        <f>Database!$I$10*-1*1000</f>
        <v>-23351</v>
      </c>
      <c r="AB61" s="5" t="s">
        <v>279</v>
      </c>
      <c r="AC61" s="5"/>
      <c r="AD61" s="5"/>
      <c r="AE61" s="148"/>
      <c r="AF61" s="6"/>
    </row>
    <row r="62" spans="24:32" ht="15.6">
      <c r="X62" s="5"/>
      <c r="Y62" s="4"/>
      <c r="Z62" s="9"/>
      <c r="AA62" s="9"/>
      <c r="AB62" s="5"/>
      <c r="AC62" s="5"/>
      <c r="AD62" s="5"/>
      <c r="AE62" s="148"/>
      <c r="AF62" s="6"/>
    </row>
    <row r="63" spans="24:32" ht="15.6">
      <c r="X63" s="5"/>
      <c r="Y63" s="4" t="s">
        <v>584</v>
      </c>
      <c r="Z63" s="9"/>
      <c r="AA63" s="9"/>
      <c r="AB63" s="5"/>
      <c r="AC63" s="5"/>
      <c r="AD63" s="5"/>
      <c r="AE63" s="148"/>
      <c r="AF63" s="6"/>
    </row>
    <row r="64" spans="24:32" ht="48" customHeight="1">
      <c r="X64" s="5"/>
      <c r="Y64" s="88" t="s">
        <v>384</v>
      </c>
      <c r="Z64" s="94" t="s">
        <v>135</v>
      </c>
      <c r="AA64" s="377"/>
      <c r="AB64" s="377"/>
      <c r="AC64" s="377"/>
      <c r="AD64" s="377"/>
      <c r="AE64" s="377"/>
      <c r="AF64" s="465"/>
    </row>
    <row r="65" spans="24:32" ht="15.6">
      <c r="X65" s="5"/>
      <c r="Y65" s="116" t="s">
        <v>384</v>
      </c>
      <c r="Z65" s="117" t="s">
        <v>135</v>
      </c>
      <c r="AA65" s="129">
        <f>Database!$C$43*((O20+273.15)-(Database!$H$10))+((Database!$D$43*((O20+273.15)^2-(Database!$H$10)^2))/2)+((Database!$E$43*((O20+273.15)^3-(Database!$H$10)^3))/3)+((Database!$F$43*((O20+273.15)^4-(Database!$H$10)^4))/4)</f>
        <v>6614.994066146879</v>
      </c>
      <c r="AB65" s="5" t="s">
        <v>279</v>
      </c>
      <c r="AC65" s="5"/>
      <c r="AD65" s="5"/>
      <c r="AE65" s="148"/>
      <c r="AF65" s="6"/>
    </row>
    <row r="66" spans="24:32" ht="15.6">
      <c r="X66" s="5"/>
      <c r="Y66" s="4"/>
      <c r="Z66" s="5"/>
      <c r="AA66" s="5"/>
      <c r="AB66" s="5"/>
      <c r="AC66" s="5"/>
      <c r="AD66" s="5"/>
      <c r="AE66" s="148"/>
      <c r="AF66" s="6"/>
    </row>
    <row r="67" spans="24:32" ht="15.6">
      <c r="X67" s="5"/>
      <c r="Y67" s="116" t="s">
        <v>280</v>
      </c>
      <c r="Z67" s="117" t="s">
        <v>135</v>
      </c>
      <c r="AA67" s="9" t="s">
        <v>383</v>
      </c>
      <c r="AB67" s="117" t="s">
        <v>284</v>
      </c>
      <c r="AC67" s="9" t="s">
        <v>385</v>
      </c>
      <c r="AD67" s="117" t="s">
        <v>284</v>
      </c>
      <c r="AE67" s="148"/>
      <c r="AF67" s="121" t="s">
        <v>384</v>
      </c>
    </row>
    <row r="68" spans="24:32" ht="15.6">
      <c r="X68" s="5"/>
      <c r="Y68" s="85" t="s">
        <v>280</v>
      </c>
      <c r="Z68" s="118" t="s">
        <v>135</v>
      </c>
      <c r="AA68" s="119">
        <f>AA65+AA61+AA57</f>
        <v>-18800.439722851297</v>
      </c>
      <c r="AB68" s="11" t="s">
        <v>279</v>
      </c>
      <c r="AC68" s="11"/>
      <c r="AD68" s="11"/>
      <c r="AE68" s="204"/>
      <c r="AF68" s="12"/>
    </row>
    <row r="69" spans="24:32" ht="15.6">
      <c r="X69" s="5"/>
      <c r="Y69" s="5"/>
      <c r="Z69" s="5"/>
      <c r="AA69" s="5"/>
      <c r="AB69" s="5"/>
      <c r="AC69" s="5"/>
      <c r="AD69" s="5"/>
      <c r="AE69" s="5"/>
      <c r="AF69" s="148"/>
    </row>
    <row r="70" spans="24:32" ht="15.6" customHeight="1">
      <c r="Y70" s="148"/>
      <c r="Z70" s="148"/>
      <c r="AA70" s="148"/>
      <c r="AB70" s="148"/>
      <c r="AC70" s="148"/>
      <c r="AD70" s="148"/>
      <c r="AE70" s="148"/>
      <c r="AF70" s="148"/>
    </row>
    <row r="71" spans="24:32" ht="15.75" customHeight="1">
      <c r="Y71" s="148"/>
      <c r="Z71" s="148"/>
      <c r="AA71" s="148"/>
      <c r="AB71" s="148"/>
      <c r="AC71" s="148"/>
      <c r="AD71" s="148"/>
      <c r="AE71" s="148"/>
      <c r="AF71" s="148"/>
    </row>
    <row r="72" spans="24:32" ht="15.75" customHeight="1">
      <c r="Y72" s="148"/>
      <c r="Z72" s="148"/>
      <c r="AA72" s="148"/>
      <c r="AB72" s="148"/>
      <c r="AC72" s="148"/>
      <c r="AD72" s="148"/>
      <c r="AE72" s="148"/>
      <c r="AF72" s="148"/>
    </row>
    <row r="73" spans="24:32" ht="15.75" customHeight="1">
      <c r="Y73" s="148"/>
      <c r="Z73" s="148"/>
      <c r="AA73" s="148"/>
      <c r="AB73" s="148"/>
      <c r="AC73" s="148"/>
      <c r="AD73" s="148"/>
      <c r="AE73" s="148"/>
      <c r="AF73" s="148"/>
    </row>
    <row r="74" spans="24:32" ht="15.75" customHeight="1">
      <c r="Y74" s="148"/>
      <c r="Z74" s="148"/>
      <c r="AA74" s="148"/>
      <c r="AB74" s="148"/>
      <c r="AC74" s="148"/>
      <c r="AD74" s="148"/>
      <c r="AE74" s="148"/>
      <c r="AF74" s="148"/>
    </row>
    <row r="75" spans="24:32" ht="15.75" customHeight="1">
      <c r="Y75" s="148"/>
      <c r="Z75" s="148"/>
      <c r="AA75" s="148"/>
      <c r="AB75" s="148"/>
      <c r="AC75" s="148"/>
      <c r="AD75" s="148"/>
      <c r="AE75" s="148"/>
      <c r="AF75" s="148"/>
    </row>
    <row r="76" spans="24:32" ht="15.75" customHeight="1">
      <c r="Y76" s="148"/>
      <c r="Z76" s="148"/>
      <c r="AA76" s="148"/>
      <c r="AB76" s="148"/>
      <c r="AC76" s="148"/>
      <c r="AD76" s="148"/>
      <c r="AE76" s="148"/>
      <c r="AF76" s="148"/>
    </row>
    <row r="77" spans="24:32" ht="15.75" customHeight="1">
      <c r="Y77" s="148"/>
      <c r="Z77" s="148"/>
      <c r="AA77" s="148"/>
      <c r="AB77" s="148"/>
      <c r="AC77" s="148"/>
      <c r="AD77" s="148"/>
      <c r="AE77" s="148"/>
      <c r="AF77" s="148"/>
    </row>
    <row r="78" spans="24:32" ht="15.75" customHeight="1">
      <c r="Y78" s="148"/>
      <c r="Z78" s="148"/>
      <c r="AA78" s="148"/>
      <c r="AB78" s="148"/>
      <c r="AC78" s="148"/>
      <c r="AD78" s="148"/>
      <c r="AE78" s="148"/>
      <c r="AF78" s="148"/>
    </row>
    <row r="79" spans="24:32" ht="15.75" customHeight="1">
      <c r="Y79" s="148"/>
      <c r="Z79" s="148"/>
      <c r="AA79" s="148"/>
      <c r="AB79" s="148"/>
      <c r="AC79" s="148"/>
      <c r="AD79" s="148"/>
      <c r="AE79" s="148"/>
      <c r="AF79" s="148"/>
    </row>
    <row r="80" spans="24:32" ht="15.75" customHeight="1">
      <c r="Y80" s="148"/>
      <c r="Z80" s="148"/>
      <c r="AA80" s="148"/>
      <c r="AB80" s="148"/>
      <c r="AC80" s="148"/>
      <c r="AD80" s="148"/>
      <c r="AE80" s="148"/>
      <c r="AF80" s="148"/>
    </row>
    <row r="81" spans="25:32" ht="15.75" customHeight="1">
      <c r="Y81" s="148"/>
      <c r="Z81" s="148"/>
      <c r="AA81" s="148"/>
      <c r="AB81" s="148"/>
      <c r="AC81" s="148"/>
      <c r="AD81" s="148"/>
      <c r="AE81" s="148"/>
      <c r="AF81" s="148"/>
    </row>
    <row r="82" spans="25:32" ht="15.75" customHeight="1">
      <c r="Y82" s="148"/>
      <c r="Z82" s="148"/>
      <c r="AA82" s="148"/>
      <c r="AB82" s="148"/>
      <c r="AC82" s="148"/>
      <c r="AD82" s="148"/>
      <c r="AE82" s="148"/>
      <c r="AF82" s="148"/>
    </row>
  </sheetData>
  <mergeCells count="31">
    <mergeCell ref="AD38:AE38"/>
    <mergeCell ref="Z38:AA38"/>
    <mergeCell ref="AA45:AF45"/>
    <mergeCell ref="C22:D22"/>
    <mergeCell ref="M22:N22"/>
    <mergeCell ref="Z24:AA24"/>
    <mergeCell ref="Y25:Y26"/>
    <mergeCell ref="Z25:AA25"/>
    <mergeCell ref="Z41:AA41"/>
    <mergeCell ref="AB38:AC38"/>
    <mergeCell ref="M19:N19"/>
    <mergeCell ref="M20:N20"/>
    <mergeCell ref="M21:N21"/>
    <mergeCell ref="C20:D20"/>
    <mergeCell ref="C21:D21"/>
    <mergeCell ref="AA64:AF64"/>
    <mergeCell ref="AA56:AF56"/>
    <mergeCell ref="C2:D2"/>
    <mergeCell ref="M2:N2"/>
    <mergeCell ref="C3:D3"/>
    <mergeCell ref="M3:N3"/>
    <mergeCell ref="C4:E4"/>
    <mergeCell ref="M4:O4"/>
    <mergeCell ref="Y6:AA6"/>
    <mergeCell ref="C11:E11"/>
    <mergeCell ref="M11:O11"/>
    <mergeCell ref="C18:D18"/>
    <mergeCell ref="M18:N18"/>
    <mergeCell ref="AB25:AC25"/>
    <mergeCell ref="AD25:AE25"/>
    <mergeCell ref="C19:D19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H235"/>
  <sheetViews>
    <sheetView topLeftCell="A46" zoomScale="47" zoomScaleNormal="47" workbookViewId="0">
      <selection activeCell="H24" sqref="H24"/>
    </sheetView>
  </sheetViews>
  <sheetFormatPr defaultColWidth="12.6640625" defaultRowHeight="15.75" customHeight="1"/>
  <cols>
    <col min="6" max="6" width="16.33203125" customWidth="1"/>
    <col min="7" max="7" width="16.109375" customWidth="1"/>
    <col min="8" max="8" width="14.109375" customWidth="1"/>
    <col min="9" max="9" width="13.5546875" bestFit="1" customWidth="1"/>
    <col min="13" max="13" width="16.33203125" customWidth="1"/>
    <col min="14" max="14" width="14.6640625" customWidth="1"/>
    <col min="16" max="16" width="11.88671875" customWidth="1"/>
    <col min="17" max="17" width="17.6640625" customWidth="1"/>
    <col min="18" max="18" width="27.33203125" customWidth="1"/>
    <col min="20" max="20" width="35.21875" customWidth="1"/>
    <col min="21" max="21" width="26.33203125" customWidth="1"/>
    <col min="22" max="22" width="33.5546875" customWidth="1"/>
    <col min="23" max="23" width="25.33203125" customWidth="1"/>
    <col min="24" max="24" width="26.77734375" customWidth="1"/>
    <col min="25" max="25" width="15" customWidth="1"/>
    <col min="26" max="26" width="15.33203125" customWidth="1"/>
  </cols>
  <sheetData>
    <row r="1" spans="1:25" ht="15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5" ht="15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2" t="s">
        <v>102</v>
      </c>
      <c r="N2" s="5"/>
      <c r="O2" s="5"/>
      <c r="P2" s="5"/>
      <c r="Q2" s="5"/>
      <c r="R2" s="5"/>
      <c r="S2" s="5"/>
      <c r="T2" s="5"/>
      <c r="U2" s="5"/>
    </row>
    <row r="3" spans="1:25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N3" s="5"/>
      <c r="O3" s="5"/>
      <c r="P3" s="5"/>
      <c r="Q3" s="5"/>
      <c r="R3" s="5"/>
      <c r="S3" s="5"/>
      <c r="T3" s="5"/>
      <c r="U3" s="5"/>
    </row>
    <row r="4" spans="1:25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407" t="s">
        <v>79</v>
      </c>
      <c r="M5" s="389"/>
      <c r="N5" s="33">
        <f>N9*R8+N10*R9+N11*R10</f>
        <v>11588.624623874779</v>
      </c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L6" s="407" t="s">
        <v>80</v>
      </c>
      <c r="M6" s="389"/>
      <c r="N6" s="33">
        <f>SUM(N8:N13)</f>
        <v>208.62009191407873</v>
      </c>
      <c r="O6" s="5"/>
      <c r="P6" s="5"/>
      <c r="Q6" s="15" t="s">
        <v>6</v>
      </c>
      <c r="R6" s="15" t="s">
        <v>7</v>
      </c>
      <c r="S6" s="5"/>
      <c r="T6" s="449" t="s">
        <v>307</v>
      </c>
      <c r="U6" s="391"/>
      <c r="V6" s="389"/>
      <c r="W6" s="5"/>
      <c r="X6" s="5"/>
      <c r="Y6" s="5"/>
    </row>
    <row r="7" spans="1:25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401" t="s">
        <v>66</v>
      </c>
      <c r="M7" s="391"/>
      <c r="N7" s="389"/>
      <c r="O7" s="5"/>
      <c r="P7" s="5"/>
      <c r="Q7" s="19" t="s">
        <v>30</v>
      </c>
      <c r="R7" s="20">
        <f>17.031</f>
        <v>17.030999999999999</v>
      </c>
      <c r="S7" s="5"/>
      <c r="T7" s="82" t="s">
        <v>201</v>
      </c>
      <c r="U7" s="85">
        <v>6</v>
      </c>
      <c r="V7" s="81" t="s">
        <v>401</v>
      </c>
      <c r="W7" s="5"/>
      <c r="X7" s="5"/>
      <c r="Y7" s="5"/>
    </row>
    <row r="8" spans="1:25" ht="15.75" customHeight="1">
      <c r="A8" s="5"/>
      <c r="B8" s="5"/>
      <c r="C8" s="5"/>
      <c r="D8" s="5"/>
      <c r="E8" s="5"/>
      <c r="F8" s="5"/>
      <c r="G8" s="5"/>
      <c r="K8" s="5"/>
      <c r="L8" s="34" t="s">
        <v>67</v>
      </c>
      <c r="M8" s="35"/>
      <c r="N8" s="35"/>
      <c r="O8" s="5"/>
      <c r="P8" s="5"/>
      <c r="Q8" s="19" t="s">
        <v>48</v>
      </c>
      <c r="R8" s="20">
        <v>44.052999999999997</v>
      </c>
      <c r="S8" s="5"/>
      <c r="T8" s="123" t="s">
        <v>309</v>
      </c>
      <c r="U8" s="124">
        <v>-4</v>
      </c>
      <c r="V8" s="81" t="s">
        <v>402</v>
      </c>
      <c r="W8" s="5"/>
      <c r="X8" s="5"/>
      <c r="Y8" s="5"/>
    </row>
    <row r="9" spans="1:25" ht="15.75" customHeight="1">
      <c r="A9" s="5"/>
      <c r="B9" s="5"/>
      <c r="C9" s="5"/>
      <c r="D9" s="5"/>
      <c r="E9" s="5"/>
      <c r="F9" s="5"/>
      <c r="G9" s="5"/>
      <c r="K9" s="5"/>
      <c r="L9" s="34" t="s">
        <v>68</v>
      </c>
      <c r="M9" s="40" t="s">
        <v>105</v>
      </c>
      <c r="N9" s="41">
        <f>V26</f>
        <v>68.071127363343578</v>
      </c>
      <c r="O9" s="5"/>
      <c r="P9" s="5"/>
      <c r="Q9" s="19" t="s">
        <v>59</v>
      </c>
      <c r="R9" s="20">
        <v>61.082999999999998</v>
      </c>
      <c r="S9" s="5"/>
      <c r="T9" s="450" t="s">
        <v>209</v>
      </c>
      <c r="U9" s="453">
        <v>-2</v>
      </c>
      <c r="V9" s="474" t="s">
        <v>403</v>
      </c>
      <c r="W9" s="5"/>
      <c r="X9" s="5"/>
      <c r="Y9" s="5"/>
    </row>
    <row r="10" spans="1:25" ht="15.75" customHeight="1">
      <c r="A10" s="5"/>
      <c r="B10" s="5"/>
      <c r="C10" s="5"/>
      <c r="D10" s="5"/>
      <c r="E10" s="5"/>
      <c r="F10" s="5"/>
      <c r="G10" s="5"/>
      <c r="K10" s="5"/>
      <c r="L10" s="34" t="s">
        <v>69</v>
      </c>
      <c r="M10" s="40" t="s">
        <v>107</v>
      </c>
      <c r="N10" s="41">
        <f>V31</f>
        <v>140.44148382331934</v>
      </c>
      <c r="O10" s="5"/>
      <c r="P10" s="5"/>
      <c r="Q10" s="19" t="s">
        <v>61</v>
      </c>
      <c r="R10" s="20">
        <v>105.136</v>
      </c>
      <c r="S10" s="5"/>
      <c r="T10" s="452"/>
      <c r="U10" s="452"/>
      <c r="V10" s="398"/>
      <c r="W10" s="5"/>
      <c r="X10" s="5"/>
      <c r="Y10" s="5"/>
    </row>
    <row r="11" spans="1:25" ht="15.75" customHeight="1">
      <c r="A11" s="5"/>
      <c r="B11" s="5"/>
      <c r="C11" s="5"/>
      <c r="D11" s="5"/>
      <c r="E11" s="5"/>
      <c r="F11" s="5"/>
      <c r="G11" s="5"/>
      <c r="K11" s="5"/>
      <c r="L11" s="34" t="s">
        <v>70</v>
      </c>
      <c r="M11" s="40" t="s">
        <v>109</v>
      </c>
      <c r="N11" s="41">
        <f>V17</f>
        <v>0.10748072741580565</v>
      </c>
      <c r="O11" s="5"/>
      <c r="P11" s="5"/>
      <c r="Q11" s="19" t="s">
        <v>63</v>
      </c>
      <c r="R11" s="20">
        <v>149.18799999999999</v>
      </c>
      <c r="S11" s="5"/>
      <c r="T11" s="125"/>
      <c r="U11" s="126">
        <f>SUM(U7:U9)</f>
        <v>0</v>
      </c>
      <c r="V11" s="125" t="s">
        <v>214</v>
      </c>
      <c r="W11" s="5"/>
      <c r="X11" s="5"/>
      <c r="Y11" s="5"/>
    </row>
    <row r="12" spans="1:25" ht="15.75" customHeight="1">
      <c r="A12" s="5"/>
      <c r="B12" s="5"/>
      <c r="C12" s="5"/>
      <c r="D12" s="5"/>
      <c r="K12" s="5"/>
      <c r="L12" s="34" t="s">
        <v>71</v>
      </c>
      <c r="M12" s="35"/>
      <c r="N12" s="35"/>
      <c r="O12" s="5"/>
      <c r="P12" s="5"/>
      <c r="Q12" s="19" t="s">
        <v>65</v>
      </c>
      <c r="R12" s="24">
        <v>62.07</v>
      </c>
      <c r="S12" s="5"/>
      <c r="T12" s="5"/>
      <c r="U12" s="5"/>
      <c r="V12" s="5"/>
      <c r="W12" s="5"/>
      <c r="X12" s="5"/>
      <c r="Y12" s="5"/>
    </row>
    <row r="13" spans="1:25" ht="15.75" customHeight="1">
      <c r="A13" s="5"/>
      <c r="B13" s="5"/>
      <c r="C13" s="5"/>
      <c r="D13" s="5"/>
      <c r="E13" s="407" t="s">
        <v>79</v>
      </c>
      <c r="F13" s="389"/>
      <c r="G13" s="33">
        <f>G17*R8+G18*R9+G19*R10+G20*R11</f>
        <v>15554.879573433933</v>
      </c>
      <c r="K13" s="5"/>
      <c r="L13" s="34" t="s">
        <v>72</v>
      </c>
      <c r="M13" s="35"/>
      <c r="N13" s="3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5.75" customHeight="1">
      <c r="A14" s="5"/>
      <c r="B14" s="5"/>
      <c r="C14" s="5"/>
      <c r="D14" s="5"/>
      <c r="E14" s="407" t="s">
        <v>80</v>
      </c>
      <c r="F14" s="389"/>
      <c r="G14" s="33">
        <f>SUM(G16:G21)</f>
        <v>240.04029122863258</v>
      </c>
      <c r="K14" s="5"/>
      <c r="L14" s="404" t="s">
        <v>85</v>
      </c>
      <c r="M14" s="405"/>
      <c r="N14" s="398"/>
      <c r="O14" s="5"/>
      <c r="P14" s="5"/>
      <c r="Q14" s="5"/>
      <c r="R14" s="5"/>
      <c r="S14" s="5"/>
      <c r="T14" s="11" t="s">
        <v>404</v>
      </c>
      <c r="U14" s="5"/>
      <c r="V14" s="5"/>
      <c r="W14" s="5"/>
      <c r="X14" s="5"/>
      <c r="Y14" s="5"/>
    </row>
    <row r="15" spans="1:25" ht="15.75" customHeight="1">
      <c r="A15" s="5"/>
      <c r="B15" s="5"/>
      <c r="C15" s="5"/>
      <c r="D15" s="5"/>
      <c r="E15" s="401" t="s">
        <v>66</v>
      </c>
      <c r="F15" s="391"/>
      <c r="G15" s="389"/>
      <c r="K15" s="5"/>
      <c r="L15" s="34" t="s">
        <v>67</v>
      </c>
      <c r="M15" s="35"/>
      <c r="N15" s="46"/>
      <c r="O15" s="5"/>
      <c r="P15" s="5"/>
      <c r="Q15" s="5"/>
      <c r="R15" s="5"/>
      <c r="S15" s="5"/>
      <c r="T15" s="5" t="s">
        <v>405</v>
      </c>
      <c r="U15" s="5"/>
      <c r="V15" s="5"/>
      <c r="W15" s="5"/>
      <c r="X15" s="5"/>
      <c r="Y15" s="5"/>
    </row>
    <row r="16" spans="1:25" ht="15.75" customHeight="1">
      <c r="A16" s="5"/>
      <c r="B16" s="5"/>
      <c r="C16" s="5"/>
      <c r="D16" s="5"/>
      <c r="E16" s="34" t="s">
        <v>67</v>
      </c>
      <c r="F16" s="35"/>
      <c r="G16" s="35"/>
      <c r="K16" s="5"/>
      <c r="L16" s="34" t="s">
        <v>68</v>
      </c>
      <c r="M16" s="35"/>
      <c r="N16" s="41">
        <f t="shared" ref="N16:N18" si="0">N9/$N$6</f>
        <v>0.32629228919800796</v>
      </c>
      <c r="O16" s="5"/>
      <c r="P16" s="5"/>
      <c r="Q16" s="5"/>
      <c r="R16" s="5"/>
      <c r="S16" s="5"/>
      <c r="T16" s="9" t="s">
        <v>406</v>
      </c>
      <c r="U16" s="117" t="s">
        <v>135</v>
      </c>
      <c r="V16" s="95" t="s">
        <v>109</v>
      </c>
      <c r="W16" s="5"/>
      <c r="X16" s="5"/>
      <c r="Y16" s="5"/>
    </row>
    <row r="17" spans="1:25" ht="15.75" customHeight="1">
      <c r="A17" s="5"/>
      <c r="B17" s="5"/>
      <c r="C17" s="5"/>
      <c r="D17" s="5"/>
      <c r="E17" s="34" t="s">
        <v>68</v>
      </c>
      <c r="F17" s="40" t="s">
        <v>374</v>
      </c>
      <c r="G17" s="41">
        <f>'Phase Separator'!G53</f>
        <v>68.071127363343578</v>
      </c>
      <c r="K17" s="5"/>
      <c r="L17" s="34" t="s">
        <v>69</v>
      </c>
      <c r="M17" s="35"/>
      <c r="N17" s="41">
        <f t="shared" si="0"/>
        <v>0.67319251245062672</v>
      </c>
      <c r="O17" s="5"/>
      <c r="P17" s="5"/>
      <c r="Q17" s="5"/>
      <c r="R17" s="5"/>
      <c r="S17" s="5"/>
      <c r="T17" s="95" t="s">
        <v>109</v>
      </c>
      <c r="U17" s="117" t="s">
        <v>135</v>
      </c>
      <c r="V17" s="96">
        <f>1%*G19</f>
        <v>0.10748072741580565</v>
      </c>
      <c r="W17" s="5" t="s">
        <v>250</v>
      </c>
      <c r="X17" s="5"/>
      <c r="Y17" s="5"/>
    </row>
    <row r="18" spans="1:25" ht="15.75" customHeight="1">
      <c r="A18" s="5"/>
      <c r="B18" s="5"/>
      <c r="C18" s="5"/>
      <c r="D18" s="5"/>
      <c r="E18" s="34" t="s">
        <v>69</v>
      </c>
      <c r="F18" s="218" t="s">
        <v>375</v>
      </c>
      <c r="G18" s="41">
        <f>'Phase Separator'!G54</f>
        <v>143.30763655440751</v>
      </c>
      <c r="K18" s="5"/>
      <c r="L18" s="34" t="s">
        <v>70</v>
      </c>
      <c r="M18" s="35"/>
      <c r="N18" s="41">
        <f t="shared" si="0"/>
        <v>5.1519835136527577E-4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5.75" customHeight="1">
      <c r="A19" s="5"/>
      <c r="B19" s="5"/>
      <c r="C19" s="5"/>
      <c r="D19" s="5"/>
      <c r="E19" s="34" t="s">
        <v>70</v>
      </c>
      <c r="F19" s="52" t="s">
        <v>376</v>
      </c>
      <c r="G19" s="41">
        <f>'Phase Separator'!G55</f>
        <v>10.748072741580565</v>
      </c>
      <c r="K19" s="5"/>
      <c r="L19" s="34" t="s">
        <v>71</v>
      </c>
      <c r="M19" s="35"/>
      <c r="N19" s="35"/>
      <c r="O19" s="5"/>
      <c r="P19" s="5"/>
      <c r="Q19" s="5"/>
      <c r="R19" s="5"/>
      <c r="S19" s="5"/>
      <c r="T19" s="11" t="s">
        <v>219</v>
      </c>
      <c r="U19" s="5"/>
      <c r="V19" s="5"/>
      <c r="W19" s="5"/>
      <c r="X19" s="5"/>
      <c r="Y19" s="5"/>
    </row>
    <row r="20" spans="1:25" ht="15.75" customHeight="1">
      <c r="A20" s="5"/>
      <c r="B20" s="5"/>
      <c r="C20" s="5"/>
      <c r="D20" s="5"/>
      <c r="E20" s="34" t="s">
        <v>71</v>
      </c>
      <c r="F20" s="52" t="s">
        <v>377</v>
      </c>
      <c r="G20" s="41">
        <f>'Phase Separator'!G56</f>
        <v>17.913454569300939</v>
      </c>
      <c r="K20" s="5"/>
      <c r="L20" s="34" t="s">
        <v>72</v>
      </c>
      <c r="M20" s="35"/>
      <c r="N20" s="35"/>
      <c r="O20" s="5"/>
      <c r="P20" s="5"/>
      <c r="Q20" s="5"/>
      <c r="S20" s="5"/>
      <c r="T20" s="5" t="s">
        <v>407</v>
      </c>
      <c r="U20" s="5"/>
      <c r="V20" s="5"/>
      <c r="W20" s="5"/>
      <c r="X20" s="5"/>
      <c r="Y20" s="5"/>
    </row>
    <row r="21" spans="1:25" ht="15.75" customHeight="1">
      <c r="A21" s="5"/>
      <c r="B21" s="5"/>
      <c r="C21" s="5"/>
      <c r="D21" s="5"/>
      <c r="E21" s="34" t="s">
        <v>72</v>
      </c>
      <c r="F21" s="35"/>
      <c r="G21" s="35"/>
      <c r="K21" s="5"/>
      <c r="L21" s="406" t="s">
        <v>99</v>
      </c>
      <c r="M21" s="389"/>
      <c r="N21" s="50">
        <v>1</v>
      </c>
      <c r="O21" s="5"/>
      <c r="P21" s="5"/>
      <c r="Q21" s="5"/>
      <c r="S21" s="5"/>
      <c r="T21" s="9" t="s">
        <v>408</v>
      </c>
      <c r="U21" s="117" t="s">
        <v>135</v>
      </c>
      <c r="V21" s="95" t="s">
        <v>125</v>
      </c>
      <c r="W21" s="5"/>
      <c r="X21" s="5"/>
      <c r="Y21" s="5"/>
    </row>
    <row r="22" spans="1:25" ht="15.75" customHeight="1">
      <c r="A22" s="5"/>
      <c r="B22" s="5"/>
      <c r="C22" s="5"/>
      <c r="D22" s="5"/>
      <c r="E22" s="404" t="s">
        <v>85</v>
      </c>
      <c r="F22" s="405"/>
      <c r="G22" s="398"/>
      <c r="K22" s="5"/>
      <c r="L22" s="397" t="s">
        <v>92</v>
      </c>
      <c r="M22" s="398"/>
      <c r="N22" s="40">
        <f>SUM(N15:N20)</f>
        <v>0.99999999999999989</v>
      </c>
      <c r="O22" s="5"/>
      <c r="P22" s="5"/>
      <c r="R22" s="5"/>
      <c r="S22" s="5"/>
      <c r="T22" s="95" t="s">
        <v>125</v>
      </c>
      <c r="U22" s="117" t="s">
        <v>135</v>
      </c>
      <c r="V22" s="96">
        <f>2%*G18</f>
        <v>2.8661527310881501</v>
      </c>
      <c r="W22" s="5" t="s">
        <v>240</v>
      </c>
      <c r="X22" s="5"/>
      <c r="Y22" s="5"/>
    </row>
    <row r="23" spans="1:25" ht="15.75" customHeight="1">
      <c r="A23" s="5"/>
      <c r="B23" s="5"/>
      <c r="C23" s="5"/>
      <c r="D23" s="5"/>
      <c r="E23" s="34" t="s">
        <v>67</v>
      </c>
      <c r="F23" s="35"/>
      <c r="G23" s="46"/>
      <c r="K23" s="5"/>
      <c r="L23" s="397" t="s">
        <v>75</v>
      </c>
      <c r="M23" s="398"/>
      <c r="N23" s="40">
        <v>170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5.75" customHeight="1">
      <c r="A24" s="5"/>
      <c r="B24" s="5"/>
      <c r="C24" s="5"/>
      <c r="D24" s="5"/>
      <c r="E24" s="34" t="s">
        <v>68</v>
      </c>
      <c r="F24" s="35"/>
      <c r="G24" s="41">
        <f t="shared" ref="G24:G27" si="1">G17/$G$14</f>
        <v>0.28358208955223885</v>
      </c>
      <c r="K24" s="5"/>
      <c r="L24" s="396" t="s">
        <v>76</v>
      </c>
      <c r="M24" s="389"/>
      <c r="N24" s="45">
        <v>1</v>
      </c>
      <c r="O24" s="5"/>
      <c r="P24" s="5"/>
      <c r="Q24" s="5"/>
      <c r="R24" s="5"/>
      <c r="S24" s="5"/>
      <c r="T24" s="11" t="s">
        <v>409</v>
      </c>
      <c r="U24" s="5"/>
      <c r="V24" s="5"/>
      <c r="W24" s="5"/>
      <c r="X24" s="5"/>
      <c r="Y24" s="5"/>
    </row>
    <row r="25" spans="1:25" ht="15.75" customHeight="1">
      <c r="A25" s="5"/>
      <c r="B25" s="5"/>
      <c r="C25" s="5"/>
      <c r="D25" s="5"/>
      <c r="E25" s="34" t="s">
        <v>69</v>
      </c>
      <c r="F25" s="35"/>
      <c r="G25" s="41">
        <f t="shared" si="1"/>
        <v>0.59701492537313428</v>
      </c>
      <c r="K25" s="5"/>
      <c r="L25" s="400" t="s">
        <v>548</v>
      </c>
      <c r="M25" s="400"/>
      <c r="N25" s="216">
        <f>W65</f>
        <v>2604648.2917141812</v>
      </c>
      <c r="O25" s="5"/>
      <c r="P25" s="5"/>
      <c r="Q25" s="5"/>
      <c r="R25" s="5"/>
      <c r="S25" s="5"/>
      <c r="T25" s="96">
        <f>G17</f>
        <v>68.071127363343578</v>
      </c>
      <c r="U25" s="117" t="s">
        <v>135</v>
      </c>
      <c r="V25" s="95" t="s">
        <v>105</v>
      </c>
      <c r="W25" s="5"/>
      <c r="X25" s="5"/>
      <c r="Y25" s="5"/>
    </row>
    <row r="26" spans="1:25" ht="15.75" customHeight="1">
      <c r="A26" s="5"/>
      <c r="B26" s="5"/>
      <c r="C26" s="5"/>
      <c r="D26" s="5"/>
      <c r="E26" s="34" t="s">
        <v>70</v>
      </c>
      <c r="F26" s="35"/>
      <c r="G26" s="41">
        <f t="shared" si="1"/>
        <v>4.4776119402985079E-2</v>
      </c>
      <c r="K26" s="5"/>
      <c r="O26" s="5"/>
      <c r="P26" s="5"/>
      <c r="Q26" s="5"/>
      <c r="R26" s="5"/>
      <c r="S26" s="5"/>
      <c r="T26" s="95" t="s">
        <v>105</v>
      </c>
      <c r="U26" s="117" t="s">
        <v>135</v>
      </c>
      <c r="V26" s="96">
        <f>T25</f>
        <v>68.071127363343578</v>
      </c>
      <c r="W26" s="5" t="s">
        <v>148</v>
      </c>
      <c r="X26" s="5"/>
      <c r="Y26" s="5"/>
    </row>
    <row r="27" spans="1:25" ht="15.6">
      <c r="A27" s="5"/>
      <c r="B27" s="5"/>
      <c r="C27" s="5"/>
      <c r="D27" s="5"/>
      <c r="E27" s="34" t="s">
        <v>71</v>
      </c>
      <c r="F27" s="35"/>
      <c r="G27" s="41">
        <f t="shared" si="1"/>
        <v>7.4626865671641784E-2</v>
      </c>
      <c r="K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.6">
      <c r="A28" s="5"/>
      <c r="B28" s="5"/>
      <c r="C28" s="5"/>
      <c r="D28" s="5"/>
      <c r="E28" s="34" t="s">
        <v>72</v>
      </c>
      <c r="F28" s="35"/>
      <c r="G28" s="35"/>
      <c r="H28" s="5"/>
      <c r="I28" s="5"/>
      <c r="J28" s="5"/>
      <c r="K28" s="5"/>
      <c r="O28" s="5"/>
      <c r="P28" s="5"/>
      <c r="Q28" s="5"/>
      <c r="R28" s="5"/>
      <c r="S28" s="5" t="s">
        <v>410</v>
      </c>
      <c r="T28" s="11" t="s">
        <v>237</v>
      </c>
      <c r="U28" s="5"/>
      <c r="V28" s="5"/>
      <c r="W28" s="5"/>
      <c r="X28" s="5"/>
      <c r="Y28" s="5"/>
    </row>
    <row r="29" spans="1:25" ht="15.6">
      <c r="A29" s="5"/>
      <c r="B29" s="5"/>
      <c r="C29" s="5"/>
      <c r="D29" s="5"/>
      <c r="E29" s="406" t="s">
        <v>99</v>
      </c>
      <c r="F29" s="389"/>
      <c r="G29" s="50">
        <f>0</f>
        <v>0</v>
      </c>
      <c r="H29" s="5"/>
      <c r="I29" s="5"/>
      <c r="J29" s="5"/>
      <c r="K29" s="5"/>
      <c r="O29" s="5"/>
      <c r="P29" s="5"/>
      <c r="Q29" s="5"/>
      <c r="R29" s="5"/>
      <c r="S29" s="5"/>
      <c r="T29" s="96">
        <f>G18</f>
        <v>143.30763655440751</v>
      </c>
      <c r="U29" s="117" t="s">
        <v>135</v>
      </c>
      <c r="V29" s="95" t="s">
        <v>107</v>
      </c>
      <c r="W29" s="117" t="s">
        <v>284</v>
      </c>
      <c r="X29" s="96">
        <f>I49</f>
        <v>2.8661527310881501</v>
      </c>
      <c r="Y29" s="5"/>
    </row>
    <row r="30" spans="1:25" ht="15.6">
      <c r="A30" s="5"/>
      <c r="B30" s="5"/>
      <c r="C30" s="5"/>
      <c r="D30" s="5"/>
      <c r="E30" s="397" t="s">
        <v>92</v>
      </c>
      <c r="F30" s="398"/>
      <c r="G30" s="40">
        <f>SUM(G23:G28)</f>
        <v>1</v>
      </c>
      <c r="H30" s="5"/>
      <c r="I30" s="5"/>
      <c r="J30" s="5"/>
      <c r="K30" s="5"/>
      <c r="O30" s="5"/>
      <c r="P30" s="5"/>
      <c r="Q30" s="5"/>
      <c r="R30" s="5"/>
      <c r="S30" s="5"/>
      <c r="T30" s="95" t="s">
        <v>107</v>
      </c>
      <c r="U30" s="117" t="s">
        <v>135</v>
      </c>
      <c r="V30" s="9" t="s">
        <v>411</v>
      </c>
      <c r="W30" s="9"/>
      <c r="X30" s="9"/>
      <c r="Y30" s="5"/>
    </row>
    <row r="31" spans="1:25" ht="15.6">
      <c r="A31" s="5"/>
      <c r="B31" s="5"/>
      <c r="C31" s="5"/>
      <c r="D31" s="5"/>
      <c r="E31" s="397" t="s">
        <v>75</v>
      </c>
      <c r="F31" s="398"/>
      <c r="G31" s="40">
        <v>10</v>
      </c>
      <c r="H31" s="5"/>
      <c r="I31" s="5"/>
      <c r="J31" s="5"/>
      <c r="K31" s="5"/>
      <c r="O31" s="5"/>
      <c r="P31" s="5"/>
      <c r="Q31" s="5"/>
      <c r="R31" s="5"/>
      <c r="S31" s="5"/>
      <c r="T31" s="95" t="s">
        <v>107</v>
      </c>
      <c r="U31" s="117" t="s">
        <v>135</v>
      </c>
      <c r="V31" s="96">
        <f>T29-X29</f>
        <v>140.44148382331934</v>
      </c>
      <c r="W31" s="9" t="s">
        <v>240</v>
      </c>
      <c r="X31" s="9"/>
      <c r="Y31" s="5"/>
    </row>
    <row r="32" spans="1:25" ht="15.6">
      <c r="A32" s="5"/>
      <c r="B32" s="5"/>
      <c r="C32" s="5"/>
      <c r="D32" s="5"/>
      <c r="E32" s="396" t="s">
        <v>76</v>
      </c>
      <c r="F32" s="389"/>
      <c r="G32" s="45">
        <v>1</v>
      </c>
      <c r="H32" s="5"/>
      <c r="I32" s="5"/>
      <c r="J32" s="5"/>
      <c r="K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6" ht="15.6">
      <c r="A33" s="5"/>
      <c r="B33" s="5"/>
      <c r="C33" s="5"/>
      <c r="D33" s="5"/>
      <c r="E33" s="400" t="s">
        <v>548</v>
      </c>
      <c r="F33" s="400"/>
      <c r="G33" s="216">
        <f>U65</f>
        <v>-14954359.295909915</v>
      </c>
      <c r="H33" s="5"/>
      <c r="I33" s="5"/>
      <c r="J33" s="5"/>
      <c r="K33" s="5"/>
      <c r="O33" s="5"/>
      <c r="P33" s="5"/>
      <c r="Q33" s="5"/>
      <c r="R33" s="5"/>
      <c r="S33" s="5"/>
      <c r="T33" s="11" t="s">
        <v>321</v>
      </c>
      <c r="U33" s="5"/>
      <c r="V33" s="5"/>
      <c r="W33" s="5"/>
      <c r="X33" s="5"/>
      <c r="Y33" s="5"/>
    </row>
    <row r="34" spans="1:26" ht="15.6">
      <c r="A34" s="5"/>
      <c r="B34" s="5"/>
      <c r="C34" s="5"/>
      <c r="D34" s="5"/>
      <c r="E34" s="5"/>
      <c r="F34" s="5"/>
      <c r="G34" s="5"/>
      <c r="H34" s="56" t="s">
        <v>117</v>
      </c>
      <c r="I34" s="5"/>
      <c r="J34" s="5"/>
      <c r="K34" s="5"/>
      <c r="O34" s="5"/>
      <c r="P34" s="5"/>
      <c r="R34" s="5"/>
      <c r="S34" s="5"/>
      <c r="T34" s="96">
        <f>G19</f>
        <v>10.748072741580565</v>
      </c>
      <c r="U34" s="117" t="s">
        <v>135</v>
      </c>
      <c r="V34" s="96">
        <f>N11</f>
        <v>0.10748072741580565</v>
      </c>
      <c r="W34" s="117" t="s">
        <v>284</v>
      </c>
      <c r="X34" s="95" t="s">
        <v>127</v>
      </c>
      <c r="Y34" s="5"/>
    </row>
    <row r="35" spans="1:26" ht="15.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O35" s="5"/>
      <c r="P35" s="5"/>
      <c r="Q35" s="5"/>
      <c r="R35" s="5"/>
      <c r="S35" s="5"/>
      <c r="T35" s="95" t="s">
        <v>127</v>
      </c>
      <c r="U35" s="117" t="s">
        <v>135</v>
      </c>
      <c r="V35" s="9" t="s">
        <v>412</v>
      </c>
      <c r="W35" s="9"/>
      <c r="X35" s="9"/>
      <c r="Y35" s="5"/>
    </row>
    <row r="36" spans="1:26" ht="15.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O36" s="5"/>
      <c r="P36" s="5"/>
      <c r="Q36" s="5"/>
      <c r="R36" s="5"/>
      <c r="S36" s="5"/>
      <c r="T36" s="95" t="s">
        <v>127</v>
      </c>
      <c r="U36" s="117" t="s">
        <v>135</v>
      </c>
      <c r="V36" s="96">
        <f>T34-V34</f>
        <v>10.640592014164758</v>
      </c>
      <c r="W36" s="9" t="s">
        <v>250</v>
      </c>
      <c r="X36" s="9"/>
      <c r="Y36" s="5"/>
    </row>
    <row r="37" spans="1:26" ht="15.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R37" s="5"/>
      <c r="S37" s="5"/>
      <c r="T37" s="5"/>
      <c r="U37" s="5"/>
      <c r="V37" s="5"/>
      <c r="W37" s="5"/>
      <c r="X37" s="5"/>
      <c r="Y37" s="5"/>
    </row>
    <row r="38" spans="1:26" ht="15.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R38" s="5"/>
      <c r="S38" s="5" t="s">
        <v>410</v>
      </c>
      <c r="T38" s="11" t="s">
        <v>413</v>
      </c>
      <c r="U38" s="5"/>
      <c r="V38" s="5"/>
      <c r="W38" s="5"/>
      <c r="X38" s="5"/>
      <c r="Y38" s="5"/>
    </row>
    <row r="39" spans="1:26" ht="15.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R39" s="5"/>
      <c r="S39" s="5"/>
      <c r="T39" s="96">
        <f>G20</f>
        <v>17.913454569300939</v>
      </c>
      <c r="U39" s="117" t="s">
        <v>135</v>
      </c>
      <c r="V39" s="95" t="s">
        <v>129</v>
      </c>
      <c r="W39" s="5"/>
      <c r="X39" s="5"/>
      <c r="Y39" s="5"/>
    </row>
    <row r="40" spans="1:26" ht="15.6">
      <c r="A40" s="5"/>
      <c r="B40" s="5"/>
      <c r="C40" s="5"/>
      <c r="D40" s="5"/>
      <c r="H40" s="5"/>
      <c r="I40" s="5"/>
      <c r="J40" s="5"/>
      <c r="K40" s="5"/>
      <c r="L40" s="5"/>
      <c r="M40" s="5"/>
      <c r="N40" s="5"/>
      <c r="R40" s="5"/>
      <c r="S40" s="5"/>
      <c r="T40" s="95" t="s">
        <v>129</v>
      </c>
      <c r="U40" s="117" t="s">
        <v>135</v>
      </c>
      <c r="V40" s="96">
        <f>T39</f>
        <v>17.913454569300939</v>
      </c>
      <c r="W40" s="5" t="s">
        <v>252</v>
      </c>
      <c r="X40" s="5"/>
      <c r="Y40" s="5"/>
    </row>
    <row r="41" spans="1:26" ht="15.6">
      <c r="A41" s="5"/>
      <c r="B41" s="5"/>
      <c r="C41" s="5"/>
      <c r="D41" s="5"/>
      <c r="H41" s="5"/>
      <c r="I41" s="5"/>
      <c r="J41" s="5"/>
      <c r="K41" s="5"/>
      <c r="L41" s="5"/>
      <c r="M41" s="5"/>
      <c r="N41" s="5"/>
      <c r="R41" s="5"/>
      <c r="S41" s="5"/>
      <c r="T41" s="5"/>
      <c r="U41" s="5"/>
      <c r="V41" s="5"/>
      <c r="W41" s="5"/>
      <c r="X41" s="5"/>
      <c r="Y41" s="5"/>
    </row>
    <row r="42" spans="1:26" ht="15.6">
      <c r="A42" s="5"/>
      <c r="B42" s="5"/>
      <c r="C42" s="5"/>
      <c r="D42" s="5"/>
      <c r="K42" s="5"/>
      <c r="L42" s="5"/>
      <c r="M42" s="5"/>
      <c r="N42" s="5"/>
      <c r="R42" s="5"/>
      <c r="S42" s="5"/>
      <c r="T42" s="5"/>
      <c r="U42" s="5"/>
      <c r="V42" s="5"/>
      <c r="W42" s="5"/>
      <c r="X42" s="5"/>
      <c r="Y42" s="5"/>
    </row>
    <row r="43" spans="1:26" ht="15.6">
      <c r="A43" s="5"/>
      <c r="B43" s="5"/>
      <c r="C43" s="5"/>
      <c r="D43" s="5"/>
      <c r="K43" s="5"/>
      <c r="L43" s="5"/>
      <c r="M43" s="5"/>
      <c r="N43" s="5"/>
      <c r="R43" s="5"/>
      <c r="S43" s="5"/>
      <c r="T43" s="5"/>
      <c r="U43" s="5"/>
      <c r="V43" s="5"/>
      <c r="W43" s="5"/>
      <c r="X43" s="5"/>
      <c r="Y43" s="5"/>
    </row>
    <row r="44" spans="1:26" ht="15.6">
      <c r="A44" s="5"/>
      <c r="B44" s="5"/>
      <c r="C44" s="5"/>
      <c r="D44" s="5"/>
      <c r="G44" s="407" t="s">
        <v>79</v>
      </c>
      <c r="H44" s="389"/>
      <c r="I44" s="33">
        <f>I49*R9+I50*R10+I51*R11</f>
        <v>3966.254949559152</v>
      </c>
      <c r="N44" s="5"/>
      <c r="R44" s="5"/>
      <c r="S44" s="5"/>
      <c r="T44" s="11" t="s">
        <v>256</v>
      </c>
      <c r="U44" s="5"/>
      <c r="V44" s="5"/>
      <c r="W44" s="5"/>
      <c r="X44" s="5"/>
      <c r="Y44" s="5"/>
      <c r="Z44" s="5"/>
    </row>
    <row r="45" spans="1:26" ht="15.6">
      <c r="A45" s="5"/>
      <c r="B45" s="5"/>
      <c r="C45" s="5"/>
      <c r="D45" s="5"/>
      <c r="G45" s="407" t="s">
        <v>80</v>
      </c>
      <c r="H45" s="389"/>
      <c r="I45" s="33">
        <f>SUM(I47:I51)</f>
        <v>31.420199314553848</v>
      </c>
      <c r="N45" s="5"/>
      <c r="R45" s="5"/>
      <c r="S45" s="5"/>
      <c r="T45" s="107" t="s">
        <v>257</v>
      </c>
      <c r="U45" s="5"/>
      <c r="V45" s="5"/>
      <c r="W45" s="5"/>
      <c r="X45" s="5"/>
      <c r="Y45" s="5"/>
      <c r="Z45" s="5"/>
    </row>
    <row r="46" spans="1:26" ht="15.6">
      <c r="A46" s="5"/>
      <c r="B46" s="5"/>
      <c r="C46" s="5"/>
      <c r="D46" s="5"/>
      <c r="G46" s="401" t="s">
        <v>66</v>
      </c>
      <c r="H46" s="391"/>
      <c r="I46" s="389"/>
      <c r="N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6">
      <c r="A47" s="5"/>
      <c r="B47" s="5"/>
      <c r="C47" s="5"/>
      <c r="D47" s="5"/>
      <c r="G47" s="34" t="s">
        <v>67</v>
      </c>
      <c r="H47" s="35"/>
      <c r="I47" s="35"/>
      <c r="N47" s="5"/>
      <c r="R47" s="5"/>
      <c r="S47" s="5"/>
      <c r="T47" s="108" t="s">
        <v>258</v>
      </c>
      <c r="U47" s="5"/>
      <c r="V47" s="5"/>
      <c r="W47" s="5"/>
      <c r="X47" s="5"/>
      <c r="Y47" s="5"/>
      <c r="Z47" s="5"/>
    </row>
    <row r="48" spans="1:26" ht="15.6">
      <c r="A48" s="5"/>
      <c r="B48" s="5"/>
      <c r="C48" s="5"/>
      <c r="D48" s="5"/>
      <c r="G48" s="34" t="s">
        <v>68</v>
      </c>
      <c r="H48" s="43"/>
      <c r="I48" s="35"/>
      <c r="N48" s="5"/>
      <c r="R48" s="5"/>
      <c r="S48" s="5"/>
      <c r="T48" s="109">
        <v>1</v>
      </c>
      <c r="U48" s="5" t="s">
        <v>259</v>
      </c>
      <c r="V48" s="5"/>
      <c r="W48" s="5"/>
      <c r="X48" s="5"/>
      <c r="Y48" s="5"/>
      <c r="Z48" s="5"/>
    </row>
    <row r="49" spans="1:26" ht="15.6">
      <c r="A49" s="5"/>
      <c r="B49" s="5"/>
      <c r="C49" s="5"/>
      <c r="D49" s="5"/>
      <c r="G49" s="34" t="s">
        <v>69</v>
      </c>
      <c r="H49" s="40" t="s">
        <v>125</v>
      </c>
      <c r="I49" s="41">
        <f>V22</f>
        <v>2.8661527310881501</v>
      </c>
      <c r="N49" s="5"/>
      <c r="R49" s="5"/>
      <c r="S49" s="5"/>
      <c r="T49" s="109">
        <v>2</v>
      </c>
      <c r="U49" s="5" t="s">
        <v>260</v>
      </c>
      <c r="V49" s="5"/>
      <c r="W49" s="5"/>
      <c r="X49" s="5"/>
      <c r="Y49" s="5"/>
      <c r="Z49" s="5"/>
    </row>
    <row r="50" spans="1:26" ht="15.6">
      <c r="A50" s="5"/>
      <c r="B50" s="5"/>
      <c r="C50" s="5"/>
      <c r="D50" s="5"/>
      <c r="G50" s="34" t="s">
        <v>70</v>
      </c>
      <c r="H50" s="40" t="s">
        <v>127</v>
      </c>
      <c r="I50" s="41">
        <f>V36</f>
        <v>10.640592014164758</v>
      </c>
      <c r="N50" s="5"/>
      <c r="R50" s="5"/>
      <c r="S50" s="5"/>
      <c r="T50" s="109">
        <v>3</v>
      </c>
      <c r="U50" s="5" t="s">
        <v>261</v>
      </c>
      <c r="V50" s="5"/>
      <c r="W50" s="5"/>
      <c r="X50" s="5"/>
      <c r="Y50" s="5"/>
      <c r="Z50" s="5"/>
    </row>
    <row r="51" spans="1:26" ht="15.6">
      <c r="A51" s="5"/>
      <c r="B51" s="5"/>
      <c r="C51" s="5"/>
      <c r="D51" s="5"/>
      <c r="G51" s="34" t="s">
        <v>71</v>
      </c>
      <c r="H51" s="40" t="s">
        <v>129</v>
      </c>
      <c r="I51" s="41">
        <f>V40</f>
        <v>17.913454569300939</v>
      </c>
      <c r="N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6">
      <c r="A52" s="5"/>
      <c r="B52" s="5"/>
      <c r="C52" s="5"/>
      <c r="D52" s="5"/>
      <c r="G52" s="34" t="s">
        <v>72</v>
      </c>
      <c r="H52" s="35"/>
      <c r="I52" s="35"/>
      <c r="N52" s="5"/>
      <c r="R52" s="5"/>
      <c r="S52" s="5"/>
      <c r="T52" s="5" t="s">
        <v>262</v>
      </c>
      <c r="U52" s="463" t="s">
        <v>452</v>
      </c>
      <c r="V52" s="445"/>
      <c r="W52" s="64">
        <v>25</v>
      </c>
      <c r="X52" s="5" t="s">
        <v>326</v>
      </c>
      <c r="Y52" s="5"/>
      <c r="Z52" s="5"/>
    </row>
    <row r="53" spans="1:26" ht="15.6">
      <c r="A53" s="5"/>
      <c r="B53" s="5"/>
      <c r="C53" s="5"/>
      <c r="D53" s="5"/>
      <c r="G53" s="404" t="s">
        <v>85</v>
      </c>
      <c r="H53" s="405"/>
      <c r="I53" s="398"/>
      <c r="N53" s="5"/>
      <c r="R53" s="5"/>
      <c r="S53" s="5"/>
      <c r="T53" s="458" t="s">
        <v>152</v>
      </c>
      <c r="U53" s="456" t="s">
        <v>380</v>
      </c>
      <c r="V53" s="464"/>
      <c r="W53" s="456" t="s">
        <v>414</v>
      </c>
      <c r="X53" s="464"/>
      <c r="Y53" s="456" t="s">
        <v>415</v>
      </c>
      <c r="Z53" s="464"/>
    </row>
    <row r="54" spans="1:26" ht="15.6">
      <c r="A54" s="5"/>
      <c r="B54" s="5"/>
      <c r="C54" s="5"/>
      <c r="D54" s="5"/>
      <c r="G54" s="34" t="s">
        <v>67</v>
      </c>
      <c r="H54" s="35"/>
      <c r="I54" s="46"/>
      <c r="N54" s="5"/>
      <c r="R54" s="5"/>
      <c r="S54" s="5"/>
      <c r="T54" s="459"/>
      <c r="U54" s="221" t="s">
        <v>267</v>
      </c>
      <c r="V54" s="221" t="s">
        <v>268</v>
      </c>
      <c r="W54" s="221" t="s">
        <v>328</v>
      </c>
      <c r="X54" s="221" t="s">
        <v>329</v>
      </c>
      <c r="Y54" s="221" t="s">
        <v>328</v>
      </c>
      <c r="Z54" s="221" t="s">
        <v>329</v>
      </c>
    </row>
    <row r="55" spans="1:26" ht="15.6">
      <c r="A55" s="5"/>
      <c r="B55" s="5"/>
      <c r="C55" s="5"/>
      <c r="D55" s="5"/>
      <c r="G55" s="34" t="s">
        <v>68</v>
      </c>
      <c r="H55" s="35"/>
      <c r="I55" s="35"/>
      <c r="N55" s="5"/>
      <c r="R55" s="5"/>
      <c r="S55" s="5"/>
      <c r="T55" s="20" t="s">
        <v>271</v>
      </c>
      <c r="U55" s="20" t="s">
        <v>193</v>
      </c>
      <c r="V55" s="20" t="s">
        <v>193</v>
      </c>
      <c r="W55" s="20" t="s">
        <v>193</v>
      </c>
      <c r="X55" s="20" t="s">
        <v>193</v>
      </c>
      <c r="Y55" s="20" t="s">
        <v>193</v>
      </c>
      <c r="Z55" s="20" t="s">
        <v>193</v>
      </c>
    </row>
    <row r="56" spans="1:26" ht="15.6">
      <c r="A56" s="5"/>
      <c r="B56" s="5"/>
      <c r="C56" s="5"/>
      <c r="D56" s="5"/>
      <c r="G56" s="34" t="s">
        <v>69</v>
      </c>
      <c r="H56" s="35"/>
      <c r="I56" s="41">
        <f t="shared" ref="I56:I58" si="2">I49/$I$45</f>
        <v>9.12200684150513E-2</v>
      </c>
      <c r="N56" s="5"/>
      <c r="R56" s="5"/>
      <c r="S56" s="5"/>
      <c r="T56" s="20" t="s">
        <v>331</v>
      </c>
      <c r="U56" s="20" t="s">
        <v>193</v>
      </c>
      <c r="V56" s="20" t="s">
        <v>193</v>
      </c>
      <c r="W56" s="33">
        <f>N9</f>
        <v>68.071127363343578</v>
      </c>
      <c r="X56" s="33">
        <f>V156</f>
        <v>8363.315119698369</v>
      </c>
      <c r="Y56" s="20" t="s">
        <v>193</v>
      </c>
      <c r="Z56" s="20" t="s">
        <v>193</v>
      </c>
    </row>
    <row r="57" spans="1:26" ht="15.6">
      <c r="A57" s="5"/>
      <c r="B57" s="5"/>
      <c r="C57" s="5"/>
      <c r="D57" s="5"/>
      <c r="G57" s="34" t="s">
        <v>70</v>
      </c>
      <c r="H57" s="35"/>
      <c r="I57" s="41">
        <f t="shared" si="2"/>
        <v>0.33865450399087799</v>
      </c>
      <c r="N57" s="5"/>
      <c r="O57" s="5"/>
      <c r="P57" s="5"/>
      <c r="Q57" s="5"/>
      <c r="R57" s="5"/>
      <c r="S57" s="5"/>
      <c r="T57" s="20" t="s">
        <v>273</v>
      </c>
      <c r="U57" s="20" t="s">
        <v>193</v>
      </c>
      <c r="V57" s="20" t="s">
        <v>193</v>
      </c>
      <c r="W57" s="33">
        <f>N10</f>
        <v>140.44148382331934</v>
      </c>
      <c r="X57" s="33">
        <f>V163</f>
        <v>14474.069953165283</v>
      </c>
      <c r="Y57" s="20" t="s">
        <v>193</v>
      </c>
      <c r="Z57" s="20" t="s">
        <v>193</v>
      </c>
    </row>
    <row r="58" spans="1:26" ht="15.6">
      <c r="A58" s="5"/>
      <c r="B58" s="5"/>
      <c r="C58" s="5"/>
      <c r="D58" s="5"/>
      <c r="G58" s="34" t="s">
        <v>71</v>
      </c>
      <c r="H58" s="35"/>
      <c r="I58" s="41">
        <f t="shared" si="2"/>
        <v>0.5701254275940707</v>
      </c>
      <c r="N58" s="5"/>
      <c r="O58" s="5"/>
      <c r="P58" s="5"/>
      <c r="Q58" s="5"/>
      <c r="R58" s="5"/>
      <c r="S58" s="5"/>
      <c r="T58" s="20" t="s">
        <v>333</v>
      </c>
      <c r="U58" s="20" t="s">
        <v>193</v>
      </c>
      <c r="V58" s="20" t="s">
        <v>193</v>
      </c>
      <c r="W58" s="33">
        <f>N11</f>
        <v>0.10748072741580565</v>
      </c>
      <c r="X58" s="33">
        <f>V170</f>
        <v>24080.055081402144</v>
      </c>
      <c r="Y58" s="20" t="s">
        <v>193</v>
      </c>
      <c r="Z58" s="20" t="s">
        <v>193</v>
      </c>
    </row>
    <row r="59" spans="1:26" ht="15.6">
      <c r="A59" s="5"/>
      <c r="B59" s="5"/>
      <c r="C59" s="5"/>
      <c r="D59" s="5"/>
      <c r="G59" s="34" t="s">
        <v>72</v>
      </c>
      <c r="H59" s="35"/>
      <c r="I59" s="35"/>
      <c r="N59" s="5"/>
      <c r="O59" s="5"/>
      <c r="P59" s="5"/>
      <c r="Q59" s="5"/>
      <c r="R59" s="5"/>
      <c r="S59" s="5"/>
      <c r="T59" s="20" t="s">
        <v>275</v>
      </c>
      <c r="U59" s="20" t="s">
        <v>193</v>
      </c>
      <c r="V59" s="20" t="s">
        <v>193</v>
      </c>
      <c r="W59" s="20" t="s">
        <v>193</v>
      </c>
      <c r="X59" s="20" t="s">
        <v>193</v>
      </c>
      <c r="Y59" s="20" t="s">
        <v>193</v>
      </c>
      <c r="Z59" s="20" t="s">
        <v>193</v>
      </c>
    </row>
    <row r="60" spans="1:26" ht="15.6">
      <c r="A60" s="5"/>
      <c r="B60" s="5"/>
      <c r="C60" s="5"/>
      <c r="D60" s="5"/>
      <c r="G60" s="406" t="s">
        <v>99</v>
      </c>
      <c r="H60" s="389"/>
      <c r="I60" s="50">
        <v>0</v>
      </c>
      <c r="N60" s="5"/>
      <c r="O60" s="5"/>
      <c r="P60" s="5"/>
      <c r="Q60" s="5"/>
      <c r="R60" s="5"/>
      <c r="S60" s="5"/>
      <c r="T60" s="20" t="s">
        <v>416</v>
      </c>
      <c r="U60" s="33">
        <f t="shared" ref="U60:U63" si="3">G17</f>
        <v>68.071127363343578</v>
      </c>
      <c r="V60" s="110">
        <f>V86</f>
        <v>-26456.980500997608</v>
      </c>
      <c r="W60" s="20" t="s">
        <v>193</v>
      </c>
      <c r="X60" s="20" t="s">
        <v>193</v>
      </c>
      <c r="Y60" s="20" t="s">
        <v>193</v>
      </c>
      <c r="Z60" s="20" t="s">
        <v>193</v>
      </c>
    </row>
    <row r="61" spans="1:26" ht="15.6">
      <c r="A61" s="5"/>
      <c r="B61" s="5"/>
      <c r="C61" s="5"/>
      <c r="D61" s="5"/>
      <c r="G61" s="397" t="s">
        <v>92</v>
      </c>
      <c r="H61" s="398"/>
      <c r="I61" s="40">
        <f>SUM(I54:I59)</f>
        <v>1</v>
      </c>
      <c r="N61" s="5"/>
      <c r="O61" s="5"/>
      <c r="P61" s="5"/>
      <c r="Q61" s="5"/>
      <c r="R61" s="5"/>
      <c r="S61" s="5"/>
      <c r="T61" s="20" t="s">
        <v>417</v>
      </c>
      <c r="U61" s="33">
        <f t="shared" si="3"/>
        <v>143.30763655440751</v>
      </c>
      <c r="V61" s="110">
        <f>V107</f>
        <v>-69971.534741111696</v>
      </c>
      <c r="W61" s="20" t="s">
        <v>193</v>
      </c>
      <c r="X61" s="20" t="s">
        <v>193</v>
      </c>
      <c r="Y61" s="33">
        <f>I49</f>
        <v>2.8661527310881501</v>
      </c>
      <c r="Z61" s="110">
        <f>V191</f>
        <v>-18369.038836489006</v>
      </c>
    </row>
    <row r="62" spans="1:26" ht="15.6">
      <c r="A62" s="5"/>
      <c r="B62" s="5"/>
      <c r="C62" s="5"/>
      <c r="D62" s="5"/>
      <c r="G62" s="397" t="s">
        <v>75</v>
      </c>
      <c r="H62" s="398"/>
      <c r="I62" s="40">
        <v>250</v>
      </c>
      <c r="N62" s="5"/>
      <c r="O62" s="5"/>
      <c r="P62" s="5"/>
      <c r="Q62" s="5"/>
      <c r="R62" s="5"/>
      <c r="S62" s="5"/>
      <c r="T62" s="20" t="s">
        <v>418</v>
      </c>
      <c r="U62" s="33">
        <f t="shared" si="3"/>
        <v>10.748072741580565</v>
      </c>
      <c r="V62" s="110">
        <f>V128</f>
        <v>-87512.992464102746</v>
      </c>
      <c r="W62" s="20" t="s">
        <v>193</v>
      </c>
      <c r="X62" s="20" t="s">
        <v>193</v>
      </c>
      <c r="Y62" s="33">
        <f>I50</f>
        <v>10.640592014164758</v>
      </c>
      <c r="Z62" s="110">
        <f>V212</f>
        <v>-25727.644475804656</v>
      </c>
    </row>
    <row r="63" spans="1:26" ht="15.6">
      <c r="A63" s="5"/>
      <c r="B63" s="5"/>
      <c r="C63" s="5"/>
      <c r="D63" s="5"/>
      <c r="G63" s="396" t="s">
        <v>76</v>
      </c>
      <c r="H63" s="389"/>
      <c r="I63" s="45">
        <v>1</v>
      </c>
      <c r="N63" s="5"/>
      <c r="O63" s="5"/>
      <c r="P63" s="5"/>
      <c r="Q63" s="5"/>
      <c r="R63" s="5"/>
      <c r="S63" s="5"/>
      <c r="T63" s="20" t="s">
        <v>337</v>
      </c>
      <c r="U63" s="33">
        <f t="shared" si="3"/>
        <v>17.913454569300939</v>
      </c>
      <c r="V63" s="110">
        <f>V149</f>
        <v>-121994.97977633192</v>
      </c>
      <c r="W63" s="20" t="s">
        <v>193</v>
      </c>
      <c r="X63" s="20" t="s">
        <v>193</v>
      </c>
      <c r="Y63" s="33">
        <f>I51</f>
        <v>17.913454569300939</v>
      </c>
      <c r="Z63" s="110">
        <f>V233</f>
        <v>-25623.270228493478</v>
      </c>
    </row>
    <row r="64" spans="1:26" ht="15.6">
      <c r="A64" s="5"/>
      <c r="B64" s="5"/>
      <c r="C64" s="5"/>
      <c r="D64" s="5"/>
      <c r="G64" s="400" t="s">
        <v>548</v>
      </c>
      <c r="H64" s="400"/>
      <c r="I64" s="216">
        <f>Y65</f>
        <v>-785407.12633622356</v>
      </c>
      <c r="N64" s="5"/>
      <c r="O64" s="5"/>
      <c r="P64" s="5"/>
      <c r="Q64" s="5"/>
      <c r="R64" s="5"/>
      <c r="S64" s="5"/>
      <c r="T64" s="20" t="s">
        <v>276</v>
      </c>
      <c r="U64" s="20" t="s">
        <v>193</v>
      </c>
      <c r="V64" s="20" t="s">
        <v>193</v>
      </c>
      <c r="W64" s="20" t="s">
        <v>193</v>
      </c>
      <c r="X64" s="20" t="s">
        <v>193</v>
      </c>
      <c r="Y64" s="20" t="s">
        <v>193</v>
      </c>
      <c r="Z64" s="20" t="s">
        <v>193</v>
      </c>
    </row>
    <row r="65" spans="1:34" ht="15.6">
      <c r="A65" s="5"/>
      <c r="B65" s="5"/>
      <c r="C65" s="5"/>
      <c r="D65" s="5"/>
      <c r="M65" s="32" t="s">
        <v>123</v>
      </c>
      <c r="N65" s="5"/>
      <c r="O65" s="5"/>
      <c r="P65" s="5"/>
      <c r="Q65" s="5"/>
      <c r="R65" s="5"/>
      <c r="S65" s="5"/>
      <c r="T65" s="222" t="s">
        <v>469</v>
      </c>
      <c r="U65" s="441">
        <f>U60*V60+U61*V61+U62*V62+U63*V63</f>
        <v>-14954359.295909915</v>
      </c>
      <c r="V65" s="442"/>
      <c r="W65" s="441">
        <f>W56*X56+W57*X57+W58*X58</f>
        <v>2604648.2917141812</v>
      </c>
      <c r="X65" s="442"/>
      <c r="Y65" s="441">
        <f>Y61*Z61+Y62*Z62+Y63*Z63</f>
        <v>-785407.12633622356</v>
      </c>
      <c r="Z65" s="442"/>
    </row>
    <row r="66" spans="1:34" ht="15.6">
      <c r="A66" s="5"/>
      <c r="B66" s="5"/>
      <c r="C66" s="5"/>
      <c r="D66" s="5"/>
      <c r="J66" s="5"/>
      <c r="N66" s="5"/>
      <c r="O66" s="5"/>
      <c r="P66" s="5"/>
      <c r="Q66" s="5"/>
      <c r="R66" s="5"/>
      <c r="S66" s="5"/>
      <c r="T66" s="5"/>
      <c r="U66" s="5"/>
      <c r="V66" s="148"/>
      <c r="W66" s="148"/>
      <c r="X66" s="148"/>
      <c r="Y66" s="148"/>
      <c r="Z66" s="148"/>
    </row>
    <row r="67" spans="1:34" ht="15.6">
      <c r="A67" s="5"/>
      <c r="B67" s="5"/>
      <c r="C67" s="5"/>
      <c r="D67" s="5"/>
      <c r="J67" s="5"/>
      <c r="N67" s="5"/>
      <c r="O67" s="5"/>
      <c r="P67" s="5"/>
      <c r="Q67" s="5"/>
      <c r="R67" s="5"/>
      <c r="S67" s="5"/>
      <c r="T67" s="1"/>
      <c r="U67" s="2"/>
      <c r="V67" s="91" t="s">
        <v>278</v>
      </c>
      <c r="W67" s="2"/>
      <c r="X67" s="2"/>
      <c r="Y67" s="2"/>
      <c r="Z67" s="3"/>
      <c r="AC67" s="5"/>
      <c r="AD67" s="9"/>
      <c r="AE67" s="5"/>
      <c r="AF67" s="5"/>
      <c r="AG67" s="5"/>
      <c r="AH67" s="5"/>
    </row>
    <row r="68" spans="1:34" ht="15.6">
      <c r="A68" s="5"/>
      <c r="B68" s="5"/>
      <c r="C68" s="5"/>
      <c r="D68" s="5"/>
      <c r="G68" s="5"/>
      <c r="H68" s="5"/>
      <c r="I68" s="5"/>
      <c r="J68" s="5"/>
      <c r="N68" s="5"/>
      <c r="O68" s="5"/>
      <c r="P68" s="5"/>
      <c r="Q68" s="5"/>
      <c r="R68" s="5"/>
      <c r="S68" s="5"/>
      <c r="T68" s="116" t="s">
        <v>281</v>
      </c>
      <c r="U68" s="5"/>
      <c r="V68" s="5"/>
      <c r="W68" s="5"/>
      <c r="X68" s="109" t="s">
        <v>338</v>
      </c>
      <c r="Y68" s="5"/>
      <c r="Z68" s="6"/>
      <c r="AC68" s="9"/>
      <c r="AD68" s="9"/>
      <c r="AE68" s="9"/>
      <c r="AF68" s="5"/>
      <c r="AG68" s="5"/>
      <c r="AH68" s="5"/>
    </row>
    <row r="69" spans="1:34" ht="15.6">
      <c r="A69" s="5"/>
      <c r="B69" s="5"/>
      <c r="C69" s="5"/>
      <c r="D69" s="5"/>
      <c r="G69" s="5"/>
      <c r="H69" s="5"/>
      <c r="J69" s="5"/>
      <c r="N69" s="5"/>
      <c r="O69" s="5"/>
      <c r="P69" s="5"/>
      <c r="Q69" s="5"/>
      <c r="R69" s="5"/>
      <c r="S69" s="5"/>
      <c r="T69" s="156" t="s">
        <v>419</v>
      </c>
      <c r="U69" s="5"/>
      <c r="V69" s="5"/>
      <c r="W69" s="5"/>
      <c r="X69" s="64" t="s">
        <v>420</v>
      </c>
      <c r="Y69" s="5"/>
      <c r="Z69" s="6"/>
      <c r="AC69" s="5"/>
      <c r="AD69" s="9"/>
      <c r="AE69" s="5"/>
      <c r="AF69" s="5"/>
      <c r="AG69" s="5"/>
      <c r="AH69" s="5"/>
    </row>
    <row r="70" spans="1:34" ht="15.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172"/>
      <c r="U70" s="5"/>
      <c r="V70" s="5"/>
      <c r="W70" s="5"/>
      <c r="X70" s="148"/>
      <c r="Y70" s="5"/>
      <c r="Z70" s="6"/>
      <c r="AC70" s="9"/>
      <c r="AD70" s="117"/>
      <c r="AE70" s="5"/>
      <c r="AF70" s="5"/>
      <c r="AG70" s="5"/>
      <c r="AH70" s="5"/>
    </row>
    <row r="71" spans="1:34" ht="15.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9" t="s">
        <v>341</v>
      </c>
      <c r="V71" s="9" t="s">
        <v>421</v>
      </c>
      <c r="W71" s="9" t="s">
        <v>342</v>
      </c>
      <c r="X71" s="64"/>
      <c r="Y71" s="5"/>
      <c r="Z71" s="6"/>
      <c r="AC71" s="9"/>
      <c r="AD71" s="117"/>
      <c r="AE71" s="129"/>
      <c r="AF71" s="5"/>
      <c r="AG71" s="5"/>
      <c r="AH71" s="5"/>
    </row>
    <row r="72" spans="1:34" ht="15.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5"/>
      <c r="V72" s="148"/>
      <c r="W72" s="5"/>
      <c r="X72" s="5"/>
      <c r="Y72" s="5"/>
      <c r="Z72" s="6"/>
      <c r="AC72" s="5"/>
      <c r="AD72" s="5"/>
      <c r="AE72" s="5"/>
      <c r="AF72" s="5"/>
      <c r="AG72" s="5"/>
      <c r="AH72" s="5"/>
    </row>
    <row r="73" spans="1:34" ht="15.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 t="s">
        <v>576</v>
      </c>
      <c r="U73" s="9"/>
      <c r="V73" s="5"/>
      <c r="W73" s="148"/>
      <c r="X73" s="5"/>
      <c r="Y73" s="5"/>
      <c r="Z73" s="6"/>
      <c r="AC73" s="5"/>
      <c r="AD73" s="5"/>
      <c r="AE73" s="5"/>
      <c r="AF73" s="5"/>
      <c r="AG73" s="5"/>
      <c r="AH73" s="5"/>
    </row>
    <row r="74" spans="1:34" ht="50.4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88" t="s">
        <v>419</v>
      </c>
      <c r="U74" s="94" t="s">
        <v>135</v>
      </c>
      <c r="V74" s="377"/>
      <c r="W74" s="377"/>
      <c r="X74" s="377"/>
      <c r="Y74" s="377"/>
      <c r="Z74" s="465"/>
      <c r="AC74" s="5"/>
      <c r="AD74" s="9"/>
      <c r="AE74" s="5"/>
      <c r="AF74" s="5"/>
      <c r="AG74" s="5"/>
      <c r="AH74" s="5"/>
    </row>
    <row r="75" spans="1:34" ht="15.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116" t="s">
        <v>419</v>
      </c>
      <c r="U75" s="117" t="s">
        <v>135</v>
      </c>
      <c r="V75" s="96">
        <f>(Database!$C$32*((Database!$H$11)-($W$52+273.15)))+(((Database!$D$32)*((Database!$H$11)^2-($W$52+273.15)^2))/2)+((Database!$E$32*((Database!$H$11)^3-($W$52+273.15)^3))/3)+((Database!$F$32*((Database!$H$11)^4-($W$52+273.15)^4))/4)+((Database!$G$32)*((Database!$H$11)^(5)-($W$52+273.15)^5))/5</f>
        <v>-695.48620406653799</v>
      </c>
      <c r="W75" s="148"/>
      <c r="X75" s="5"/>
      <c r="Y75" s="5"/>
      <c r="Z75" s="6"/>
      <c r="AC75" s="115"/>
      <c r="AD75" s="9"/>
      <c r="AE75" s="115"/>
      <c r="AF75" s="5"/>
      <c r="AG75" s="5"/>
      <c r="AH75" s="5"/>
    </row>
    <row r="76" spans="1:34" ht="15.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172"/>
      <c r="U76" s="148"/>
      <c r="V76" s="148"/>
      <c r="W76" s="5"/>
      <c r="X76" s="5"/>
      <c r="Y76" s="5"/>
      <c r="Z76" s="6"/>
      <c r="AC76" s="5"/>
      <c r="AD76" s="9"/>
      <c r="AE76" s="5"/>
      <c r="AF76" s="5"/>
      <c r="AG76" s="5"/>
      <c r="AH76" s="5"/>
    </row>
    <row r="77" spans="1:34" ht="15.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 t="s">
        <v>344</v>
      </c>
      <c r="U77" s="9"/>
      <c r="V77" s="5"/>
      <c r="W77" s="5"/>
      <c r="X77" s="5"/>
      <c r="Y77" s="5"/>
      <c r="Z77" s="6"/>
      <c r="AC77" s="9"/>
      <c r="AD77" s="117"/>
      <c r="AE77" s="5"/>
      <c r="AF77" s="5"/>
      <c r="AG77" s="5"/>
      <c r="AH77" s="5"/>
    </row>
    <row r="78" spans="1:34" ht="15.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116" t="s">
        <v>421</v>
      </c>
      <c r="U78" s="117" t="s">
        <v>135</v>
      </c>
      <c r="V78" s="94" t="s">
        <v>551</v>
      </c>
      <c r="W78" s="5"/>
      <c r="X78" s="5"/>
      <c r="Y78" s="5"/>
      <c r="Z78" s="6"/>
      <c r="AC78" s="9"/>
      <c r="AD78" s="117"/>
      <c r="AE78" s="129"/>
      <c r="AF78" s="5"/>
      <c r="AG78" s="5"/>
      <c r="AH78" s="5"/>
    </row>
    <row r="79" spans="1:34" ht="15.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116" t="s">
        <v>421</v>
      </c>
      <c r="U79" s="117" t="s">
        <v>135</v>
      </c>
      <c r="V79" s="9">
        <f>Database!$I$21*1000*-1</f>
        <v>-25700</v>
      </c>
      <c r="W79" s="5" t="s">
        <v>279</v>
      </c>
      <c r="X79" s="5"/>
      <c r="Y79" s="5"/>
      <c r="Z79" s="6"/>
      <c r="AC79" s="5"/>
      <c r="AD79" s="9"/>
      <c r="AE79" s="5"/>
      <c r="AF79" s="5"/>
      <c r="AG79" s="5"/>
      <c r="AH79" s="5"/>
    </row>
    <row r="80" spans="1:34" ht="15.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9"/>
      <c r="V80" s="5"/>
      <c r="W80" s="5"/>
      <c r="X80" s="5"/>
      <c r="Y80" s="5"/>
      <c r="Z80" s="6"/>
      <c r="AC80" s="5"/>
      <c r="AD80" s="9"/>
      <c r="AE80" s="5"/>
      <c r="AF80" s="5"/>
      <c r="AG80" s="5"/>
      <c r="AH80" s="5"/>
    </row>
    <row r="81" spans="1:34" ht="15.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 t="s">
        <v>577</v>
      </c>
      <c r="U81" s="5"/>
      <c r="V81" s="5"/>
      <c r="W81" s="5"/>
      <c r="X81" s="5"/>
      <c r="Y81" s="5"/>
      <c r="Z81" s="6"/>
      <c r="AC81" s="5"/>
      <c r="AD81" s="9"/>
      <c r="AE81" s="5"/>
      <c r="AF81" s="5"/>
      <c r="AG81" s="5"/>
      <c r="AH81" s="5"/>
    </row>
    <row r="82" spans="1:34" ht="54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88" t="s">
        <v>420</v>
      </c>
      <c r="U82" s="94" t="s">
        <v>135</v>
      </c>
      <c r="V82" s="377"/>
      <c r="W82" s="377"/>
      <c r="X82" s="377"/>
      <c r="Y82" s="377"/>
      <c r="Z82" s="465"/>
      <c r="AC82" s="115"/>
      <c r="AD82" s="9"/>
      <c r="AE82" s="115"/>
      <c r="AF82" s="5"/>
      <c r="AG82" s="5"/>
      <c r="AH82" s="5"/>
    </row>
    <row r="83" spans="1:34" ht="15.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116" t="s">
        <v>420</v>
      </c>
      <c r="U83" s="117" t="s">
        <v>135</v>
      </c>
      <c r="V83" s="129">
        <f>Database!$C$44*(($G$31+273.15)-(Database!$H$11))+((Database!$D$44*(($G$31+273.15)^2-(Database!$H$11)^2))/2)+((Database!$E$44*(($G$31+273.15)^3-(Database!$H$11)^3))/3)+((Database!$F$44*(($G$31+273.15)^4-(Database!$H$11)^4))/4)</f>
        <v>-61.494296931069591</v>
      </c>
      <c r="W83" s="5" t="s">
        <v>279</v>
      </c>
      <c r="X83" s="5"/>
      <c r="Y83" s="5"/>
      <c r="Z83" s="6"/>
      <c r="AC83" s="5"/>
      <c r="AD83" s="9"/>
      <c r="AE83" s="5"/>
      <c r="AF83" s="5"/>
      <c r="AG83" s="5"/>
      <c r="AH83" s="5"/>
    </row>
    <row r="84" spans="1:34" ht="15.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5"/>
      <c r="V84" s="5"/>
      <c r="W84" s="5"/>
      <c r="X84" s="5"/>
      <c r="Y84" s="5"/>
      <c r="Z84" s="6"/>
      <c r="AC84" s="9"/>
      <c r="AD84" s="117"/>
      <c r="AE84" s="5"/>
      <c r="AF84" s="5"/>
      <c r="AG84" s="5"/>
      <c r="AH84" s="5"/>
    </row>
    <row r="85" spans="1:34" ht="15.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116" t="s">
        <v>278</v>
      </c>
      <c r="U85" s="117" t="s">
        <v>135</v>
      </c>
      <c r="V85" s="9" t="s">
        <v>419</v>
      </c>
      <c r="W85" s="117" t="s">
        <v>284</v>
      </c>
      <c r="X85" s="9" t="s">
        <v>421</v>
      </c>
      <c r="Y85" s="117" t="s">
        <v>284</v>
      </c>
      <c r="Z85" s="121" t="s">
        <v>420</v>
      </c>
      <c r="AC85" s="9"/>
      <c r="AD85" s="117"/>
      <c r="AE85" s="129"/>
      <c r="AF85" s="5"/>
      <c r="AG85" s="5"/>
      <c r="AH85" s="5"/>
    </row>
    <row r="86" spans="1:34" ht="15.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85" t="s">
        <v>278</v>
      </c>
      <c r="U86" s="118" t="s">
        <v>135</v>
      </c>
      <c r="V86" s="119">
        <f>V83+V79+V75</f>
        <v>-26456.980500997608</v>
      </c>
      <c r="W86" s="11" t="s">
        <v>279</v>
      </c>
      <c r="X86" s="11"/>
      <c r="Y86" s="11"/>
      <c r="Z86" s="12"/>
      <c r="AC86" s="5"/>
      <c r="AD86" s="9"/>
      <c r="AE86" s="5"/>
      <c r="AF86" s="5"/>
      <c r="AG86" s="5"/>
      <c r="AH86" s="5"/>
    </row>
    <row r="87" spans="1:34" ht="15.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148"/>
      <c r="U87" s="148"/>
      <c r="V87" s="148"/>
      <c r="W87" s="148"/>
      <c r="X87" s="148"/>
      <c r="Y87" s="148"/>
      <c r="Z87" s="148"/>
      <c r="AC87" s="5"/>
      <c r="AD87" s="9"/>
      <c r="AE87" s="5"/>
      <c r="AF87" s="5"/>
      <c r="AG87" s="5"/>
      <c r="AH87" s="5"/>
    </row>
    <row r="88" spans="1:34" ht="15.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1"/>
      <c r="U88" s="2"/>
      <c r="V88" s="91" t="s">
        <v>280</v>
      </c>
      <c r="W88" s="2"/>
      <c r="X88" s="2"/>
      <c r="Y88" s="2"/>
      <c r="Z88" s="3"/>
      <c r="AC88" s="5"/>
      <c r="AD88" s="9"/>
      <c r="AE88" s="5"/>
      <c r="AF88" s="5"/>
      <c r="AG88" s="5"/>
      <c r="AH88" s="5"/>
    </row>
    <row r="89" spans="1:34" ht="15.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116" t="s">
        <v>346</v>
      </c>
      <c r="U89" s="5"/>
      <c r="V89" s="5"/>
      <c r="W89" s="5"/>
      <c r="X89" s="109" t="s">
        <v>347</v>
      </c>
      <c r="Y89" s="5"/>
      <c r="Z89" s="6"/>
      <c r="AC89" s="115"/>
      <c r="AD89" s="9"/>
      <c r="AE89" s="115"/>
      <c r="AF89" s="5"/>
      <c r="AG89" s="5"/>
      <c r="AH89" s="5"/>
    </row>
    <row r="90" spans="1:34" ht="15.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156" t="s">
        <v>383</v>
      </c>
      <c r="U90" s="5"/>
      <c r="V90" s="5"/>
      <c r="W90" s="5"/>
      <c r="X90" s="64" t="s">
        <v>384</v>
      </c>
      <c r="Y90" s="5"/>
      <c r="Z90" s="6"/>
      <c r="AC90" s="5"/>
      <c r="AD90" s="9"/>
      <c r="AE90" s="5"/>
      <c r="AF90" s="5"/>
      <c r="AG90" s="5"/>
      <c r="AH90" s="5"/>
    </row>
    <row r="91" spans="1:34" ht="15.6">
      <c r="S91" s="148"/>
      <c r="T91" s="172"/>
      <c r="U91" s="5"/>
      <c r="V91" s="5"/>
      <c r="W91" s="5"/>
      <c r="X91" s="148"/>
      <c r="Y91" s="5"/>
      <c r="Z91" s="6"/>
      <c r="AC91" s="9"/>
      <c r="AD91" s="117"/>
      <c r="AE91" s="5"/>
      <c r="AF91" s="5"/>
      <c r="AG91" s="5"/>
      <c r="AH91" s="5"/>
    </row>
    <row r="92" spans="1:34" ht="15.6">
      <c r="S92" s="148"/>
      <c r="T92" s="4"/>
      <c r="U92" s="9" t="s">
        <v>350</v>
      </c>
      <c r="V92" s="9" t="s">
        <v>385</v>
      </c>
      <c r="W92" s="9" t="s">
        <v>351</v>
      </c>
      <c r="X92" s="5"/>
      <c r="Y92" s="5"/>
      <c r="Z92" s="6"/>
      <c r="AC92" s="9"/>
      <c r="AD92" s="117"/>
      <c r="AE92" s="129"/>
      <c r="AF92" s="5"/>
      <c r="AG92" s="5"/>
      <c r="AH92" s="5"/>
    </row>
    <row r="93" spans="1:34" ht="15.6">
      <c r="S93" s="148"/>
      <c r="T93" s="4"/>
      <c r="U93" s="5"/>
      <c r="V93" s="148"/>
      <c r="W93" s="5"/>
      <c r="X93" s="5"/>
      <c r="Y93" s="5"/>
      <c r="Z93" s="6"/>
      <c r="AC93" s="5"/>
      <c r="AD93" s="5"/>
      <c r="AE93" s="5"/>
      <c r="AF93" s="5"/>
      <c r="AG93" s="5"/>
      <c r="AH93" s="5"/>
    </row>
    <row r="94" spans="1:34" ht="15.6">
      <c r="S94" s="148"/>
      <c r="T94" s="4" t="s">
        <v>578</v>
      </c>
      <c r="U94" s="9"/>
      <c r="V94" s="5"/>
      <c r="W94" s="148"/>
      <c r="X94" s="5"/>
      <c r="Y94" s="5"/>
      <c r="Z94" s="6"/>
      <c r="AC94" s="5"/>
      <c r="AD94" s="5"/>
      <c r="AE94" s="5"/>
      <c r="AF94" s="5"/>
      <c r="AG94" s="5"/>
      <c r="AH94" s="5"/>
    </row>
    <row r="95" spans="1:34" ht="56.4" customHeight="1">
      <c r="S95" s="148"/>
      <c r="T95" s="88" t="s">
        <v>383</v>
      </c>
      <c r="U95" s="94" t="s">
        <v>135</v>
      </c>
      <c r="V95" s="377"/>
      <c r="W95" s="377"/>
      <c r="X95" s="377"/>
      <c r="Y95" s="377"/>
      <c r="Z95" s="465"/>
      <c r="AC95" s="5"/>
      <c r="AD95" s="5"/>
      <c r="AE95" s="9"/>
      <c r="AF95" s="5"/>
      <c r="AG95" s="5"/>
      <c r="AH95" s="5"/>
    </row>
    <row r="96" spans="1:34" ht="15.6">
      <c r="S96" s="148"/>
      <c r="T96" s="116" t="s">
        <v>383</v>
      </c>
      <c r="U96" s="117" t="s">
        <v>135</v>
      </c>
      <c r="V96" s="96">
        <f>(Database!$C$33*((Database!$H$12)-($W$52+273.15)))+(((Database!$D$33)*((Database!$H$12)^2-($W$52+273.15)^2))/2)+((Database!$E$33*((Database!$H$12)^3-($W$52+273.15)^3))/3)+((Database!$F$33*((Database!$H$12)^4-($W$52+273.15)^4))/4)+((Database!$G$33)*((Database!$H$12)^(5)-($W$52+273.15)^5))/5</f>
        <v>14587.315366913117</v>
      </c>
      <c r="W96" s="148"/>
      <c r="X96" s="5"/>
      <c r="Y96" s="5"/>
      <c r="Z96" s="6"/>
      <c r="AC96" s="9"/>
      <c r="AD96" s="5"/>
      <c r="AE96" s="5"/>
      <c r="AF96" s="5"/>
      <c r="AG96" s="9"/>
      <c r="AH96" s="5"/>
    </row>
    <row r="97" spans="19:34" ht="15.6">
      <c r="S97" s="148"/>
      <c r="T97" s="4"/>
      <c r="U97" s="148"/>
      <c r="V97" s="148"/>
      <c r="W97" s="5"/>
      <c r="X97" s="5"/>
      <c r="Y97" s="5"/>
      <c r="Z97" s="6"/>
      <c r="AC97" s="5"/>
      <c r="AD97" s="5"/>
      <c r="AE97" s="5"/>
      <c r="AF97" s="5"/>
      <c r="AG97" s="5"/>
      <c r="AH97" s="5"/>
    </row>
    <row r="98" spans="19:34" ht="15.6">
      <c r="S98" s="148"/>
      <c r="T98" s="4" t="s">
        <v>353</v>
      </c>
      <c r="U98" s="9"/>
      <c r="V98" s="5"/>
      <c r="W98" s="5"/>
      <c r="X98" s="5"/>
      <c r="Y98" s="5"/>
      <c r="Z98" s="6"/>
      <c r="AC98" s="9"/>
      <c r="AD98" s="5"/>
      <c r="AE98" s="5"/>
      <c r="AF98" s="5"/>
      <c r="AG98" s="9"/>
      <c r="AH98" s="5"/>
    </row>
    <row r="99" spans="19:34" ht="15.6">
      <c r="S99" s="148"/>
      <c r="T99" s="116" t="s">
        <v>385</v>
      </c>
      <c r="U99" s="117" t="s">
        <v>135</v>
      </c>
      <c r="V99" s="94" t="s">
        <v>552</v>
      </c>
      <c r="W99" s="5"/>
      <c r="X99" s="5"/>
      <c r="Y99" s="5"/>
      <c r="Z99" s="6"/>
      <c r="AC99" s="5"/>
      <c r="AD99" s="9"/>
      <c r="AE99" s="5"/>
      <c r="AF99" s="9"/>
      <c r="AG99" s="5"/>
      <c r="AH99" s="5"/>
    </row>
    <row r="100" spans="19:34" ht="15.6">
      <c r="S100" s="148"/>
      <c r="T100" s="116" t="s">
        <v>385</v>
      </c>
      <c r="U100" s="117" t="s">
        <v>135</v>
      </c>
      <c r="V100" s="9">
        <f>Database!$I$22*1000*-1</f>
        <v>-51530</v>
      </c>
      <c r="W100" s="5" t="s">
        <v>279</v>
      </c>
      <c r="X100" s="5"/>
      <c r="Y100" s="5"/>
      <c r="Z100" s="6"/>
      <c r="AC100" s="5"/>
      <c r="AD100" s="5"/>
      <c r="AE100" s="9"/>
      <c r="AF100" s="5"/>
      <c r="AG100" s="5"/>
      <c r="AH100" s="5"/>
    </row>
    <row r="101" spans="19:34" ht="15.6">
      <c r="S101" s="148"/>
      <c r="T101" s="4"/>
      <c r="U101" s="9"/>
      <c r="V101" s="5"/>
      <c r="W101" s="5"/>
      <c r="X101" s="5"/>
      <c r="Y101" s="5"/>
      <c r="Z101" s="6"/>
      <c r="AC101" s="5"/>
      <c r="AD101" s="5"/>
      <c r="AE101" s="5"/>
      <c r="AF101" s="5"/>
      <c r="AG101" s="5"/>
      <c r="AH101" s="5"/>
    </row>
    <row r="102" spans="19:34" ht="15.6">
      <c r="S102" s="148"/>
      <c r="T102" s="4" t="s">
        <v>577</v>
      </c>
      <c r="U102" s="5"/>
      <c r="V102" s="5"/>
      <c r="W102" s="5"/>
      <c r="X102" s="5"/>
      <c r="Y102" s="5"/>
      <c r="Z102" s="6"/>
      <c r="AC102" s="9"/>
      <c r="AD102" s="117"/>
      <c r="AE102" s="5"/>
      <c r="AF102" s="5"/>
      <c r="AG102" s="5"/>
      <c r="AH102" s="5"/>
    </row>
    <row r="103" spans="19:34" ht="52.2" customHeight="1">
      <c r="S103" s="148"/>
      <c r="T103" s="88" t="s">
        <v>384</v>
      </c>
      <c r="U103" s="94" t="s">
        <v>135</v>
      </c>
      <c r="V103" s="377"/>
      <c r="W103" s="377"/>
      <c r="X103" s="377"/>
      <c r="Y103" s="377"/>
      <c r="Z103" s="465"/>
      <c r="AC103" s="9"/>
      <c r="AD103" s="117"/>
      <c r="AE103" s="129"/>
      <c r="AF103" s="5"/>
      <c r="AG103" s="5"/>
      <c r="AH103" s="5"/>
    </row>
    <row r="104" spans="19:34" ht="15.6">
      <c r="S104" s="148"/>
      <c r="T104" s="116" t="s">
        <v>384</v>
      </c>
      <c r="U104" s="117" t="s">
        <v>135</v>
      </c>
      <c r="V104" s="129">
        <f>Database!$C$45*(($G$31+273.15)-(Database!$H$12))+((Database!$D$45*(($G$31+273.15)^2-(Database!$H$12)^2))/2)+((Database!$E$45*(($G$31+273.15)^3-(Database!$H$12)^3))/3)+((Database!$F$45*(($G$31+273.15)^4-(Database!$H$12)^4))/4)</f>
        <v>-33028.850108024802</v>
      </c>
      <c r="W104" s="5" t="s">
        <v>279</v>
      </c>
      <c r="X104" s="5"/>
      <c r="Y104" s="5"/>
      <c r="Z104" s="6"/>
      <c r="AC104" s="5"/>
      <c r="AD104" s="9"/>
      <c r="AE104" s="5"/>
      <c r="AF104" s="5"/>
      <c r="AG104" s="5"/>
      <c r="AH104" s="5"/>
    </row>
    <row r="105" spans="19:34" ht="15.6">
      <c r="S105" s="148"/>
      <c r="T105" s="4"/>
      <c r="U105" s="5"/>
      <c r="V105" s="5"/>
      <c r="W105" s="5"/>
      <c r="X105" s="5"/>
      <c r="Y105" s="5"/>
      <c r="Z105" s="6"/>
      <c r="AC105" s="5"/>
      <c r="AD105" s="9"/>
      <c r="AE105" s="5"/>
      <c r="AF105" s="5"/>
      <c r="AG105" s="5"/>
      <c r="AH105" s="5"/>
    </row>
    <row r="106" spans="19:34" ht="15.6">
      <c r="S106" s="148"/>
      <c r="T106" s="116" t="s">
        <v>280</v>
      </c>
      <c r="U106" s="117" t="s">
        <v>135</v>
      </c>
      <c r="V106" s="9" t="s">
        <v>383</v>
      </c>
      <c r="W106" s="117" t="s">
        <v>284</v>
      </c>
      <c r="X106" s="9" t="s">
        <v>385</v>
      </c>
      <c r="Y106" s="117" t="s">
        <v>284</v>
      </c>
      <c r="Z106" s="121" t="s">
        <v>384</v>
      </c>
      <c r="AC106" s="9"/>
      <c r="AD106" s="117"/>
      <c r="AE106" s="5"/>
      <c r="AF106" s="5"/>
      <c r="AG106" s="5"/>
      <c r="AH106" s="5"/>
    </row>
    <row r="107" spans="19:34" ht="15.6">
      <c r="S107" s="148"/>
      <c r="T107" s="85" t="s">
        <v>280</v>
      </c>
      <c r="U107" s="118" t="s">
        <v>135</v>
      </c>
      <c r="V107" s="119">
        <f>V104+V100+V96</f>
        <v>-69971.534741111696</v>
      </c>
      <c r="W107" s="11" t="s">
        <v>279</v>
      </c>
      <c r="X107" s="11"/>
      <c r="Y107" s="11"/>
      <c r="Z107" s="12"/>
      <c r="AC107" s="9"/>
      <c r="AD107" s="117"/>
      <c r="AE107" s="9"/>
      <c r="AF107" s="5"/>
      <c r="AG107" s="5"/>
      <c r="AH107" s="5"/>
    </row>
    <row r="108" spans="19:34" ht="15.6">
      <c r="S108" s="148"/>
      <c r="T108" s="148"/>
      <c r="U108" s="148"/>
      <c r="V108" s="148"/>
      <c r="W108" s="148"/>
      <c r="X108" s="148"/>
      <c r="Y108" s="148"/>
      <c r="Z108" s="148"/>
      <c r="AC108" s="5"/>
      <c r="AD108" s="9"/>
      <c r="AE108" s="5"/>
      <c r="AF108" s="5"/>
      <c r="AG108" s="5"/>
      <c r="AH108" s="5"/>
    </row>
    <row r="109" spans="19:34" ht="15.6">
      <c r="S109" s="148"/>
      <c r="T109" s="1"/>
      <c r="U109" s="2"/>
      <c r="V109" s="91" t="s">
        <v>287</v>
      </c>
      <c r="W109" s="2"/>
      <c r="X109" s="2"/>
      <c r="Y109" s="2"/>
      <c r="Z109" s="3"/>
      <c r="AC109" s="5"/>
      <c r="AD109" s="9"/>
      <c r="AE109" s="5"/>
      <c r="AF109" s="5"/>
      <c r="AG109" s="5"/>
      <c r="AH109" s="5"/>
    </row>
    <row r="110" spans="19:34" ht="15.6">
      <c r="S110" s="148"/>
      <c r="T110" s="116" t="s">
        <v>355</v>
      </c>
      <c r="U110" s="5"/>
      <c r="V110" s="5"/>
      <c r="W110" s="5"/>
      <c r="X110" s="109" t="s">
        <v>356</v>
      </c>
      <c r="Y110" s="5"/>
      <c r="Z110" s="6"/>
      <c r="AC110" s="9"/>
      <c r="AD110" s="117"/>
      <c r="AE110" s="5"/>
      <c r="AF110" s="5"/>
      <c r="AG110" s="5"/>
      <c r="AH110" s="5"/>
    </row>
    <row r="111" spans="19:34" ht="15.6">
      <c r="S111" s="148"/>
      <c r="T111" s="4"/>
      <c r="U111" s="5"/>
      <c r="V111" s="5"/>
      <c r="W111" s="5"/>
      <c r="X111" s="5"/>
      <c r="Y111" s="5"/>
      <c r="Z111" s="6"/>
      <c r="AC111" s="9"/>
      <c r="AD111" s="117"/>
      <c r="AE111" s="96"/>
      <c r="AF111" s="5"/>
      <c r="AG111" s="5"/>
      <c r="AH111" s="5"/>
    </row>
    <row r="112" spans="19:34" ht="15.6">
      <c r="S112" s="148"/>
      <c r="T112" s="116" t="s">
        <v>386</v>
      </c>
      <c r="U112" s="5"/>
      <c r="V112" s="5"/>
      <c r="W112" s="5"/>
      <c r="X112" s="9" t="s">
        <v>387</v>
      </c>
      <c r="Y112" s="5"/>
      <c r="Z112" s="6"/>
      <c r="AC112" s="5"/>
      <c r="AD112" s="5"/>
      <c r="AE112" s="5"/>
      <c r="AF112" s="5"/>
      <c r="AG112" s="5"/>
      <c r="AH112" s="5"/>
    </row>
    <row r="113" spans="19:34" ht="15.6">
      <c r="S113" s="148"/>
      <c r="T113" s="4"/>
      <c r="U113" s="9" t="s">
        <v>359</v>
      </c>
      <c r="V113" s="5"/>
      <c r="W113" s="9" t="s">
        <v>360</v>
      </c>
      <c r="X113" s="5"/>
      <c r="Y113" s="5"/>
      <c r="Z113" s="6"/>
      <c r="AC113" s="9"/>
      <c r="AD113" s="117"/>
      <c r="AE113" s="9"/>
      <c r="AF113" s="61"/>
      <c r="AG113" s="9"/>
      <c r="AH113" s="61"/>
    </row>
    <row r="114" spans="19:34" ht="15.6">
      <c r="S114" s="148"/>
      <c r="T114" s="4"/>
      <c r="U114" s="5"/>
      <c r="V114" s="9" t="s">
        <v>388</v>
      </c>
      <c r="W114" s="5"/>
      <c r="X114" s="5"/>
      <c r="Y114" s="5"/>
      <c r="Z114" s="6"/>
      <c r="AC114" s="9"/>
      <c r="AD114" s="117"/>
      <c r="AE114" s="129"/>
      <c r="AF114" s="5"/>
      <c r="AG114" s="5"/>
      <c r="AH114" s="5"/>
    </row>
    <row r="115" spans="19:34" ht="15.6">
      <c r="S115" s="148"/>
      <c r="T115" s="4" t="s">
        <v>579</v>
      </c>
      <c r="U115" s="9"/>
      <c r="V115" s="5"/>
      <c r="W115" s="148"/>
      <c r="X115" s="5"/>
      <c r="Y115" s="5"/>
      <c r="Z115" s="6"/>
      <c r="AC115" s="5"/>
      <c r="AD115" s="5"/>
      <c r="AE115" s="5"/>
      <c r="AF115" s="5"/>
      <c r="AG115" s="5"/>
      <c r="AH115" s="5"/>
    </row>
    <row r="116" spans="19:34" ht="51" customHeight="1">
      <c r="S116" s="148"/>
      <c r="T116" s="88" t="s">
        <v>386</v>
      </c>
      <c r="U116" s="94" t="s">
        <v>135</v>
      </c>
      <c r="V116" s="377"/>
      <c r="W116" s="377"/>
      <c r="X116" s="377"/>
      <c r="Y116" s="377"/>
      <c r="Z116" s="465"/>
      <c r="AC116" s="5"/>
      <c r="AD116" s="5"/>
      <c r="AE116" s="5"/>
      <c r="AF116" s="5"/>
      <c r="AG116" s="5"/>
      <c r="AH116" s="5"/>
    </row>
    <row r="117" spans="19:34" ht="15.6">
      <c r="S117" s="148"/>
      <c r="T117" s="116" t="s">
        <v>386</v>
      </c>
      <c r="U117" s="117" t="s">
        <v>135</v>
      </c>
      <c r="V117" s="96">
        <f>(Database!$C$34*((Database!$H$13)-($W$52+273.15)))+(((Database!$D$34)*((Database!$H$13)^2-($W$52+273.15)^2))/2)+((Database!$E$34*((Database!$H$13)^3-($W$52+273.15)^3))/3)+((Database!$F$34*((Database!$H$13)^4-($W$52+273.15)^4))/4)+((Database!$G$34)*((Database!$H$13)^(5)-($W$52+273.15)^5))/5</f>
        <v>44168.085339864891</v>
      </c>
      <c r="W117" s="148"/>
      <c r="X117" s="5"/>
      <c r="Y117" s="5"/>
      <c r="Z117" s="6"/>
      <c r="AC117" s="5"/>
      <c r="AD117" s="5"/>
      <c r="AE117" s="9"/>
      <c r="AF117" s="5"/>
      <c r="AG117" s="5"/>
      <c r="AH117" s="5"/>
    </row>
    <row r="118" spans="19:34" ht="15.6">
      <c r="S118" s="148"/>
      <c r="T118" s="4"/>
      <c r="U118" s="148"/>
      <c r="V118" s="148"/>
      <c r="W118" s="5"/>
      <c r="X118" s="5"/>
      <c r="Y118" s="5"/>
      <c r="Z118" s="6"/>
      <c r="AC118" s="115"/>
      <c r="AD118" s="5"/>
      <c r="AE118" s="5"/>
      <c r="AF118" s="5"/>
      <c r="AG118" s="115"/>
      <c r="AH118" s="5"/>
    </row>
    <row r="119" spans="19:34" ht="15.6">
      <c r="S119" s="148"/>
      <c r="T119" s="4" t="s">
        <v>362</v>
      </c>
      <c r="U119" s="9"/>
      <c r="V119" s="5"/>
      <c r="W119" s="5"/>
      <c r="X119" s="5"/>
      <c r="Y119" s="5"/>
      <c r="Z119" s="6"/>
      <c r="AC119" s="5"/>
      <c r="AD119" s="5"/>
      <c r="AE119" s="5"/>
      <c r="AF119" s="5"/>
      <c r="AG119" s="5"/>
      <c r="AH119" s="5"/>
    </row>
    <row r="120" spans="19:34" ht="15.6">
      <c r="S120" s="148"/>
      <c r="T120" s="116" t="s">
        <v>388</v>
      </c>
      <c r="U120" s="117" t="s">
        <v>135</v>
      </c>
      <c r="V120" s="94" t="s">
        <v>553</v>
      </c>
      <c r="W120" s="5"/>
      <c r="X120" s="5"/>
      <c r="Y120" s="5"/>
      <c r="Z120" s="6"/>
      <c r="AC120" s="9"/>
      <c r="AD120" s="5"/>
      <c r="AE120" s="5"/>
      <c r="AF120" s="5"/>
      <c r="AG120" s="9"/>
      <c r="AH120" s="5"/>
    </row>
    <row r="121" spans="19:34" ht="15.6">
      <c r="S121" s="148"/>
      <c r="T121" s="116" t="s">
        <v>388</v>
      </c>
      <c r="U121" s="117" t="s">
        <v>135</v>
      </c>
      <c r="V121" s="9">
        <f>Database!$I$23*1000*-1</f>
        <v>-64459.999999999993</v>
      </c>
      <c r="W121" s="5" t="s">
        <v>279</v>
      </c>
      <c r="X121" s="5"/>
      <c r="Y121" s="5"/>
      <c r="Z121" s="6"/>
      <c r="AC121" s="5"/>
      <c r="AD121" s="115"/>
      <c r="AE121" s="5"/>
      <c r="AF121" s="115"/>
      <c r="AG121" s="5"/>
      <c r="AH121" s="5"/>
    </row>
    <row r="122" spans="19:34" ht="15.6">
      <c r="S122" s="148"/>
      <c r="T122" s="4"/>
      <c r="U122" s="9"/>
      <c r="V122" s="5"/>
      <c r="W122" s="5"/>
      <c r="X122" s="5"/>
      <c r="Y122" s="5"/>
      <c r="Z122" s="6"/>
      <c r="AC122" s="5"/>
      <c r="AD122" s="5"/>
      <c r="AE122" s="9"/>
      <c r="AF122" s="5"/>
      <c r="AG122" s="5"/>
      <c r="AH122" s="5"/>
    </row>
    <row r="123" spans="19:34" ht="15.6">
      <c r="S123" s="148"/>
      <c r="T123" s="4" t="s">
        <v>577</v>
      </c>
      <c r="U123" s="5"/>
      <c r="V123" s="5"/>
      <c r="W123" s="5"/>
      <c r="X123" s="5"/>
      <c r="Y123" s="5"/>
      <c r="Z123" s="6"/>
      <c r="AC123" s="5"/>
      <c r="AD123" s="5"/>
      <c r="AE123" s="5"/>
      <c r="AF123" s="5"/>
      <c r="AG123" s="5"/>
      <c r="AH123" s="5"/>
    </row>
    <row r="124" spans="19:34" ht="47.4" customHeight="1">
      <c r="S124" s="148"/>
      <c r="T124" s="88" t="s">
        <v>387</v>
      </c>
      <c r="U124" s="94" t="s">
        <v>135</v>
      </c>
      <c r="V124" s="377"/>
      <c r="W124" s="377"/>
      <c r="X124" s="377"/>
      <c r="Y124" s="377"/>
      <c r="Z124" s="465"/>
      <c r="AC124" s="9"/>
      <c r="AD124" s="117"/>
      <c r="AE124" s="5"/>
      <c r="AF124" s="5"/>
      <c r="AG124" s="5"/>
      <c r="AH124" s="5"/>
    </row>
    <row r="125" spans="19:34" ht="15.6">
      <c r="S125" s="148"/>
      <c r="T125" s="116" t="s">
        <v>387</v>
      </c>
      <c r="U125" s="117" t="s">
        <v>135</v>
      </c>
      <c r="V125" s="129">
        <f>Database!$C$46*(($G$31+273.15)-(Database!$H$13))+((Database!$D$46*(($G$31+273.15)^2-(Database!$H$13)^2))/2)+((Database!$E$46*(($G$31+273.15)^3-(Database!$H$13)^3))/3)+((Database!$F$46*(($G$31+273.15)^4-(Database!$H$13)^4))/4)</f>
        <v>-67221.077803967637</v>
      </c>
      <c r="W125" s="5" t="s">
        <v>279</v>
      </c>
      <c r="X125" s="5"/>
      <c r="Y125" s="5"/>
      <c r="Z125" s="6"/>
      <c r="AC125" s="9"/>
      <c r="AD125" s="117"/>
      <c r="AE125" s="129"/>
      <c r="AF125" s="5"/>
      <c r="AG125" s="5"/>
      <c r="AH125" s="5"/>
    </row>
    <row r="126" spans="19:34" ht="15.6">
      <c r="S126" s="148"/>
      <c r="T126" s="4"/>
      <c r="U126" s="5"/>
      <c r="V126" s="5"/>
      <c r="W126" s="5"/>
      <c r="X126" s="5"/>
      <c r="Y126" s="5"/>
      <c r="Z126" s="6"/>
      <c r="AC126" s="5"/>
      <c r="AD126" s="9"/>
      <c r="AE126" s="5"/>
      <c r="AF126" s="5"/>
      <c r="AG126" s="5"/>
      <c r="AH126" s="5"/>
    </row>
    <row r="127" spans="19:34" ht="15.6">
      <c r="S127" s="148"/>
      <c r="T127" s="116" t="s">
        <v>287</v>
      </c>
      <c r="U127" s="117" t="s">
        <v>135</v>
      </c>
      <c r="V127" s="9" t="s">
        <v>386</v>
      </c>
      <c r="W127" s="117" t="s">
        <v>284</v>
      </c>
      <c r="X127" s="9" t="s">
        <v>388</v>
      </c>
      <c r="Y127" s="117" t="s">
        <v>284</v>
      </c>
      <c r="Z127" s="121" t="s">
        <v>387</v>
      </c>
      <c r="AC127" s="5"/>
      <c r="AD127" s="9"/>
      <c r="AE127" s="5"/>
      <c r="AF127" s="5"/>
      <c r="AG127" s="5"/>
      <c r="AH127" s="5"/>
    </row>
    <row r="128" spans="19:34" ht="15.6">
      <c r="S128" s="148"/>
      <c r="T128" s="85" t="s">
        <v>287</v>
      </c>
      <c r="U128" s="118" t="s">
        <v>135</v>
      </c>
      <c r="V128" s="119">
        <f>V125+V121+V117</f>
        <v>-87512.992464102746</v>
      </c>
      <c r="W128" s="11" t="s">
        <v>279</v>
      </c>
      <c r="X128" s="11"/>
      <c r="Y128" s="11"/>
      <c r="Z128" s="12"/>
      <c r="AC128" s="9"/>
      <c r="AD128" s="117"/>
      <c r="AE128" s="5"/>
      <c r="AF128" s="5"/>
      <c r="AG128" s="5"/>
      <c r="AH128" s="5"/>
    </row>
    <row r="129" spans="19:34" ht="15.6">
      <c r="S129" s="148"/>
      <c r="T129" s="148"/>
      <c r="U129" s="148"/>
      <c r="V129" s="148"/>
      <c r="W129" s="148"/>
      <c r="X129" s="148"/>
      <c r="Y129" s="148"/>
      <c r="Z129" s="148"/>
      <c r="AC129" s="9"/>
      <c r="AD129" s="117"/>
      <c r="AE129" s="9"/>
      <c r="AF129" s="5"/>
      <c r="AG129" s="5"/>
      <c r="AH129" s="5"/>
    </row>
    <row r="130" spans="19:34" ht="15.6">
      <c r="S130" s="148"/>
      <c r="T130" s="1"/>
      <c r="U130" s="2"/>
      <c r="V130" s="91" t="s">
        <v>288</v>
      </c>
      <c r="W130" s="2"/>
      <c r="X130" s="2"/>
      <c r="Y130" s="2"/>
      <c r="Z130" s="3"/>
      <c r="AC130" s="5"/>
      <c r="AD130" s="9"/>
      <c r="AE130" s="5"/>
      <c r="AF130" s="5"/>
      <c r="AG130" s="5"/>
      <c r="AH130" s="5"/>
    </row>
    <row r="131" spans="19:34" ht="15.6">
      <c r="S131" s="148"/>
      <c r="T131" s="116" t="s">
        <v>364</v>
      </c>
      <c r="U131" s="5"/>
      <c r="V131" s="5"/>
      <c r="W131" s="5"/>
      <c r="X131" s="109" t="s">
        <v>365</v>
      </c>
      <c r="Y131" s="5"/>
      <c r="Z131" s="6"/>
      <c r="AC131" s="5"/>
      <c r="AD131" s="9"/>
      <c r="AE131" s="5"/>
      <c r="AF131" s="5"/>
      <c r="AG131" s="5"/>
      <c r="AH131" s="5"/>
    </row>
    <row r="132" spans="19:34" ht="15.6">
      <c r="S132" s="148"/>
      <c r="T132" s="4"/>
      <c r="U132" s="5"/>
      <c r="V132" s="5"/>
      <c r="W132" s="5"/>
      <c r="X132" s="5"/>
      <c r="Y132" s="5"/>
      <c r="Z132" s="6"/>
      <c r="AC132" s="9"/>
      <c r="AD132" s="117"/>
      <c r="AE132" s="5"/>
      <c r="AF132" s="5"/>
      <c r="AG132" s="5"/>
      <c r="AH132" s="5"/>
    </row>
    <row r="133" spans="19:34" ht="15.6">
      <c r="S133" s="148"/>
      <c r="T133" s="116" t="s">
        <v>389</v>
      </c>
      <c r="U133" s="5"/>
      <c r="V133" s="5"/>
      <c r="W133" s="5"/>
      <c r="X133" s="9" t="s">
        <v>390</v>
      </c>
      <c r="Y133" s="5"/>
      <c r="Z133" s="6"/>
      <c r="AC133" s="9"/>
      <c r="AD133" s="117"/>
      <c r="AE133" s="96"/>
      <c r="AF133" s="5"/>
      <c r="AG133" s="5"/>
      <c r="AH133" s="5"/>
    </row>
    <row r="134" spans="19:34" ht="15.6">
      <c r="S134" s="148"/>
      <c r="T134" s="4"/>
      <c r="U134" s="9" t="s">
        <v>368</v>
      </c>
      <c r="V134" s="5"/>
      <c r="W134" s="9" t="s">
        <v>369</v>
      </c>
      <c r="X134" s="5"/>
      <c r="Y134" s="5"/>
      <c r="Z134" s="6"/>
      <c r="AC134" s="5"/>
      <c r="AD134" s="5"/>
      <c r="AE134" s="5"/>
      <c r="AF134" s="5"/>
      <c r="AG134" s="5"/>
      <c r="AH134" s="5"/>
    </row>
    <row r="135" spans="19:34" ht="15.6">
      <c r="S135" s="148"/>
      <c r="T135" s="4"/>
      <c r="U135" s="5"/>
      <c r="V135" s="9" t="s">
        <v>391</v>
      </c>
      <c r="W135" s="5"/>
      <c r="X135" s="5"/>
      <c r="Y135" s="5"/>
      <c r="Z135" s="6"/>
      <c r="AC135" s="9"/>
      <c r="AD135" s="117"/>
      <c r="AE135" s="9"/>
      <c r="AF135" s="117"/>
      <c r="AG135" s="9"/>
      <c r="AH135" s="117"/>
    </row>
    <row r="136" spans="19:34" ht="15.6">
      <c r="S136" s="148"/>
      <c r="T136" s="4" t="s">
        <v>581</v>
      </c>
      <c r="U136" s="9"/>
      <c r="V136" s="5"/>
      <c r="W136" s="148"/>
      <c r="X136" s="5"/>
      <c r="Y136" s="5"/>
      <c r="Z136" s="6"/>
      <c r="AC136" s="9"/>
      <c r="AD136" s="117"/>
      <c r="AE136" s="129"/>
      <c r="AF136" s="5"/>
      <c r="AG136" s="5"/>
      <c r="AH136" s="5"/>
    </row>
    <row r="137" spans="19:34" ht="49.8" customHeight="1">
      <c r="S137" s="148"/>
      <c r="T137" s="88" t="s">
        <v>389</v>
      </c>
      <c r="U137" s="94" t="s">
        <v>135</v>
      </c>
      <c r="V137" s="377"/>
      <c r="W137" s="377"/>
      <c r="X137" s="377"/>
      <c r="Y137" s="377"/>
      <c r="Z137" s="465"/>
      <c r="AC137" s="5"/>
      <c r="AD137" s="5"/>
      <c r="AE137" s="5"/>
      <c r="AF137" s="5"/>
      <c r="AG137" s="5"/>
      <c r="AH137" s="5"/>
    </row>
    <row r="138" spans="19:34" ht="15.6">
      <c r="S138" s="148"/>
      <c r="T138" s="116" t="s">
        <v>389</v>
      </c>
      <c r="U138" s="117" t="s">
        <v>135</v>
      </c>
      <c r="V138" s="96">
        <f>(Database!$C$35*((Database!$H$14)-($W$52+273.15)))+(((Database!$D$35)*((Database!$H$14)^2-($W$52+273.15)^2))/2)+((Database!$E$35*((Database!$H$14)^3-($W$52+273.15)^3))/3)+((Database!$F$35*((Database!$H$14)^4-($W$52+273.15)^4))/4)+((Database!$G$35)*((Database!$H$14)^(5)-($W$52+273.15)^5))/5</f>
        <v>83864.044961042237</v>
      </c>
      <c r="W138" s="148"/>
      <c r="X138" s="5"/>
      <c r="Y138" s="5"/>
      <c r="Z138" s="6"/>
      <c r="AC138" s="5"/>
      <c r="AD138" s="5"/>
      <c r="AE138" s="9"/>
      <c r="AF138" s="5"/>
      <c r="AG138" s="5"/>
      <c r="AH138" s="5"/>
    </row>
    <row r="139" spans="19:34" ht="15.6">
      <c r="S139" s="148"/>
      <c r="T139" s="4"/>
      <c r="U139" s="148"/>
      <c r="V139" s="148"/>
      <c r="W139" s="5"/>
      <c r="X139" s="5"/>
      <c r="Y139" s="5"/>
      <c r="Z139" s="6"/>
      <c r="AC139" s="115"/>
      <c r="AD139" s="5"/>
      <c r="AE139" s="5"/>
      <c r="AF139" s="5"/>
      <c r="AG139" s="115"/>
      <c r="AH139" s="5"/>
    </row>
    <row r="140" spans="19:34" ht="15.6">
      <c r="S140" s="148"/>
      <c r="T140" s="4" t="s">
        <v>371</v>
      </c>
      <c r="U140" s="9"/>
      <c r="V140" s="5"/>
      <c r="W140" s="5"/>
      <c r="X140" s="5"/>
      <c r="Y140" s="5"/>
      <c r="Z140" s="6"/>
      <c r="AC140" s="5"/>
      <c r="AD140" s="5"/>
      <c r="AE140" s="5"/>
      <c r="AF140" s="5"/>
      <c r="AG140" s="5"/>
      <c r="AH140" s="5"/>
    </row>
    <row r="141" spans="19:34" ht="15.6">
      <c r="S141" s="148"/>
      <c r="T141" s="116" t="s">
        <v>391</v>
      </c>
      <c r="U141" s="117" t="s">
        <v>135</v>
      </c>
      <c r="V141" s="94" t="s">
        <v>554</v>
      </c>
      <c r="W141" s="5"/>
      <c r="X141" s="5"/>
      <c r="Y141" s="5"/>
      <c r="Z141" s="6"/>
      <c r="AC141" s="9"/>
      <c r="AD141" s="5"/>
      <c r="AE141" s="5"/>
      <c r="AF141" s="5"/>
      <c r="AG141" s="9"/>
      <c r="AH141" s="5"/>
    </row>
    <row r="142" spans="19:34" ht="15.6">
      <c r="S142" s="148"/>
      <c r="T142" s="116" t="s">
        <v>391</v>
      </c>
      <c r="U142" s="117" t="s">
        <v>135</v>
      </c>
      <c r="V142" s="9">
        <f>Database!$I$24*1000*-1</f>
        <v>-70680</v>
      </c>
      <c r="W142" s="5" t="s">
        <v>279</v>
      </c>
      <c r="X142" s="5"/>
      <c r="Y142" s="5"/>
      <c r="Z142" s="6"/>
      <c r="AC142" s="5"/>
      <c r="AD142" s="115"/>
      <c r="AE142" s="5"/>
      <c r="AF142" s="115"/>
      <c r="AG142" s="5"/>
      <c r="AH142" s="5"/>
    </row>
    <row r="143" spans="19:34" ht="15.6">
      <c r="S143" s="148"/>
      <c r="T143" s="4"/>
      <c r="U143" s="9"/>
      <c r="V143" s="5"/>
      <c r="W143" s="5"/>
      <c r="X143" s="5"/>
      <c r="Y143" s="5"/>
      <c r="Z143" s="6"/>
      <c r="AC143" s="5"/>
      <c r="AD143" s="5"/>
      <c r="AE143" s="9"/>
      <c r="AF143" s="5"/>
      <c r="AG143" s="5"/>
      <c r="AH143" s="5"/>
    </row>
    <row r="144" spans="19:34" ht="15.6">
      <c r="S144" s="148"/>
      <c r="T144" s="4" t="s">
        <v>577</v>
      </c>
      <c r="U144" s="5"/>
      <c r="V144" s="5"/>
      <c r="W144" s="5"/>
      <c r="X144" s="5"/>
      <c r="Y144" s="5"/>
      <c r="Z144" s="6"/>
      <c r="AC144" s="5"/>
      <c r="AD144" s="5"/>
      <c r="AE144" s="5"/>
      <c r="AF144" s="5"/>
      <c r="AG144" s="5"/>
      <c r="AH144" s="5"/>
    </row>
    <row r="145" spans="19:34" ht="47.4" customHeight="1">
      <c r="S145" s="148"/>
      <c r="T145" s="88" t="s">
        <v>390</v>
      </c>
      <c r="U145" s="94" t="s">
        <v>135</v>
      </c>
      <c r="V145" s="377"/>
      <c r="W145" s="377"/>
      <c r="X145" s="377"/>
      <c r="Y145" s="377"/>
      <c r="Z145" s="465"/>
      <c r="AC145" s="9"/>
      <c r="AD145" s="117"/>
      <c r="AE145" s="5"/>
      <c r="AF145" s="5"/>
      <c r="AG145" s="5"/>
      <c r="AH145" s="5"/>
    </row>
    <row r="146" spans="19:34" ht="15.6">
      <c r="S146" s="148"/>
      <c r="T146" s="116" t="s">
        <v>390</v>
      </c>
      <c r="U146" s="117" t="s">
        <v>135</v>
      </c>
      <c r="V146" s="129">
        <f>Database!$C$47*(($G$31+273.15)-(Database!$H$14))+((Database!$D$47*(($G$31+273.15)^2-(Database!$H$14)^2))/2)+((Database!$E$47*(($G$31+273.15)^3-(Database!$H$14)^3))/3)+((Database!$F$47*(($G$31+273.15)^4-(Database!$H$14)^4))/4)</f>
        <v>-135179.02473737416</v>
      </c>
      <c r="W146" s="5" t="s">
        <v>279</v>
      </c>
      <c r="X146" s="5"/>
      <c r="Y146" s="5"/>
      <c r="Z146" s="6"/>
      <c r="AC146" s="9"/>
      <c r="AD146" s="117"/>
      <c r="AE146" s="129"/>
      <c r="AF146" s="5"/>
      <c r="AG146" s="5"/>
      <c r="AH146" s="5"/>
    </row>
    <row r="147" spans="19:34" ht="15.6">
      <c r="S147" s="148"/>
      <c r="T147" s="4"/>
      <c r="U147" s="5"/>
      <c r="V147" s="5"/>
      <c r="W147" s="5"/>
      <c r="X147" s="5"/>
      <c r="Y147" s="5"/>
      <c r="Z147" s="6"/>
      <c r="AC147" s="5"/>
      <c r="AD147" s="9"/>
      <c r="AE147" s="5"/>
      <c r="AF147" s="5"/>
      <c r="AG147" s="5"/>
      <c r="AH147" s="5"/>
    </row>
    <row r="148" spans="19:34" ht="15.6">
      <c r="S148" s="148"/>
      <c r="T148" s="116" t="s">
        <v>288</v>
      </c>
      <c r="U148" s="117" t="s">
        <v>135</v>
      </c>
      <c r="V148" s="9" t="s">
        <v>389</v>
      </c>
      <c r="W148" s="117" t="s">
        <v>284</v>
      </c>
      <c r="X148" s="9" t="s">
        <v>391</v>
      </c>
      <c r="Y148" s="117" t="s">
        <v>284</v>
      </c>
      <c r="Z148" s="121" t="s">
        <v>390</v>
      </c>
      <c r="AC148" s="5"/>
      <c r="AD148" s="9"/>
      <c r="AE148" s="5"/>
      <c r="AF148" s="5"/>
      <c r="AG148" s="5"/>
      <c r="AH148" s="5"/>
    </row>
    <row r="149" spans="19:34" ht="15.6">
      <c r="S149" s="148"/>
      <c r="T149" s="85" t="s">
        <v>288</v>
      </c>
      <c r="U149" s="118" t="s">
        <v>135</v>
      </c>
      <c r="V149" s="119">
        <f>V146+V142+V138</f>
        <v>-121994.97977633192</v>
      </c>
      <c r="W149" s="11" t="s">
        <v>279</v>
      </c>
      <c r="X149" s="11"/>
      <c r="Y149" s="11"/>
      <c r="Z149" s="12"/>
      <c r="AC149" s="9"/>
      <c r="AD149" s="117"/>
      <c r="AE149" s="5"/>
      <c r="AF149" s="5"/>
      <c r="AG149" s="5"/>
      <c r="AH149" s="5"/>
    </row>
    <row r="150" spans="19:34" ht="15.6">
      <c r="S150" s="148"/>
      <c r="T150" s="148"/>
      <c r="U150" s="148"/>
      <c r="V150" s="148"/>
      <c r="W150" s="148"/>
      <c r="X150" s="148"/>
      <c r="Y150" s="148"/>
      <c r="Z150" s="148"/>
      <c r="AC150" s="9"/>
      <c r="AD150" s="117"/>
      <c r="AE150" s="9"/>
      <c r="AF150" s="5"/>
      <c r="AG150" s="5"/>
      <c r="AH150" s="5"/>
    </row>
    <row r="151" spans="19:34" ht="15.6">
      <c r="S151" s="148"/>
      <c r="T151" s="1"/>
      <c r="U151" s="91" t="s">
        <v>289</v>
      </c>
      <c r="V151" s="2"/>
      <c r="W151" s="2"/>
      <c r="X151" s="208"/>
      <c r="Y151" s="208"/>
      <c r="Z151" s="3"/>
      <c r="AC151" s="5"/>
      <c r="AD151" s="9"/>
      <c r="AE151" s="5"/>
      <c r="AF151" s="5"/>
      <c r="AG151" s="5"/>
      <c r="AH151" s="5"/>
    </row>
    <row r="152" spans="19:34" ht="15.6">
      <c r="S152" s="148"/>
      <c r="T152" s="116" t="s">
        <v>425</v>
      </c>
      <c r="U152" s="5"/>
      <c r="V152" s="9" t="s">
        <v>426</v>
      </c>
      <c r="W152" s="5"/>
      <c r="X152" s="148"/>
      <c r="Y152" s="148"/>
      <c r="Z152" s="6"/>
      <c r="AC152" s="5"/>
      <c r="AD152" s="9"/>
      <c r="AE152" s="5"/>
      <c r="AF152" s="5"/>
      <c r="AG152" s="5"/>
      <c r="AH152" s="5"/>
    </row>
    <row r="153" spans="19:34" ht="15.6">
      <c r="S153" s="148"/>
      <c r="T153" s="4"/>
      <c r="U153" s="5"/>
      <c r="V153" s="5"/>
      <c r="W153" s="5"/>
      <c r="X153" s="148"/>
      <c r="Y153" s="148"/>
      <c r="Z153" s="6"/>
      <c r="AC153" s="9"/>
      <c r="AD153" s="117"/>
      <c r="AE153" s="5"/>
      <c r="AF153" s="5"/>
      <c r="AG153" s="5"/>
      <c r="AH153" s="5"/>
    </row>
    <row r="154" spans="19:34" ht="15.6">
      <c r="S154" s="148"/>
      <c r="T154" s="4" t="s">
        <v>585</v>
      </c>
      <c r="U154" s="9"/>
      <c r="V154" s="5"/>
      <c r="W154" s="5"/>
      <c r="X154" s="148"/>
      <c r="Y154" s="148"/>
      <c r="Z154" s="121"/>
      <c r="AC154" s="9"/>
      <c r="AD154" s="117"/>
      <c r="AE154" s="96"/>
      <c r="AF154" s="5"/>
      <c r="AG154" s="5"/>
      <c r="AH154" s="5"/>
    </row>
    <row r="155" spans="19:34" ht="52.8" customHeight="1">
      <c r="S155" s="148"/>
      <c r="T155" s="88" t="s">
        <v>288</v>
      </c>
      <c r="U155" s="94" t="s">
        <v>135</v>
      </c>
      <c r="V155" s="377"/>
      <c r="W155" s="377"/>
      <c r="X155" s="377"/>
      <c r="Y155" s="377"/>
      <c r="Z155" s="465"/>
      <c r="AC155" s="5"/>
      <c r="AD155" s="5"/>
      <c r="AE155" s="5"/>
      <c r="AF155" s="5"/>
      <c r="AG155" s="5"/>
      <c r="AH155" s="5"/>
    </row>
    <row r="156" spans="19:34" ht="15.6">
      <c r="S156" s="148"/>
      <c r="T156" s="85" t="s">
        <v>288</v>
      </c>
      <c r="U156" s="118" t="s">
        <v>135</v>
      </c>
      <c r="V156" s="120">
        <f>(Database!$C$32*(($N$23+273.15)-($W$52+273.15)))+(((Database!$D$32)*(($N$23+273.15)^2-($W$52+273.15)^2))/2)+((Database!$E$32*(($N$23+273.15)^3-($W$52+273.15)^3))/3)+((Database!$F$32*(($N$23+273.15)^4-($W$52+273.15)^4))/4)+((Database!$G$32)*(($N$23+273.15)^(5)-($W$52+273.15)^5))/5</f>
        <v>8363.315119698369</v>
      </c>
      <c r="W156" s="11" t="s">
        <v>279</v>
      </c>
      <c r="X156" s="204"/>
      <c r="Y156" s="204"/>
      <c r="Z156" s="12"/>
      <c r="AC156" s="9"/>
      <c r="AD156" s="117"/>
      <c r="AE156" s="9"/>
      <c r="AF156" s="117"/>
      <c r="AG156" s="9"/>
      <c r="AH156" s="117"/>
    </row>
    <row r="157" spans="19:34" ht="15.6">
      <c r="S157" s="148"/>
      <c r="T157" s="148"/>
      <c r="U157" s="148"/>
      <c r="V157" s="148"/>
      <c r="W157" s="148"/>
      <c r="X157" s="148"/>
      <c r="Y157" s="148"/>
      <c r="Z157" s="148"/>
      <c r="AC157" s="9"/>
      <c r="AD157" s="117"/>
      <c r="AE157" s="129"/>
      <c r="AF157" s="5"/>
      <c r="AG157" s="5"/>
      <c r="AH157" s="5"/>
    </row>
    <row r="158" spans="19:34" ht="15.6">
      <c r="S158" s="148"/>
      <c r="T158" s="1"/>
      <c r="U158" s="91" t="s">
        <v>290</v>
      </c>
      <c r="V158" s="2"/>
      <c r="W158" s="2"/>
      <c r="X158" s="208"/>
      <c r="Y158" s="208"/>
      <c r="Z158" s="3"/>
      <c r="AC158" s="5"/>
      <c r="AD158" s="5"/>
      <c r="AE158" s="5"/>
      <c r="AF158" s="5"/>
      <c r="AG158" s="5"/>
      <c r="AH158" s="5"/>
    </row>
    <row r="159" spans="19:34" ht="15.6">
      <c r="S159" s="148"/>
      <c r="T159" s="122" t="s">
        <v>346</v>
      </c>
      <c r="U159" s="5"/>
      <c r="V159" s="115" t="s">
        <v>427</v>
      </c>
      <c r="W159" s="5"/>
      <c r="X159" s="148"/>
      <c r="Y159" s="148"/>
      <c r="Z159" s="6"/>
      <c r="AC159" s="5"/>
      <c r="AD159" s="5"/>
      <c r="AE159" s="5"/>
      <c r="AF159" s="5"/>
      <c r="AG159" s="5"/>
      <c r="AH159" s="5"/>
    </row>
    <row r="160" spans="19:34" ht="15.6">
      <c r="S160" s="148"/>
      <c r="T160" s="4"/>
      <c r="U160" s="5"/>
      <c r="V160" s="5"/>
      <c r="W160" s="5"/>
      <c r="X160" s="148"/>
      <c r="Y160" s="148"/>
      <c r="Z160" s="6"/>
      <c r="AC160" s="5"/>
      <c r="AD160" s="9"/>
      <c r="AE160" s="5"/>
      <c r="AF160" s="5"/>
      <c r="AG160" s="5"/>
      <c r="AH160" s="5"/>
    </row>
    <row r="161" spans="19:34" ht="15.6">
      <c r="S161" s="148"/>
      <c r="T161" s="4" t="s">
        <v>585</v>
      </c>
      <c r="U161" s="9"/>
      <c r="V161" s="5"/>
      <c r="W161" s="5"/>
      <c r="X161" s="148"/>
      <c r="Y161" s="148"/>
      <c r="Z161" s="121"/>
      <c r="AC161" s="115"/>
      <c r="AD161" s="9"/>
      <c r="AE161" s="115"/>
      <c r="AF161" s="5"/>
      <c r="AG161" s="5"/>
      <c r="AH161" s="5"/>
    </row>
    <row r="162" spans="19:34" ht="52.2" customHeight="1">
      <c r="S162" s="148"/>
      <c r="T162" s="88" t="s">
        <v>289</v>
      </c>
      <c r="U162" s="94" t="s">
        <v>135</v>
      </c>
      <c r="V162" s="377"/>
      <c r="W162" s="377"/>
      <c r="X162" s="377"/>
      <c r="Y162" s="377"/>
      <c r="Z162" s="465"/>
      <c r="AC162" s="5"/>
      <c r="AD162" s="9"/>
      <c r="AE162" s="5"/>
      <c r="AF162" s="5"/>
      <c r="AG162" s="5"/>
      <c r="AH162" s="5"/>
    </row>
    <row r="163" spans="19:34" ht="15.6">
      <c r="S163" s="148"/>
      <c r="T163" s="85" t="s">
        <v>289</v>
      </c>
      <c r="U163" s="118" t="s">
        <v>135</v>
      </c>
      <c r="V163" s="120">
        <f>(Database!$C$33*(($N$23+273.15)-($W$52+273.15)))+(((Database!$D$33)*(($N$23+273.15)^2-($W$52+273.15)^2))/2)+((Database!$E$33*(($N$23+273.15)^3-($W$52+273.15)^3))/3)+((Database!$F$33*(($N$23+273.15)^4-($W$52+273.15)^4))/4)+((Database!$G$33)*(($N$23+273.15)^(5)-($W$52+273.15)^5))/5</f>
        <v>14474.069953165283</v>
      </c>
      <c r="W163" s="11" t="s">
        <v>279</v>
      </c>
      <c r="X163" s="204"/>
      <c r="Y163" s="204"/>
      <c r="Z163" s="12"/>
      <c r="AC163" s="9"/>
      <c r="AD163" s="117"/>
      <c r="AE163" s="5"/>
      <c r="AF163" s="5"/>
      <c r="AG163" s="5"/>
      <c r="AH163" s="5"/>
    </row>
    <row r="164" spans="19:34" ht="15.6">
      <c r="S164" s="148"/>
      <c r="T164" s="5"/>
      <c r="U164" s="5"/>
      <c r="V164" s="5"/>
      <c r="W164" s="5"/>
      <c r="X164" s="5"/>
      <c r="Y164" s="148"/>
      <c r="Z164" s="148"/>
      <c r="AC164" s="9"/>
      <c r="AD164" s="117"/>
      <c r="AE164" s="129"/>
      <c r="AF164" s="5"/>
      <c r="AG164" s="5"/>
      <c r="AH164" s="5"/>
    </row>
    <row r="165" spans="19:34" ht="15.6">
      <c r="S165" s="148"/>
      <c r="T165" s="1"/>
      <c r="U165" s="91" t="s">
        <v>292</v>
      </c>
      <c r="V165" s="2"/>
      <c r="W165" s="2"/>
      <c r="X165" s="208"/>
      <c r="Y165" s="208"/>
      <c r="Z165" s="3"/>
      <c r="AC165" s="5"/>
      <c r="AD165" s="9"/>
      <c r="AE165" s="5"/>
      <c r="AF165" s="5"/>
      <c r="AG165" s="5"/>
      <c r="AH165" s="5"/>
    </row>
    <row r="166" spans="19:34" ht="15.6">
      <c r="S166" s="148"/>
      <c r="T166" s="122" t="s">
        <v>355</v>
      </c>
      <c r="U166" s="5"/>
      <c r="V166" s="115" t="s">
        <v>428</v>
      </c>
      <c r="W166" s="5"/>
      <c r="X166" s="148"/>
      <c r="Y166" s="148"/>
      <c r="Z166" s="6"/>
      <c r="AC166" s="5"/>
      <c r="AD166" s="9"/>
      <c r="AE166" s="5"/>
      <c r="AF166" s="5"/>
      <c r="AG166" s="5"/>
      <c r="AH166" s="5"/>
    </row>
    <row r="167" spans="19:34" ht="15.6">
      <c r="S167" s="148"/>
      <c r="T167" s="4"/>
      <c r="U167" s="5"/>
      <c r="V167" s="5"/>
      <c r="W167" s="5"/>
      <c r="X167" s="148"/>
      <c r="Y167" s="148"/>
      <c r="Z167" s="6"/>
      <c r="AC167" s="5"/>
      <c r="AD167" s="9"/>
      <c r="AE167" s="5"/>
      <c r="AF167" s="5"/>
      <c r="AG167" s="5"/>
      <c r="AH167" s="5"/>
    </row>
    <row r="168" spans="19:34" ht="15.6">
      <c r="S168" s="148"/>
      <c r="T168" s="4" t="s">
        <v>585</v>
      </c>
      <c r="U168" s="9"/>
      <c r="V168" s="5"/>
      <c r="W168" s="5"/>
      <c r="X168" s="148"/>
      <c r="Y168" s="148"/>
      <c r="Z168" s="6"/>
      <c r="AC168" s="115"/>
      <c r="AD168" s="9"/>
      <c r="AE168" s="115"/>
      <c r="AF168" s="5"/>
      <c r="AG168" s="5"/>
      <c r="AH168" s="5"/>
    </row>
    <row r="169" spans="19:34" ht="49.2" customHeight="1">
      <c r="S169" s="148"/>
      <c r="T169" s="88" t="s">
        <v>290</v>
      </c>
      <c r="U169" s="94" t="s">
        <v>135</v>
      </c>
      <c r="V169" s="377"/>
      <c r="W169" s="377"/>
      <c r="X169" s="377"/>
      <c r="Y169" s="377"/>
      <c r="Z169" s="465"/>
      <c r="AC169" s="5"/>
      <c r="AD169" s="9"/>
      <c r="AE169" s="5"/>
      <c r="AF169" s="5"/>
      <c r="AG169" s="5"/>
      <c r="AH169" s="5"/>
    </row>
    <row r="170" spans="19:34" ht="15.6">
      <c r="S170" s="148"/>
      <c r="T170" s="85" t="s">
        <v>290</v>
      </c>
      <c r="U170" s="118" t="s">
        <v>135</v>
      </c>
      <c r="V170" s="120">
        <f>(Database!$C$34*(($N$23+273.15)-($W$52+273.15)))+(((Database!$D$34)*(($N$23+273.15)^2-($W$52+273.15)^2))/2)+((Database!$E$34*(($N$23+273.15)^3-($W$52+273.15)^3))/3)+((Database!$F$34*(($N$23+273.15)^4-($W$52+273.15)^4))/4)+((Database!$G$34)*(($N$23+273.15)^(5)-($W$52+273.15)^5))/5</f>
        <v>24080.055081402144</v>
      </c>
      <c r="W170" s="11" t="s">
        <v>279</v>
      </c>
      <c r="X170" s="204"/>
      <c r="Y170" s="204"/>
      <c r="Z170" s="12"/>
      <c r="AC170" s="9"/>
      <c r="AD170" s="117"/>
      <c r="AE170" s="5"/>
      <c r="AF170" s="5"/>
      <c r="AG170" s="5"/>
      <c r="AH170" s="5"/>
    </row>
    <row r="171" spans="19:34" ht="15.6">
      <c r="S171" s="148"/>
      <c r="T171" s="148"/>
      <c r="U171" s="148"/>
      <c r="V171" s="148"/>
      <c r="W171" s="148"/>
      <c r="X171" s="148"/>
      <c r="Y171" s="148"/>
      <c r="Z171" s="148"/>
      <c r="AC171" s="9"/>
      <c r="AD171" s="117"/>
      <c r="AE171" s="129"/>
      <c r="AF171" s="5"/>
      <c r="AG171" s="5"/>
      <c r="AH171" s="5"/>
    </row>
    <row r="172" spans="19:34" ht="15.6">
      <c r="S172" s="148"/>
      <c r="T172" s="1"/>
      <c r="U172" s="2"/>
      <c r="V172" s="91" t="s">
        <v>345</v>
      </c>
      <c r="W172" s="2"/>
      <c r="X172" s="2"/>
      <c r="Y172" s="2"/>
      <c r="Z172" s="3"/>
      <c r="AC172" s="5"/>
      <c r="AD172" s="5"/>
      <c r="AE172" s="5"/>
      <c r="AF172" s="5"/>
      <c r="AG172" s="5"/>
      <c r="AH172" s="5"/>
    </row>
    <row r="173" spans="19:34" ht="15.6">
      <c r="S173" s="148"/>
      <c r="T173" s="116" t="s">
        <v>346</v>
      </c>
      <c r="U173" s="5"/>
      <c r="V173" s="5"/>
      <c r="W173" s="5"/>
      <c r="X173" s="9" t="s">
        <v>429</v>
      </c>
      <c r="Y173" s="5"/>
      <c r="Z173" s="6"/>
      <c r="AC173" s="5"/>
      <c r="AD173" s="9"/>
      <c r="AE173" s="5"/>
      <c r="AF173" s="5"/>
      <c r="AG173" s="5"/>
      <c r="AH173" s="5"/>
    </row>
    <row r="174" spans="19:34" ht="15.6">
      <c r="S174" s="148"/>
      <c r="T174" s="156" t="s">
        <v>348</v>
      </c>
      <c r="U174" s="5"/>
      <c r="V174" s="5"/>
      <c r="W174" s="5"/>
      <c r="X174" s="64" t="s">
        <v>349</v>
      </c>
      <c r="Y174" s="5"/>
      <c r="Z174" s="6"/>
      <c r="AC174" s="115"/>
      <c r="AD174" s="5"/>
      <c r="AE174" s="115"/>
      <c r="AF174" s="5"/>
      <c r="AG174" s="5"/>
      <c r="AH174" s="5"/>
    </row>
    <row r="175" spans="19:34" ht="15.6">
      <c r="S175" s="148"/>
      <c r="T175" s="172"/>
      <c r="U175" s="5"/>
      <c r="V175" s="5"/>
      <c r="W175" s="5"/>
      <c r="X175" s="148"/>
      <c r="Y175" s="5"/>
      <c r="Z175" s="6"/>
      <c r="AC175" s="5"/>
      <c r="AD175" s="5"/>
      <c r="AE175" s="5"/>
      <c r="AF175" s="5"/>
      <c r="AG175" s="5"/>
      <c r="AH175" s="5"/>
    </row>
    <row r="176" spans="19:34" ht="15.6">
      <c r="S176" s="148"/>
      <c r="T176" s="4"/>
      <c r="U176" s="9" t="s">
        <v>350</v>
      </c>
      <c r="V176" s="9" t="s">
        <v>352</v>
      </c>
      <c r="W176" s="9" t="s">
        <v>351</v>
      </c>
      <c r="X176" s="5"/>
      <c r="Y176" s="5"/>
      <c r="Z176" s="6"/>
      <c r="AC176" s="9"/>
      <c r="AD176" s="117"/>
      <c r="AE176" s="5"/>
      <c r="AF176" s="5"/>
      <c r="AG176" s="5"/>
      <c r="AH176" s="5"/>
    </row>
    <row r="177" spans="19:34" ht="15.6">
      <c r="S177" s="148"/>
      <c r="T177" s="4"/>
      <c r="U177" s="5"/>
      <c r="V177" s="148"/>
      <c r="W177" s="5"/>
      <c r="X177" s="5"/>
      <c r="Y177" s="5"/>
      <c r="Z177" s="6"/>
      <c r="AC177" s="9"/>
      <c r="AD177" s="117"/>
      <c r="AE177" s="129"/>
      <c r="AF177" s="5"/>
      <c r="AG177" s="5"/>
      <c r="AH177" s="5"/>
    </row>
    <row r="178" spans="19:34" ht="15.6">
      <c r="S178" s="148"/>
      <c r="T178" s="4" t="s">
        <v>578</v>
      </c>
      <c r="U178" s="9"/>
      <c r="V178" s="5"/>
      <c r="W178" s="148"/>
      <c r="X178" s="5"/>
      <c r="Y178" s="5"/>
      <c r="Z178" s="6"/>
      <c r="AG178" s="5"/>
    </row>
    <row r="179" spans="19:34" ht="48" customHeight="1">
      <c r="S179" s="148"/>
      <c r="T179" s="88" t="s">
        <v>348</v>
      </c>
      <c r="U179" s="94" t="s">
        <v>135</v>
      </c>
      <c r="V179" s="377"/>
      <c r="W179" s="377"/>
      <c r="X179" s="377"/>
      <c r="Y179" s="377"/>
      <c r="Z179" s="465"/>
      <c r="AA179" s="5"/>
      <c r="AB179" s="5"/>
      <c r="AC179" s="5"/>
      <c r="AD179" s="5"/>
      <c r="AE179" s="5"/>
      <c r="AF179" s="5"/>
      <c r="AG179" s="5"/>
    </row>
    <row r="180" spans="19:34" ht="15.6">
      <c r="S180" s="148"/>
      <c r="T180" s="88" t="s">
        <v>348</v>
      </c>
      <c r="U180" s="94" t="s">
        <v>135</v>
      </c>
      <c r="V180" s="96">
        <f>(Database!$C$33*((Database!$H$12)-($W$52+273.15)))+(((Database!$D$33)*((Database!$H$12)^2-($W$52+273.15)^2))/2)+((Database!$E$33*((Database!$H$12)^3-($W$52+273.15)^3))/3)+((Database!$F$33*((Database!$H$12)^4-($W$52+273.15)^4))/4)+((Database!$G$33)*((Database!$H$12)^(5)-($W$52+273.15)^5))/5</f>
        <v>14587.315366913117</v>
      </c>
      <c r="W180" s="5" t="s">
        <v>279</v>
      </c>
      <c r="X180" s="5"/>
      <c r="Y180" s="5"/>
      <c r="Z180" s="6"/>
    </row>
    <row r="181" spans="19:34" ht="15.6">
      <c r="S181" s="148"/>
      <c r="T181" s="181"/>
      <c r="U181" s="168"/>
      <c r="V181" s="148"/>
      <c r="W181" s="5"/>
      <c r="X181" s="5"/>
      <c r="Y181" s="5"/>
      <c r="Z181" s="6"/>
    </row>
    <row r="182" spans="19:34" ht="15.6">
      <c r="S182" s="148"/>
      <c r="T182" s="181" t="s">
        <v>353</v>
      </c>
      <c r="U182" s="21"/>
      <c r="V182" s="5"/>
      <c r="W182" s="5"/>
      <c r="X182" s="5"/>
      <c r="Y182" s="5"/>
      <c r="Z182" s="6"/>
    </row>
    <row r="183" spans="19:34" ht="15.6">
      <c r="S183" s="148"/>
      <c r="T183" s="88" t="s">
        <v>352</v>
      </c>
      <c r="U183" s="94" t="s">
        <v>135</v>
      </c>
      <c r="V183" s="94" t="s">
        <v>552</v>
      </c>
      <c r="W183" s="5"/>
      <c r="X183" s="5"/>
      <c r="Y183" s="5"/>
      <c r="Z183" s="6"/>
    </row>
    <row r="184" spans="19:34" ht="15.6">
      <c r="S184" s="148"/>
      <c r="T184" s="88" t="s">
        <v>352</v>
      </c>
      <c r="U184" s="94" t="s">
        <v>135</v>
      </c>
      <c r="V184" s="9">
        <f>Database!$I$22*1000*-1</f>
        <v>-51530</v>
      </c>
      <c r="W184" s="5" t="s">
        <v>279</v>
      </c>
      <c r="X184" s="5"/>
      <c r="Y184" s="5"/>
      <c r="Z184" s="6"/>
    </row>
    <row r="185" spans="19:34" ht="15.6">
      <c r="S185" s="148"/>
      <c r="T185" s="181"/>
      <c r="U185" s="21"/>
      <c r="V185" s="5"/>
      <c r="W185" s="5"/>
      <c r="X185" s="5"/>
      <c r="Y185" s="5"/>
      <c r="Z185" s="6"/>
    </row>
    <row r="186" spans="19:34" ht="15.6">
      <c r="S186" s="148"/>
      <c r="T186" s="181" t="s">
        <v>586</v>
      </c>
      <c r="U186" s="153"/>
      <c r="V186" s="5"/>
      <c r="W186" s="5"/>
      <c r="X186" s="5"/>
      <c r="Y186" s="5"/>
      <c r="Z186" s="6"/>
    </row>
    <row r="187" spans="19:34" ht="49.8" customHeight="1">
      <c r="S187" s="148"/>
      <c r="T187" s="88" t="s">
        <v>349</v>
      </c>
      <c r="U187" s="94" t="s">
        <v>135</v>
      </c>
      <c r="V187" s="377"/>
      <c r="W187" s="377"/>
      <c r="X187" s="377"/>
      <c r="Y187" s="377"/>
      <c r="Z187" s="465"/>
    </row>
    <row r="188" spans="19:34" ht="15.6">
      <c r="S188" s="148"/>
      <c r="T188" s="88" t="s">
        <v>349</v>
      </c>
      <c r="U188" s="94" t="s">
        <v>135</v>
      </c>
      <c r="V188" s="129">
        <f>Database!$C$45*(($I$62+273.15)-(Database!$H$12))+((Database!$D$45*(($I$62+273.15)^2-(Database!$H$12)^2))/2)+((Database!$E$45*(($I$62+273.15)^3-(Database!$H$12)^3))/3)+((Database!$F$45*(($I$62+273.15)^4-(Database!$H$12)^4))/4)</f>
        <v>18573.645796597881</v>
      </c>
      <c r="W188" s="5" t="s">
        <v>279</v>
      </c>
      <c r="X188" s="5"/>
      <c r="Y188" s="5"/>
      <c r="Z188" s="6"/>
    </row>
    <row r="189" spans="19:34" ht="15.6">
      <c r="S189" s="148"/>
      <c r="T189" s="181"/>
      <c r="U189" s="153"/>
      <c r="V189" s="5"/>
      <c r="W189" s="5"/>
      <c r="X189" s="5"/>
      <c r="Y189" s="5"/>
      <c r="Z189" s="6"/>
    </row>
    <row r="190" spans="19:34" ht="15.6">
      <c r="S190" s="148"/>
      <c r="T190" s="88" t="s">
        <v>345</v>
      </c>
      <c r="U190" s="94" t="s">
        <v>135</v>
      </c>
      <c r="V190" s="9" t="s">
        <v>348</v>
      </c>
      <c r="W190" s="117" t="s">
        <v>284</v>
      </c>
      <c r="X190" s="9" t="s">
        <v>352</v>
      </c>
      <c r="Y190" s="94" t="s">
        <v>557</v>
      </c>
      <c r="Z190" s="121" t="s">
        <v>349</v>
      </c>
    </row>
    <row r="191" spans="19:34" ht="15.6">
      <c r="S191" s="148"/>
      <c r="T191" s="135" t="s">
        <v>345</v>
      </c>
      <c r="U191" s="182" t="s">
        <v>135</v>
      </c>
      <c r="V191" s="119">
        <f>V188+V184+V180</f>
        <v>-18369.038836489006</v>
      </c>
      <c r="W191" s="11" t="s">
        <v>279</v>
      </c>
      <c r="X191" s="11"/>
      <c r="Y191" s="11"/>
      <c r="Z191" s="12"/>
    </row>
    <row r="192" spans="19:34" ht="15.75" customHeight="1">
      <c r="S192" s="148"/>
      <c r="T192" s="148"/>
      <c r="U192" s="148"/>
      <c r="V192" s="148"/>
      <c r="W192" s="148"/>
      <c r="X192" s="148"/>
      <c r="Y192" s="148"/>
      <c r="Z192" s="148"/>
    </row>
    <row r="193" spans="19:26" ht="15.6">
      <c r="S193" s="148"/>
      <c r="T193" s="1"/>
      <c r="U193" s="2"/>
      <c r="V193" s="91" t="s">
        <v>354</v>
      </c>
      <c r="W193" s="2"/>
      <c r="X193" s="2"/>
      <c r="Y193" s="2"/>
      <c r="Z193" s="3"/>
    </row>
    <row r="194" spans="19:26" ht="15.6">
      <c r="S194" s="148"/>
      <c r="T194" s="116" t="s">
        <v>355</v>
      </c>
      <c r="U194" s="5"/>
      <c r="V194" s="5"/>
      <c r="W194" s="5"/>
      <c r="X194" s="109" t="s">
        <v>431</v>
      </c>
      <c r="Y194" s="5"/>
      <c r="Z194" s="6"/>
    </row>
    <row r="195" spans="19:26" ht="15.6">
      <c r="S195" s="148"/>
      <c r="T195" s="4"/>
      <c r="U195" s="5"/>
      <c r="V195" s="5"/>
      <c r="W195" s="5"/>
      <c r="X195" s="64" t="s">
        <v>358</v>
      </c>
      <c r="Y195" s="5"/>
      <c r="Z195" s="6"/>
    </row>
    <row r="196" spans="19:26" ht="15.6">
      <c r="S196" s="148"/>
      <c r="T196" s="156" t="s">
        <v>357</v>
      </c>
      <c r="U196" s="5"/>
      <c r="V196" s="5"/>
      <c r="W196" s="5"/>
      <c r="X196" s="148"/>
      <c r="Y196" s="5"/>
      <c r="Z196" s="6"/>
    </row>
    <row r="197" spans="19:26" ht="15.6">
      <c r="S197" s="148"/>
      <c r="T197" s="4"/>
      <c r="U197" s="9" t="s">
        <v>359</v>
      </c>
      <c r="V197" s="9" t="s">
        <v>361</v>
      </c>
      <c r="W197" s="9" t="s">
        <v>360</v>
      </c>
      <c r="X197" s="5"/>
      <c r="Y197" s="5"/>
      <c r="Z197" s="6"/>
    </row>
    <row r="198" spans="19:26" ht="15.6">
      <c r="S198" s="148"/>
      <c r="T198" s="4"/>
      <c r="U198" s="5"/>
      <c r="V198" s="148"/>
      <c r="W198" s="5"/>
      <c r="X198" s="5"/>
      <c r="Y198" s="5"/>
      <c r="Z198" s="6"/>
    </row>
    <row r="199" spans="19:26" ht="15.6">
      <c r="S199" s="148"/>
      <c r="T199" s="181" t="s">
        <v>579</v>
      </c>
      <c r="U199" s="21"/>
      <c r="V199" s="5"/>
      <c r="W199" s="148"/>
      <c r="X199" s="5"/>
      <c r="Y199" s="5"/>
      <c r="Z199" s="6"/>
    </row>
    <row r="200" spans="19:26" ht="49.2" customHeight="1">
      <c r="S200" s="148"/>
      <c r="T200" s="88" t="s">
        <v>357</v>
      </c>
      <c r="U200" s="94" t="s">
        <v>135</v>
      </c>
      <c r="V200" s="377"/>
      <c r="W200" s="377"/>
      <c r="X200" s="377"/>
      <c r="Y200" s="377"/>
      <c r="Z200" s="465"/>
    </row>
    <row r="201" spans="19:26" ht="15.6">
      <c r="S201" s="148"/>
      <c r="T201" s="88" t="s">
        <v>357</v>
      </c>
      <c r="U201" s="94" t="s">
        <v>135</v>
      </c>
      <c r="V201" s="96">
        <f>(Database!$C$34*((Database!$H$13)-($W$52+273.15)))+(((Database!$D$34)*((Database!$H$13)^2-($W$52+273.15)^2))/2)+((Database!$E$34*((Database!$H$13)^3-($W$52+273.15)^3))/3)+((Database!$F$34*((Database!$H$13)^4-($W$52+273.15)^4))/4)+((Database!$G$34)*((Database!$H$13)^(5)-($W$52+273.15)^5))/5</f>
        <v>44168.085339864891</v>
      </c>
      <c r="W201" s="148"/>
      <c r="X201" s="5"/>
      <c r="Y201" s="5"/>
      <c r="Z201" s="6"/>
    </row>
    <row r="202" spans="19:26" ht="15.6">
      <c r="S202" s="148"/>
      <c r="T202" s="181"/>
      <c r="U202" s="168"/>
      <c r="V202" s="148"/>
      <c r="W202" s="5"/>
      <c r="X202" s="5"/>
      <c r="Y202" s="5"/>
      <c r="Z202" s="6"/>
    </row>
    <row r="203" spans="19:26" ht="15.6">
      <c r="S203" s="148"/>
      <c r="T203" s="181" t="s">
        <v>362</v>
      </c>
      <c r="U203" s="21"/>
      <c r="V203" s="5"/>
      <c r="W203" s="5"/>
      <c r="X203" s="5"/>
      <c r="Y203" s="5"/>
      <c r="Z203" s="6"/>
    </row>
    <row r="204" spans="19:26" ht="15.6">
      <c r="S204" s="148"/>
      <c r="T204" s="88" t="s">
        <v>361</v>
      </c>
      <c r="U204" s="94" t="s">
        <v>135</v>
      </c>
      <c r="V204" s="94" t="s">
        <v>553</v>
      </c>
      <c r="W204" s="5"/>
      <c r="X204" s="5"/>
      <c r="Y204" s="5"/>
      <c r="Z204" s="6"/>
    </row>
    <row r="205" spans="19:26" ht="15.6">
      <c r="S205" s="148"/>
      <c r="T205" s="88" t="s">
        <v>361</v>
      </c>
      <c r="U205" s="94" t="s">
        <v>135</v>
      </c>
      <c r="V205" s="9">
        <f>Database!$I$23*1000*-1</f>
        <v>-64459.999999999993</v>
      </c>
      <c r="W205" s="5" t="s">
        <v>279</v>
      </c>
      <c r="X205" s="5"/>
      <c r="Y205" s="5"/>
      <c r="Z205" s="6"/>
    </row>
    <row r="206" spans="19:26" ht="15.6">
      <c r="S206" s="148"/>
      <c r="T206" s="181"/>
      <c r="U206" s="21"/>
      <c r="V206" s="5"/>
      <c r="W206" s="5"/>
      <c r="X206" s="5"/>
      <c r="Y206" s="5"/>
      <c r="Z206" s="6"/>
    </row>
    <row r="207" spans="19:26" ht="15.6">
      <c r="S207" s="148"/>
      <c r="T207" s="181" t="s">
        <v>586</v>
      </c>
      <c r="U207" s="153"/>
      <c r="V207" s="5"/>
      <c r="W207" s="5"/>
      <c r="X207" s="5"/>
      <c r="Y207" s="5"/>
      <c r="Z207" s="6"/>
    </row>
    <row r="208" spans="19:26" ht="54.6" customHeight="1">
      <c r="S208" s="148"/>
      <c r="T208" s="88" t="s">
        <v>358</v>
      </c>
      <c r="U208" s="94" t="s">
        <v>135</v>
      </c>
      <c r="V208" s="377"/>
      <c r="W208" s="377"/>
      <c r="X208" s="377"/>
      <c r="Y208" s="377"/>
      <c r="Z208" s="465"/>
    </row>
    <row r="209" spans="19:26" ht="15.6">
      <c r="S209" s="148"/>
      <c r="T209" s="88" t="s">
        <v>358</v>
      </c>
      <c r="U209" s="94" t="s">
        <v>135</v>
      </c>
      <c r="V209" s="129">
        <f>Database!$C$46*(($I$62+273.15)-(Database!$H$13))+((Database!$D$46*(($I$62+273.15)^2-(Database!$H$13)^2))/2)+((Database!$E$46*(($I$62+273.15)^3-(Database!$H$13)^3))/3)+((Database!$F$46*(($I$62+273.15)^4-(Database!$H$13)^4))/4)</f>
        <v>-5435.7298156695606</v>
      </c>
      <c r="W209" s="5" t="s">
        <v>279</v>
      </c>
      <c r="X209" s="5"/>
      <c r="Y209" s="5"/>
      <c r="Z209" s="6"/>
    </row>
    <row r="210" spans="19:26" ht="15.6">
      <c r="S210" s="148"/>
      <c r="T210" s="181"/>
      <c r="U210" s="153"/>
      <c r="V210" s="5"/>
      <c r="W210" s="5"/>
      <c r="X210" s="5"/>
      <c r="Y210" s="5"/>
      <c r="Z210" s="6"/>
    </row>
    <row r="211" spans="19:26" ht="15.6">
      <c r="S211" s="148"/>
      <c r="T211" s="88" t="s">
        <v>354</v>
      </c>
      <c r="U211" s="94" t="s">
        <v>135</v>
      </c>
      <c r="V211" s="9" t="s">
        <v>357</v>
      </c>
      <c r="W211" s="117" t="s">
        <v>284</v>
      </c>
      <c r="X211" s="9" t="s">
        <v>361</v>
      </c>
      <c r="Y211" s="117" t="s">
        <v>284</v>
      </c>
      <c r="Z211" s="121" t="s">
        <v>358</v>
      </c>
    </row>
    <row r="212" spans="19:26" ht="15.6">
      <c r="S212" s="148"/>
      <c r="T212" s="135" t="s">
        <v>354</v>
      </c>
      <c r="U212" s="182" t="s">
        <v>135</v>
      </c>
      <c r="V212" s="119">
        <f>V209+V205+V201</f>
        <v>-25727.644475804656</v>
      </c>
      <c r="W212" s="11" t="s">
        <v>279</v>
      </c>
      <c r="X212" s="11"/>
      <c r="Y212" s="11"/>
      <c r="Z212" s="12"/>
    </row>
    <row r="213" spans="19:26" ht="15.75" customHeight="1">
      <c r="S213" s="148"/>
      <c r="T213" s="148"/>
      <c r="U213" s="148"/>
      <c r="V213" s="148"/>
      <c r="W213" s="148"/>
      <c r="X213" s="148"/>
      <c r="Y213" s="148"/>
      <c r="Z213" s="148"/>
    </row>
    <row r="214" spans="19:26" ht="15.6">
      <c r="S214" s="148"/>
      <c r="T214" s="1"/>
      <c r="U214" s="2"/>
      <c r="V214" s="91" t="s">
        <v>363</v>
      </c>
      <c r="W214" s="2"/>
      <c r="X214" s="2"/>
      <c r="Y214" s="2"/>
      <c r="Z214" s="3"/>
    </row>
    <row r="215" spans="19:26" ht="15.6">
      <c r="S215" s="148"/>
      <c r="T215" s="116" t="s">
        <v>364</v>
      </c>
      <c r="U215" s="5"/>
      <c r="V215" s="5"/>
      <c r="W215" s="5"/>
      <c r="X215" s="109" t="s">
        <v>430</v>
      </c>
      <c r="Y215" s="5"/>
      <c r="Z215" s="6"/>
    </row>
    <row r="216" spans="19:26" ht="15.6">
      <c r="S216" s="148"/>
      <c r="T216" s="156" t="s">
        <v>366</v>
      </c>
      <c r="U216" s="5"/>
      <c r="V216" s="5"/>
      <c r="W216" s="5"/>
      <c r="X216" s="64" t="s">
        <v>367</v>
      </c>
      <c r="Y216" s="5"/>
      <c r="Z216" s="6"/>
    </row>
    <row r="217" spans="19:26" ht="15.6">
      <c r="S217" s="148"/>
      <c r="T217" s="172"/>
      <c r="U217" s="5"/>
      <c r="V217" s="5"/>
      <c r="W217" s="5"/>
      <c r="X217" s="148"/>
      <c r="Y217" s="5"/>
      <c r="Z217" s="6"/>
    </row>
    <row r="218" spans="19:26" ht="15.6">
      <c r="S218" s="148"/>
      <c r="T218" s="4"/>
      <c r="U218" s="9" t="s">
        <v>368</v>
      </c>
      <c r="V218" s="9" t="s">
        <v>370</v>
      </c>
      <c r="W218" s="9" t="s">
        <v>369</v>
      </c>
      <c r="X218" s="5"/>
      <c r="Y218" s="5"/>
      <c r="Z218" s="6"/>
    </row>
    <row r="219" spans="19:26" ht="15.6">
      <c r="S219" s="148"/>
      <c r="T219" s="4"/>
      <c r="U219" s="5"/>
      <c r="V219" s="148"/>
      <c r="W219" s="5"/>
      <c r="X219" s="5"/>
      <c r="Y219" s="5"/>
      <c r="Z219" s="6"/>
    </row>
    <row r="220" spans="19:26" ht="15.6">
      <c r="S220" s="148"/>
      <c r="T220" s="4" t="s">
        <v>581</v>
      </c>
      <c r="U220" s="9"/>
      <c r="V220" s="5"/>
      <c r="W220" s="148"/>
      <c r="X220" s="5"/>
      <c r="Y220" s="5"/>
      <c r="Z220" s="6"/>
    </row>
    <row r="221" spans="19:26" ht="56.4" customHeight="1">
      <c r="S221" s="148"/>
      <c r="T221" s="88" t="s">
        <v>366</v>
      </c>
      <c r="U221" s="94" t="s">
        <v>135</v>
      </c>
      <c r="V221" s="377"/>
      <c r="W221" s="377"/>
      <c r="X221" s="377"/>
      <c r="Y221" s="377"/>
      <c r="Z221" s="465"/>
    </row>
    <row r="222" spans="19:26" ht="15.6">
      <c r="S222" s="148"/>
      <c r="T222" s="88" t="s">
        <v>366</v>
      </c>
      <c r="U222" s="94" t="s">
        <v>135</v>
      </c>
      <c r="V222" s="96">
        <f>(Database!$C$35*((Database!$H$14)-($W$52+273.15)))+(((Database!$D$35)*((Database!$H$14)^2-($W$52+273.15)^2))/2)+((Database!$E$35*((Database!$H$14)^3-($W$52+273.15)^3))/3)+((Database!$F$35*((Database!$H$14)^4-($W$52+273.15)^4))/4)+((Database!$G$35)*((Database!$H$14)^(5)-($W$52+273.15)^5))/5</f>
        <v>83864.044961042237</v>
      </c>
      <c r="W222" s="148"/>
      <c r="X222" s="5"/>
      <c r="Y222" s="5"/>
      <c r="Z222" s="6"/>
    </row>
    <row r="223" spans="19:26" ht="15.6">
      <c r="S223" s="148"/>
      <c r="T223" s="181"/>
      <c r="U223" s="168"/>
      <c r="V223" s="148"/>
      <c r="W223" s="5"/>
      <c r="X223" s="5"/>
      <c r="Y223" s="5"/>
      <c r="Z223" s="6"/>
    </row>
    <row r="224" spans="19:26" ht="15.6">
      <c r="S224" s="148"/>
      <c r="T224" s="181" t="s">
        <v>371</v>
      </c>
      <c r="U224" s="21"/>
      <c r="V224" s="5"/>
      <c r="W224" s="5"/>
      <c r="X224" s="5"/>
      <c r="Y224" s="5"/>
      <c r="Z224" s="6"/>
    </row>
    <row r="225" spans="19:26" ht="15.6">
      <c r="S225" s="148"/>
      <c r="T225" s="88" t="s">
        <v>370</v>
      </c>
      <c r="U225" s="94" t="s">
        <v>135</v>
      </c>
      <c r="V225" s="94" t="s">
        <v>554</v>
      </c>
      <c r="W225" s="5"/>
      <c r="X225" s="5"/>
      <c r="Y225" s="5"/>
      <c r="Z225" s="6"/>
    </row>
    <row r="226" spans="19:26" ht="15.6">
      <c r="S226" s="148"/>
      <c r="T226" s="88" t="s">
        <v>370</v>
      </c>
      <c r="U226" s="94" t="s">
        <v>135</v>
      </c>
      <c r="V226" s="9">
        <f>Database!$I$24*1000*-1</f>
        <v>-70680</v>
      </c>
      <c r="W226" s="5" t="s">
        <v>279</v>
      </c>
      <c r="X226" s="5"/>
      <c r="Y226" s="5"/>
      <c r="Z226" s="6"/>
    </row>
    <row r="227" spans="19:26" ht="15.6">
      <c r="S227" s="148"/>
      <c r="T227" s="181"/>
      <c r="U227" s="21"/>
      <c r="V227" s="5"/>
      <c r="W227" s="5"/>
      <c r="X227" s="5"/>
      <c r="Y227" s="5"/>
      <c r="Z227" s="6"/>
    </row>
    <row r="228" spans="19:26" ht="15.6">
      <c r="S228" s="148"/>
      <c r="T228" s="181" t="s">
        <v>577</v>
      </c>
      <c r="U228" s="153"/>
      <c r="V228" s="5"/>
      <c r="W228" s="5"/>
      <c r="X228" s="5"/>
      <c r="Y228" s="5"/>
      <c r="Z228" s="6"/>
    </row>
    <row r="229" spans="19:26" ht="51" customHeight="1">
      <c r="S229" s="148"/>
      <c r="T229" s="88" t="s">
        <v>367</v>
      </c>
      <c r="U229" s="94" t="s">
        <v>135</v>
      </c>
      <c r="V229" s="377"/>
      <c r="W229" s="377"/>
      <c r="X229" s="377"/>
      <c r="Y229" s="377"/>
      <c r="Z229" s="465"/>
    </row>
    <row r="230" spans="19:26" ht="15.6">
      <c r="S230" s="148"/>
      <c r="T230" s="88" t="s">
        <v>367</v>
      </c>
      <c r="U230" s="94" t="s">
        <v>135</v>
      </c>
      <c r="V230" s="129">
        <f>Database!$C$47*(($I$62+273.15)-(Database!$H$14))+((Database!$D$47*(($I$62+273.15)^2-(Database!$H$14)^2))/2)+((Database!$E$47*(($I$62+273.15)^3-(Database!$H$14)^3))/3)+((Database!$F$47*(($I$62+273.15)^4-(Database!$H$14)^4))/4)</f>
        <v>-38807.315189535715</v>
      </c>
      <c r="W230" s="5" t="s">
        <v>279</v>
      </c>
      <c r="X230" s="5"/>
      <c r="Y230" s="5"/>
      <c r="Z230" s="6"/>
    </row>
    <row r="231" spans="19:26" ht="15.6">
      <c r="S231" s="148"/>
      <c r="T231" s="181"/>
      <c r="U231" s="153"/>
      <c r="V231" s="5"/>
      <c r="W231" s="5"/>
      <c r="X231" s="5"/>
      <c r="Y231" s="5"/>
      <c r="Z231" s="6"/>
    </row>
    <row r="232" spans="19:26" ht="15.6">
      <c r="S232" s="148"/>
      <c r="T232" s="88" t="s">
        <v>363</v>
      </c>
      <c r="U232" s="94" t="s">
        <v>135</v>
      </c>
      <c r="V232" s="9" t="s">
        <v>366</v>
      </c>
      <c r="W232" s="61" t="s">
        <v>284</v>
      </c>
      <c r="X232" s="9" t="s">
        <v>370</v>
      </c>
      <c r="Y232" s="61" t="s">
        <v>284</v>
      </c>
      <c r="Z232" s="121" t="s">
        <v>367</v>
      </c>
    </row>
    <row r="233" spans="19:26" ht="15.6">
      <c r="S233" s="148"/>
      <c r="T233" s="135" t="s">
        <v>363</v>
      </c>
      <c r="U233" s="182" t="s">
        <v>135</v>
      </c>
      <c r="V233" s="119">
        <f>V230+V226+V222</f>
        <v>-25623.270228493478</v>
      </c>
      <c r="W233" s="11" t="s">
        <v>279</v>
      </c>
      <c r="X233" s="11"/>
      <c r="Y233" s="11"/>
      <c r="Z233" s="12"/>
    </row>
    <row r="234" spans="19:26" ht="15.75" customHeight="1">
      <c r="S234" s="148"/>
      <c r="T234" s="148"/>
      <c r="U234" s="148"/>
      <c r="V234" s="148"/>
      <c r="W234" s="148"/>
      <c r="X234" s="148"/>
      <c r="Y234" s="148"/>
      <c r="Z234" s="148"/>
    </row>
    <row r="235" spans="19:26" ht="15.75" customHeight="1">
      <c r="S235" s="148"/>
      <c r="T235" s="148"/>
      <c r="U235" s="148"/>
      <c r="V235" s="148"/>
      <c r="W235" s="148"/>
      <c r="X235" s="148"/>
      <c r="Y235" s="148"/>
      <c r="Z235" s="148"/>
    </row>
  </sheetData>
  <mergeCells count="56">
    <mergeCell ref="V200:Z200"/>
    <mergeCell ref="W65:X65"/>
    <mergeCell ref="Y65:Z65"/>
    <mergeCell ref="G45:H45"/>
    <mergeCell ref="G46:I46"/>
    <mergeCell ref="U52:V52"/>
    <mergeCell ref="T53:T54"/>
    <mergeCell ref="U53:V53"/>
    <mergeCell ref="W53:X53"/>
    <mergeCell ref="Y53:Z53"/>
    <mergeCell ref="G60:H60"/>
    <mergeCell ref="G61:H61"/>
    <mergeCell ref="G62:H62"/>
    <mergeCell ref="G63:H63"/>
    <mergeCell ref="U65:V65"/>
    <mergeCell ref="G64:H64"/>
    <mergeCell ref="V221:Z221"/>
    <mergeCell ref="V229:Z229"/>
    <mergeCell ref="V74:Z74"/>
    <mergeCell ref="V95:Z95"/>
    <mergeCell ref="V103:Z103"/>
    <mergeCell ref="V124:Z124"/>
    <mergeCell ref="V116:Z116"/>
    <mergeCell ref="V82:Z82"/>
    <mergeCell ref="V137:Z137"/>
    <mergeCell ref="V179:Z179"/>
    <mergeCell ref="V187:Z187"/>
    <mergeCell ref="V155:Z155"/>
    <mergeCell ref="V162:Z162"/>
    <mergeCell ref="V169:Z169"/>
    <mergeCell ref="V145:Z145"/>
    <mergeCell ref="V208:Z208"/>
    <mergeCell ref="E30:F30"/>
    <mergeCell ref="E31:F31"/>
    <mergeCell ref="E32:F32"/>
    <mergeCell ref="G44:H44"/>
    <mergeCell ref="G53:I53"/>
    <mergeCell ref="E33:F33"/>
    <mergeCell ref="E22:G22"/>
    <mergeCell ref="L22:M22"/>
    <mergeCell ref="L23:M23"/>
    <mergeCell ref="L24:M24"/>
    <mergeCell ref="E29:F29"/>
    <mergeCell ref="L25:M25"/>
    <mergeCell ref="E13:F13"/>
    <mergeCell ref="E14:F14"/>
    <mergeCell ref="L14:N14"/>
    <mergeCell ref="E15:G15"/>
    <mergeCell ref="L21:M21"/>
    <mergeCell ref="L5:M5"/>
    <mergeCell ref="L6:M6"/>
    <mergeCell ref="T6:V6"/>
    <mergeCell ref="L7:N7"/>
    <mergeCell ref="T9:T10"/>
    <mergeCell ref="U9:U10"/>
    <mergeCell ref="V9:V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AL235"/>
  <sheetViews>
    <sheetView zoomScale="40" zoomScaleNormal="40" workbookViewId="0">
      <selection activeCell="N55" sqref="N55"/>
    </sheetView>
  </sheetViews>
  <sheetFormatPr defaultColWidth="12.6640625" defaultRowHeight="15.75" customHeight="1"/>
  <cols>
    <col min="4" max="4" width="16.5546875" customWidth="1"/>
    <col min="5" max="5" width="13.77734375" customWidth="1"/>
    <col min="7" max="7" width="17" customWidth="1"/>
    <col min="8" max="8" width="13.5546875" bestFit="1" customWidth="1"/>
    <col min="12" max="12" width="13.77734375" customWidth="1"/>
    <col min="13" max="13" width="15.109375" customWidth="1"/>
    <col min="20" max="20" width="19.88671875" customWidth="1"/>
    <col min="21" max="21" width="27.21875" customWidth="1"/>
    <col min="24" max="24" width="35.6640625" customWidth="1"/>
    <col min="25" max="25" width="26.33203125" customWidth="1"/>
    <col min="26" max="26" width="24.33203125" customWidth="1"/>
    <col min="27" max="27" width="26.6640625" customWidth="1"/>
    <col min="28" max="28" width="27.21875" customWidth="1"/>
    <col min="29" max="29" width="14.77734375" customWidth="1"/>
    <col min="30" max="30" width="16.44140625" customWidth="1"/>
  </cols>
  <sheetData>
    <row r="1" spans="3:38" ht="15.6">
      <c r="I1" s="5"/>
      <c r="J1" s="5"/>
      <c r="K1" s="5"/>
      <c r="L1" s="5"/>
      <c r="M1" s="5"/>
      <c r="N1" s="5"/>
      <c r="O1" s="5"/>
      <c r="P1" s="5"/>
      <c r="Q1" s="5"/>
      <c r="AG1" s="5"/>
      <c r="AH1" s="5"/>
      <c r="AI1" s="5"/>
      <c r="AJ1" s="5"/>
      <c r="AK1" s="5"/>
      <c r="AL1" s="5"/>
    </row>
    <row r="2" spans="3:38" ht="15.6">
      <c r="I2" s="5"/>
      <c r="J2" s="5"/>
      <c r="K2" s="5"/>
      <c r="L2" s="5"/>
      <c r="M2" s="5"/>
      <c r="N2" s="5"/>
      <c r="O2" s="5"/>
      <c r="P2" s="5"/>
      <c r="Q2" s="5"/>
      <c r="AG2" s="5"/>
      <c r="AH2" s="5"/>
      <c r="AI2" s="5"/>
      <c r="AJ2" s="5"/>
      <c r="AK2" s="5"/>
      <c r="AL2" s="5"/>
    </row>
    <row r="3" spans="3:38" ht="15.6">
      <c r="I3" s="5"/>
      <c r="J3" s="5"/>
      <c r="K3" s="5"/>
      <c r="L3" s="5"/>
      <c r="M3" s="5"/>
      <c r="N3" s="5"/>
      <c r="O3" s="5"/>
      <c r="P3" s="5"/>
      <c r="Q3" s="5"/>
      <c r="X3" s="80" t="s">
        <v>432</v>
      </c>
      <c r="Y3" s="133"/>
      <c r="Z3" s="133"/>
      <c r="AA3" s="133"/>
      <c r="AB3" s="133"/>
      <c r="AC3" s="133"/>
      <c r="AD3" s="133"/>
      <c r="AE3" s="134"/>
      <c r="AF3" s="32"/>
      <c r="AG3" s="5"/>
      <c r="AH3" s="5"/>
      <c r="AI3" s="5"/>
      <c r="AJ3" s="5"/>
      <c r="AK3" s="5"/>
      <c r="AL3" s="5"/>
    </row>
    <row r="4" spans="3:38" ht="15.6">
      <c r="C4" s="407" t="s">
        <v>79</v>
      </c>
      <c r="D4" s="389"/>
      <c r="E4" s="33">
        <f>E9*U7+E10*U8+E11*U9</f>
        <v>3966.254949559152</v>
      </c>
      <c r="I4" s="5"/>
      <c r="J4" s="5"/>
      <c r="K4" s="5"/>
      <c r="L4" s="407" t="s">
        <v>79</v>
      </c>
      <c r="M4" s="389"/>
      <c r="N4" s="33">
        <f>N10*U8+N11*U9</f>
        <v>2304.492695839057</v>
      </c>
      <c r="O4" s="5"/>
      <c r="P4" s="5"/>
      <c r="Q4" s="5"/>
      <c r="T4" s="15" t="s">
        <v>6</v>
      </c>
      <c r="U4" s="15" t="s">
        <v>7</v>
      </c>
      <c r="X4" s="478" t="s">
        <v>201</v>
      </c>
      <c r="Y4" s="391"/>
      <c r="Z4" s="389"/>
      <c r="AA4" s="22">
        <v>5</v>
      </c>
      <c r="AB4" s="479" t="s">
        <v>433</v>
      </c>
      <c r="AC4" s="391"/>
      <c r="AD4" s="391"/>
      <c r="AE4" s="4"/>
      <c r="AF4" s="5"/>
      <c r="AG4" s="5"/>
      <c r="AH4" s="5"/>
      <c r="AI4" s="5"/>
      <c r="AJ4" s="5"/>
      <c r="AK4" s="5"/>
      <c r="AL4" s="5"/>
    </row>
    <row r="5" spans="3:38" ht="15.6">
      <c r="C5" s="407" t="s">
        <v>80</v>
      </c>
      <c r="D5" s="389"/>
      <c r="E5" s="33">
        <f>SUM(E7:E12)</f>
        <v>31.420199314553848</v>
      </c>
      <c r="I5" s="5"/>
      <c r="J5" s="5"/>
      <c r="K5" s="5"/>
      <c r="L5" s="407" t="s">
        <v>80</v>
      </c>
      <c r="M5" s="389"/>
      <c r="N5" s="33">
        <f>SUM(N7:N12)</f>
        <v>15.541162001107978</v>
      </c>
      <c r="O5" s="5"/>
      <c r="P5" s="5"/>
      <c r="Q5" s="5"/>
      <c r="T5" s="19" t="s">
        <v>30</v>
      </c>
      <c r="U5" s="20">
        <f>17.031</f>
        <v>17.030999999999999</v>
      </c>
      <c r="X5" s="478" t="s">
        <v>434</v>
      </c>
      <c r="Y5" s="391"/>
      <c r="Z5" s="389"/>
      <c r="AA5" s="135">
        <v>-3</v>
      </c>
      <c r="AB5" s="479" t="s">
        <v>435</v>
      </c>
      <c r="AC5" s="391"/>
      <c r="AD5" s="391"/>
      <c r="AE5" s="4"/>
      <c r="AF5" s="5"/>
      <c r="AG5" s="5"/>
      <c r="AH5" s="5"/>
      <c r="AI5" s="5"/>
      <c r="AJ5" s="5"/>
      <c r="AK5" s="5"/>
      <c r="AL5" s="5"/>
    </row>
    <row r="6" spans="3:38" ht="15.6">
      <c r="C6" s="401" t="s">
        <v>66</v>
      </c>
      <c r="D6" s="391"/>
      <c r="E6" s="389"/>
      <c r="I6" s="5"/>
      <c r="J6" s="5"/>
      <c r="K6" s="5"/>
      <c r="L6" s="401" t="s">
        <v>66</v>
      </c>
      <c r="M6" s="391"/>
      <c r="N6" s="389"/>
      <c r="O6" s="5"/>
      <c r="P6" s="5"/>
      <c r="Q6" s="5"/>
      <c r="T6" s="19" t="s">
        <v>48</v>
      </c>
      <c r="U6" s="20">
        <v>44.052999999999997</v>
      </c>
      <c r="X6" s="450" t="s">
        <v>209</v>
      </c>
      <c r="Y6" s="481"/>
      <c r="Z6" s="481"/>
      <c r="AA6" s="453">
        <v>-2</v>
      </c>
      <c r="AB6" s="463" t="s">
        <v>436</v>
      </c>
      <c r="AC6" s="376"/>
      <c r="AD6" s="378"/>
      <c r="AE6" s="5"/>
      <c r="AF6" s="5"/>
      <c r="AG6" s="5"/>
      <c r="AH6" s="5"/>
      <c r="AI6" s="5"/>
      <c r="AJ6" s="5"/>
      <c r="AK6" s="5"/>
      <c r="AL6" s="5"/>
    </row>
    <row r="7" spans="3:38" ht="18" customHeight="1">
      <c r="C7" s="34" t="s">
        <v>67</v>
      </c>
      <c r="D7" s="35"/>
      <c r="E7" s="35"/>
      <c r="I7" s="5"/>
      <c r="J7" s="5"/>
      <c r="K7" s="5"/>
      <c r="L7" s="34" t="s">
        <v>67</v>
      </c>
      <c r="M7" s="35"/>
      <c r="N7" s="35"/>
      <c r="O7" s="5"/>
      <c r="P7" s="5"/>
      <c r="Q7" s="5"/>
      <c r="T7" s="19" t="s">
        <v>59</v>
      </c>
      <c r="U7" s="20">
        <v>61.082999999999998</v>
      </c>
      <c r="X7" s="452"/>
      <c r="Y7" s="405"/>
      <c r="Z7" s="405"/>
      <c r="AA7" s="452"/>
      <c r="AB7" s="475" t="s">
        <v>437</v>
      </c>
      <c r="AC7" s="476"/>
      <c r="AD7" s="477"/>
      <c r="AG7" s="5"/>
      <c r="AH7" s="5"/>
      <c r="AI7" s="5"/>
      <c r="AJ7" s="5"/>
      <c r="AK7" s="5"/>
      <c r="AL7" s="5"/>
    </row>
    <row r="8" spans="3:38" ht="15.6">
      <c r="C8" s="34" t="s">
        <v>68</v>
      </c>
      <c r="D8" s="35"/>
      <c r="E8" s="35"/>
      <c r="I8" s="5"/>
      <c r="J8" s="5"/>
      <c r="K8" s="5"/>
      <c r="L8" s="34" t="s">
        <v>68</v>
      </c>
      <c r="M8" s="35"/>
      <c r="N8" s="35"/>
      <c r="O8" s="5"/>
      <c r="P8" s="5"/>
      <c r="Q8" s="5"/>
      <c r="T8" s="19" t="s">
        <v>61</v>
      </c>
      <c r="U8" s="20">
        <v>105.136</v>
      </c>
      <c r="X8" s="480"/>
      <c r="Y8" s="405"/>
      <c r="Z8" s="405"/>
      <c r="AA8" s="126">
        <f>SUM(AA4:AA6)</f>
        <v>0</v>
      </c>
      <c r="AB8" s="11" t="s">
        <v>438</v>
      </c>
      <c r="AC8" s="11"/>
      <c r="AD8" s="11"/>
      <c r="AE8" s="5"/>
      <c r="AF8" s="5"/>
      <c r="AG8" s="5"/>
      <c r="AH8" s="5"/>
      <c r="AI8" s="5"/>
      <c r="AJ8" s="5"/>
      <c r="AK8" s="5"/>
      <c r="AL8" s="5"/>
    </row>
    <row r="9" spans="3:38" ht="15.6">
      <c r="C9" s="34" t="s">
        <v>69</v>
      </c>
      <c r="D9" s="40" t="s">
        <v>125</v>
      </c>
      <c r="E9" s="41">
        <f>'Distillation Column 1 '!I49</f>
        <v>2.8661527310881501</v>
      </c>
      <c r="I9" s="5"/>
      <c r="J9" s="5"/>
      <c r="K9" s="5"/>
      <c r="L9" s="34" t="s">
        <v>69</v>
      </c>
      <c r="M9" s="35"/>
      <c r="N9" s="35"/>
      <c r="O9" s="5"/>
      <c r="P9" s="5"/>
      <c r="Q9" s="5"/>
      <c r="T9" s="19" t="s">
        <v>63</v>
      </c>
      <c r="U9" s="20">
        <v>149.18799999999999</v>
      </c>
      <c r="AG9" s="5"/>
      <c r="AH9" s="5"/>
      <c r="AI9" s="5"/>
      <c r="AJ9" s="5"/>
      <c r="AK9" s="5"/>
      <c r="AL9" s="5"/>
    </row>
    <row r="10" spans="3:38" ht="15.6">
      <c r="C10" s="34" t="s">
        <v>70</v>
      </c>
      <c r="D10" s="40" t="s">
        <v>127</v>
      </c>
      <c r="E10" s="41">
        <f>'Distillation Column 1 '!I50</f>
        <v>10.640592014164758</v>
      </c>
      <c r="I10" s="5"/>
      <c r="J10" s="5"/>
      <c r="K10" s="5"/>
      <c r="L10" s="34" t="s">
        <v>70</v>
      </c>
      <c r="M10" s="40" t="s">
        <v>126</v>
      </c>
      <c r="N10" s="41">
        <f>Z31</f>
        <v>0.31921776042494265</v>
      </c>
      <c r="O10" s="5"/>
      <c r="P10" s="5"/>
      <c r="Q10" s="5"/>
      <c r="T10" s="19" t="s">
        <v>65</v>
      </c>
      <c r="U10" s="24">
        <v>62.07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3:38" ht="15.6">
      <c r="C11" s="34" t="s">
        <v>71</v>
      </c>
      <c r="D11" s="40" t="s">
        <v>129</v>
      </c>
      <c r="E11" s="41">
        <f>'Distillation Column 1 '!I51</f>
        <v>17.913454569300939</v>
      </c>
      <c r="I11" s="5"/>
      <c r="J11" s="5"/>
      <c r="K11" s="5"/>
      <c r="L11" s="34" t="s">
        <v>71</v>
      </c>
      <c r="M11" s="40" t="s">
        <v>128</v>
      </c>
      <c r="N11" s="41">
        <f>Z41</f>
        <v>15.221944240683035</v>
      </c>
      <c r="O11" s="5"/>
      <c r="P11" s="5"/>
      <c r="Q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3:38" ht="15.6">
      <c r="C12" s="34" t="s">
        <v>72</v>
      </c>
      <c r="D12" s="35"/>
      <c r="E12" s="35"/>
      <c r="I12" s="5"/>
      <c r="J12" s="5"/>
      <c r="K12" s="5"/>
      <c r="L12" s="34" t="s">
        <v>72</v>
      </c>
      <c r="M12" s="35"/>
      <c r="N12" s="35"/>
      <c r="O12" s="5"/>
      <c r="P12" s="5"/>
      <c r="Q12" s="5"/>
      <c r="X12" s="11" t="s">
        <v>216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3:38" ht="15.6">
      <c r="C13" s="404" t="s">
        <v>85</v>
      </c>
      <c r="D13" s="405"/>
      <c r="E13" s="398"/>
      <c r="I13" s="5"/>
      <c r="J13" s="5"/>
      <c r="K13" s="5"/>
      <c r="L13" s="404" t="s">
        <v>85</v>
      </c>
      <c r="M13" s="405"/>
      <c r="N13" s="398"/>
      <c r="O13" s="5"/>
      <c r="P13" s="5"/>
      <c r="Q13" s="5"/>
      <c r="X13" s="463" t="s">
        <v>439</v>
      </c>
      <c r="Y13" s="376"/>
      <c r="Z13" s="5"/>
      <c r="AB13" s="5"/>
      <c r="AC13" s="5"/>
      <c r="AD13" s="5"/>
      <c r="AE13" s="5"/>
      <c r="AF13" s="5"/>
      <c r="AL13" s="5"/>
    </row>
    <row r="14" spans="3:38" ht="15.6">
      <c r="C14" s="34" t="s">
        <v>67</v>
      </c>
      <c r="D14" s="35"/>
      <c r="E14" s="55"/>
      <c r="I14" s="5"/>
      <c r="J14" s="5"/>
      <c r="K14" s="5"/>
      <c r="L14" s="34" t="s">
        <v>67</v>
      </c>
      <c r="M14" s="35"/>
      <c r="N14" s="55"/>
      <c r="O14" s="5"/>
      <c r="P14" s="5"/>
      <c r="Q14" s="5"/>
      <c r="X14" s="9" t="s">
        <v>440</v>
      </c>
      <c r="Y14" s="9" t="s">
        <v>441</v>
      </c>
      <c r="Z14" s="9" t="s">
        <v>442</v>
      </c>
      <c r="AA14" s="5"/>
      <c r="AB14" s="5"/>
      <c r="AC14" s="5"/>
      <c r="AD14" s="5"/>
      <c r="AE14" s="5"/>
      <c r="AF14" s="5"/>
      <c r="AL14" s="5"/>
    </row>
    <row r="15" spans="3:38" ht="15.6">
      <c r="C15" s="34" t="s">
        <v>68</v>
      </c>
      <c r="D15" s="35"/>
      <c r="E15" s="35"/>
      <c r="I15" s="5"/>
      <c r="J15" s="5"/>
      <c r="K15" s="5"/>
      <c r="L15" s="34" t="s">
        <v>68</v>
      </c>
      <c r="M15" s="35"/>
      <c r="N15" s="35"/>
      <c r="O15" s="5"/>
      <c r="P15" s="5"/>
      <c r="Q15" s="5"/>
      <c r="R15" s="5"/>
      <c r="S15" s="5"/>
      <c r="T15" s="5"/>
      <c r="U15" s="5"/>
      <c r="V15" s="5"/>
      <c r="W15" s="5"/>
      <c r="X15" s="9" t="s">
        <v>443</v>
      </c>
      <c r="Y15" s="9" t="s">
        <v>441</v>
      </c>
      <c r="Z15" s="9" t="s">
        <v>444</v>
      </c>
      <c r="AA15" s="5"/>
      <c r="AC15" s="5"/>
      <c r="AD15" s="5"/>
      <c r="AE15" s="5"/>
      <c r="AF15" s="5"/>
      <c r="AL15" s="5"/>
    </row>
    <row r="16" spans="3:38" ht="15.6">
      <c r="C16" s="34" t="s">
        <v>69</v>
      </c>
      <c r="D16" s="35"/>
      <c r="E16" s="41">
        <f t="shared" ref="E16:E18" si="0">E9/$E$5</f>
        <v>9.12200684150513E-2</v>
      </c>
      <c r="I16" s="5"/>
      <c r="J16" s="5"/>
      <c r="K16" s="5"/>
      <c r="L16" s="34" t="s">
        <v>69</v>
      </c>
      <c r="M16" s="35"/>
      <c r="N16" s="35"/>
      <c r="O16" s="5"/>
      <c r="P16" s="5"/>
      <c r="Q16" s="5"/>
      <c r="R16" s="5"/>
      <c r="S16" s="5"/>
      <c r="T16" s="5"/>
      <c r="U16" s="5"/>
      <c r="V16" s="5"/>
      <c r="W16" s="5"/>
      <c r="X16" s="9" t="s">
        <v>445</v>
      </c>
      <c r="Y16" s="9" t="s">
        <v>441</v>
      </c>
      <c r="Z16" s="96">
        <f>(97%*E10)/65%</f>
        <v>15.879037313445869</v>
      </c>
      <c r="AA16" s="5" t="s">
        <v>218</v>
      </c>
      <c r="AL16" s="5"/>
    </row>
    <row r="17" spans="2:38" ht="15.6">
      <c r="C17" s="34" t="s">
        <v>70</v>
      </c>
      <c r="D17" s="35"/>
      <c r="E17" s="41">
        <f t="shared" si="0"/>
        <v>0.33865450399087799</v>
      </c>
      <c r="I17" s="5"/>
      <c r="J17" s="5"/>
      <c r="K17" s="5"/>
      <c r="L17" s="34" t="s">
        <v>70</v>
      </c>
      <c r="M17" s="35"/>
      <c r="N17" s="41">
        <f>N10/N5</f>
        <v>2.054014753865796E-2</v>
      </c>
      <c r="O17" s="5"/>
      <c r="P17" s="5"/>
      <c r="Q17" s="5"/>
      <c r="R17" s="5"/>
      <c r="S17" s="5"/>
      <c r="T17" s="5"/>
      <c r="U17" s="5"/>
      <c r="V17" s="5"/>
      <c r="W17" s="5"/>
      <c r="X17" s="9"/>
      <c r="Y17" s="9"/>
      <c r="Z17" s="9"/>
      <c r="AA17" s="5"/>
      <c r="AL17" s="5"/>
    </row>
    <row r="18" spans="2:38" ht="15.6">
      <c r="C18" s="34" t="s">
        <v>71</v>
      </c>
      <c r="D18" s="35"/>
      <c r="E18" s="41">
        <f t="shared" si="0"/>
        <v>0.5701254275940707</v>
      </c>
      <c r="I18" s="5"/>
      <c r="J18" s="5"/>
      <c r="K18" s="5"/>
      <c r="L18" s="34" t="s">
        <v>71</v>
      </c>
      <c r="M18" s="35"/>
      <c r="N18" s="41">
        <f>N11/$N$5</f>
        <v>0.97945985246134204</v>
      </c>
      <c r="O18" s="5"/>
      <c r="P18" s="5"/>
      <c r="Q18" s="5"/>
      <c r="R18" s="5"/>
      <c r="S18" s="5"/>
      <c r="T18" s="5"/>
      <c r="U18" s="5"/>
      <c r="V18" s="5"/>
      <c r="W18" s="5"/>
      <c r="X18" s="66" t="s">
        <v>446</v>
      </c>
      <c r="Y18" s="9"/>
      <c r="Z18" s="9"/>
      <c r="AA18" s="5"/>
      <c r="AL18" s="5"/>
    </row>
    <row r="19" spans="2:38" ht="15.6">
      <c r="C19" s="34" t="s">
        <v>72</v>
      </c>
      <c r="D19" s="35"/>
      <c r="E19" s="35"/>
      <c r="I19" s="5"/>
      <c r="J19" s="5"/>
      <c r="K19" s="5"/>
      <c r="L19" s="34" t="s">
        <v>72</v>
      </c>
      <c r="M19" s="35"/>
      <c r="N19" s="35"/>
      <c r="O19" s="5"/>
      <c r="P19" s="5"/>
      <c r="Q19" s="5"/>
      <c r="R19" s="5"/>
      <c r="S19" s="5"/>
      <c r="T19" s="5"/>
      <c r="U19" s="5"/>
      <c r="V19" s="5"/>
      <c r="W19" s="5"/>
      <c r="X19" s="98" t="s">
        <v>447</v>
      </c>
      <c r="Y19" s="9"/>
      <c r="Z19" s="9"/>
      <c r="AA19" s="5"/>
      <c r="AL19" s="5"/>
    </row>
    <row r="20" spans="2:38" ht="15.6">
      <c r="C20" s="406" t="s">
        <v>99</v>
      </c>
      <c r="D20" s="389"/>
      <c r="E20" s="50">
        <v>0</v>
      </c>
      <c r="I20" s="5"/>
      <c r="J20" s="5"/>
      <c r="K20" s="5"/>
      <c r="L20" s="406" t="s">
        <v>99</v>
      </c>
      <c r="M20" s="389"/>
      <c r="N20" s="50">
        <v>0</v>
      </c>
      <c r="O20" s="5"/>
      <c r="P20" s="5"/>
      <c r="Q20" s="5"/>
      <c r="R20" s="5"/>
      <c r="S20" s="5"/>
      <c r="T20" s="5"/>
      <c r="U20" s="5"/>
      <c r="V20" s="5"/>
      <c r="W20" s="5"/>
      <c r="X20" s="95" t="s">
        <v>131</v>
      </c>
      <c r="Y20" s="117" t="s">
        <v>135</v>
      </c>
      <c r="Z20" s="9" t="s">
        <v>442</v>
      </c>
      <c r="AA20" s="5"/>
      <c r="AL20" s="5"/>
    </row>
    <row r="21" spans="2:38" ht="15.6">
      <c r="C21" s="397" t="s">
        <v>92</v>
      </c>
      <c r="D21" s="398"/>
      <c r="E21" s="40">
        <f>SUM(E14:E19)</f>
        <v>1</v>
      </c>
      <c r="F21" s="5"/>
      <c r="G21" s="5"/>
      <c r="H21" s="5"/>
      <c r="I21" s="5"/>
      <c r="J21" s="5"/>
      <c r="K21" s="5"/>
      <c r="L21" s="397" t="s">
        <v>92</v>
      </c>
      <c r="M21" s="398"/>
      <c r="N21" s="40">
        <f>SUM(N14:N19)</f>
        <v>1</v>
      </c>
      <c r="O21" s="5"/>
      <c r="P21" s="5"/>
      <c r="Q21" s="5"/>
      <c r="R21" s="5"/>
      <c r="S21" s="5"/>
      <c r="T21" s="5"/>
      <c r="U21" s="5"/>
      <c r="V21" s="5"/>
      <c r="W21" s="5"/>
      <c r="X21" s="95" t="s">
        <v>131</v>
      </c>
      <c r="Y21" s="117" t="s">
        <v>135</v>
      </c>
      <c r="Z21" s="9" t="s">
        <v>444</v>
      </c>
      <c r="AA21" s="5"/>
      <c r="AL21" s="5"/>
    </row>
    <row r="22" spans="2:38" ht="15.6">
      <c r="C22" s="397" t="s">
        <v>75</v>
      </c>
      <c r="D22" s="398"/>
      <c r="E22" s="40">
        <v>250</v>
      </c>
      <c r="F22" s="5"/>
      <c r="G22" s="5"/>
      <c r="H22" s="5"/>
      <c r="I22" s="5"/>
      <c r="J22" s="5"/>
      <c r="K22" s="5"/>
      <c r="L22" s="397" t="s">
        <v>75</v>
      </c>
      <c r="M22" s="398"/>
      <c r="N22" s="40">
        <v>335</v>
      </c>
      <c r="O22" s="32"/>
      <c r="P22" s="5"/>
      <c r="Q22" s="5"/>
      <c r="R22" s="5"/>
      <c r="S22" s="5"/>
      <c r="T22" s="5"/>
      <c r="U22" s="5"/>
      <c r="V22" s="5"/>
      <c r="W22" s="5"/>
      <c r="X22" s="95" t="s">
        <v>131</v>
      </c>
      <c r="Y22" s="117" t="s">
        <v>135</v>
      </c>
      <c r="Z22" s="96">
        <f>97%*E10</f>
        <v>10.321374253739815</v>
      </c>
      <c r="AA22" s="5" t="s">
        <v>250</v>
      </c>
      <c r="AL22" s="5"/>
    </row>
    <row r="23" spans="2:38" ht="15.6">
      <c r="C23" s="396" t="s">
        <v>76</v>
      </c>
      <c r="D23" s="389"/>
      <c r="E23" s="45">
        <v>1</v>
      </c>
      <c r="F23" s="5"/>
      <c r="G23" s="5"/>
      <c r="H23" s="5"/>
      <c r="I23" s="5"/>
      <c r="J23" s="5"/>
      <c r="K23" s="5"/>
      <c r="L23" s="396" t="s">
        <v>76</v>
      </c>
      <c r="M23" s="389"/>
      <c r="N23" s="45">
        <v>1</v>
      </c>
      <c r="O23" s="32"/>
      <c r="P23" s="5"/>
      <c r="Q23" s="5"/>
      <c r="R23" s="5"/>
      <c r="S23" s="5"/>
      <c r="T23" s="5"/>
      <c r="U23" s="5"/>
      <c r="V23" s="5"/>
      <c r="W23" s="5"/>
      <c r="X23" s="5"/>
      <c r="Y23" s="5"/>
      <c r="AL23" s="5"/>
    </row>
    <row r="24" spans="2:38" ht="15.6">
      <c r="C24" s="400" t="s">
        <v>548</v>
      </c>
      <c r="D24" s="400"/>
      <c r="E24" s="216">
        <f>Y64</f>
        <v>-785407.12633622356</v>
      </c>
      <c r="F24" s="5"/>
      <c r="G24" s="5"/>
      <c r="H24" s="5"/>
      <c r="I24" s="5"/>
      <c r="J24" s="5"/>
      <c r="K24" s="5"/>
      <c r="L24" s="400" t="s">
        <v>548</v>
      </c>
      <c r="M24" s="400"/>
      <c r="N24" s="211">
        <f>AC64</f>
        <v>197749.89720677325</v>
      </c>
      <c r="O24" s="32"/>
      <c r="P24" s="5"/>
      <c r="Q24" s="5"/>
      <c r="R24" s="5"/>
      <c r="S24" s="5"/>
      <c r="T24" s="5"/>
      <c r="U24" s="5"/>
      <c r="V24" s="5"/>
      <c r="W24" s="5"/>
      <c r="X24" s="11" t="s">
        <v>237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2:38" ht="15.6">
      <c r="B25" s="38" t="s">
        <v>123</v>
      </c>
      <c r="F25" s="5"/>
      <c r="G25" s="5"/>
      <c r="H25" s="5"/>
      <c r="I25" s="5"/>
      <c r="J25" s="5"/>
      <c r="K25" s="5"/>
      <c r="N25" s="32" t="s">
        <v>122</v>
      </c>
      <c r="P25" s="5"/>
      <c r="Q25" s="5"/>
      <c r="R25" s="5"/>
      <c r="S25" s="5"/>
      <c r="T25" s="5"/>
      <c r="U25" s="5"/>
      <c r="V25" s="5"/>
      <c r="W25" s="5"/>
      <c r="X25" s="95" t="s">
        <v>125</v>
      </c>
      <c r="Y25" s="117" t="s">
        <v>135</v>
      </c>
      <c r="Z25" s="95" t="s">
        <v>130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2:38" ht="15.6">
      <c r="F26" s="5"/>
      <c r="G26" s="5"/>
      <c r="H26" s="5"/>
      <c r="I26" s="5"/>
      <c r="J26" s="5"/>
      <c r="K26" s="5"/>
      <c r="O26" s="5"/>
      <c r="P26" s="5"/>
      <c r="Q26" s="5"/>
      <c r="R26" s="5"/>
      <c r="S26" s="5"/>
      <c r="T26" s="5"/>
      <c r="U26" s="5"/>
      <c r="V26" s="5"/>
      <c r="W26" s="5"/>
      <c r="X26" s="95" t="s">
        <v>130</v>
      </c>
      <c r="Y26" s="117" t="s">
        <v>135</v>
      </c>
      <c r="Z26" s="96">
        <f>E9</f>
        <v>2.8661527310881501</v>
      </c>
      <c r="AA26" s="5" t="s">
        <v>240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2:38" ht="15.6"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2:38" ht="15.6"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11" t="s">
        <v>321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2:38" ht="15.6">
      <c r="F29" s="5"/>
      <c r="G29" s="5"/>
      <c r="H29" s="5"/>
      <c r="I29" s="5"/>
      <c r="J29" s="5"/>
      <c r="O29" s="5"/>
      <c r="P29" s="5"/>
      <c r="Q29" s="5"/>
      <c r="R29" s="5"/>
      <c r="S29" s="5"/>
      <c r="T29" s="5"/>
      <c r="U29" s="5"/>
      <c r="V29" s="5"/>
      <c r="W29" s="5"/>
      <c r="X29" s="95" t="s">
        <v>127</v>
      </c>
      <c r="Y29" s="117" t="s">
        <v>135</v>
      </c>
      <c r="Z29" s="95" t="s">
        <v>131</v>
      </c>
      <c r="AA29" s="117" t="s">
        <v>284</v>
      </c>
      <c r="AB29" s="95" t="s">
        <v>126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2:38" ht="15.6">
      <c r="F30" s="5"/>
      <c r="G30" s="5"/>
      <c r="H30" s="5"/>
      <c r="I30" s="5"/>
      <c r="J30" s="5"/>
      <c r="O30" s="5"/>
      <c r="P30" s="5"/>
      <c r="Q30" s="5"/>
      <c r="R30" s="5"/>
      <c r="S30" s="5"/>
      <c r="T30" s="5"/>
      <c r="U30" s="5"/>
      <c r="V30" s="5"/>
      <c r="W30" s="5"/>
      <c r="X30" s="95" t="s">
        <v>126</v>
      </c>
      <c r="Y30" s="117" t="s">
        <v>135</v>
      </c>
      <c r="Z30" s="9" t="s">
        <v>448</v>
      </c>
      <c r="AA30" s="9"/>
      <c r="AB30" s="9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2:38" ht="15.6">
      <c r="G31" s="5"/>
      <c r="H31" s="5"/>
      <c r="I31" s="5"/>
      <c r="J31" s="5"/>
      <c r="O31" s="5"/>
      <c r="P31" s="5"/>
      <c r="T31" s="5"/>
      <c r="U31" s="5"/>
      <c r="V31" s="5"/>
      <c r="W31" s="5"/>
      <c r="X31" s="95" t="s">
        <v>126</v>
      </c>
      <c r="Y31" s="117" t="s">
        <v>135</v>
      </c>
      <c r="Z31" s="96">
        <f>E10-Z22</f>
        <v>0.31921776042494265</v>
      </c>
      <c r="AA31" s="64" t="s">
        <v>250</v>
      </c>
      <c r="AB31" s="9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spans="2:38" ht="15.6">
      <c r="G32" s="5"/>
      <c r="H32" s="5"/>
      <c r="I32" s="5"/>
      <c r="J32" s="5"/>
      <c r="O32" s="5"/>
      <c r="P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6:38" ht="15.6">
      <c r="G33" s="5"/>
      <c r="H33" s="5"/>
      <c r="I33" s="5"/>
      <c r="J33" s="5"/>
      <c r="O33" s="5"/>
      <c r="P33" s="5"/>
      <c r="T33" s="5"/>
      <c r="U33" s="5"/>
      <c r="V33" s="5"/>
      <c r="W33" s="5"/>
      <c r="X33" s="11" t="s">
        <v>449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spans="6:38" ht="15.6">
      <c r="F34" s="407" t="s">
        <v>79</v>
      </c>
      <c r="G34" s="389"/>
      <c r="H34" s="33">
        <f>H39*U7+H40*U8+H41*U9</f>
        <v>1661.7622537200943</v>
      </c>
      <c r="J34" s="5"/>
      <c r="O34" s="5"/>
      <c r="P34" s="5"/>
      <c r="T34" s="5"/>
      <c r="U34" s="5"/>
      <c r="V34" s="5"/>
      <c r="W34" s="5"/>
      <c r="X34" s="9" t="s">
        <v>445</v>
      </c>
      <c r="Y34" s="117" t="s">
        <v>135</v>
      </c>
      <c r="Z34" s="9" t="s">
        <v>130</v>
      </c>
      <c r="AA34" s="117" t="s">
        <v>284</v>
      </c>
      <c r="AB34" s="9" t="s">
        <v>131</v>
      </c>
      <c r="AC34" s="117" t="s">
        <v>284</v>
      </c>
      <c r="AD34" s="9" t="s">
        <v>132</v>
      </c>
      <c r="AE34" s="5"/>
      <c r="AF34" s="5"/>
      <c r="AG34" s="5"/>
      <c r="AH34" s="5"/>
      <c r="AI34" s="5"/>
      <c r="AJ34" s="5"/>
      <c r="AK34" s="5"/>
      <c r="AL34" s="5"/>
    </row>
    <row r="35" spans="6:38" ht="15.6">
      <c r="F35" s="407" t="s">
        <v>80</v>
      </c>
      <c r="G35" s="389"/>
      <c r="H35" s="33">
        <f>SUM(H37:H42)</f>
        <v>15.879037313445869</v>
      </c>
      <c r="J35" s="5"/>
      <c r="O35" s="5"/>
      <c r="P35" s="5"/>
      <c r="T35" s="5"/>
      <c r="U35" s="5"/>
      <c r="V35" s="5"/>
      <c r="W35" s="5"/>
      <c r="X35" s="9" t="s">
        <v>132</v>
      </c>
      <c r="Y35" s="117" t="s">
        <v>135</v>
      </c>
      <c r="Z35" s="5" t="s">
        <v>450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6:38" ht="15.6">
      <c r="F36" s="401" t="s">
        <v>66</v>
      </c>
      <c r="G36" s="391"/>
      <c r="H36" s="389"/>
      <c r="J36" s="5"/>
      <c r="O36" s="5"/>
      <c r="P36" s="5"/>
      <c r="T36" s="5"/>
      <c r="U36" s="5"/>
      <c r="V36" s="5"/>
      <c r="W36" s="5"/>
      <c r="X36" s="9" t="s">
        <v>132</v>
      </c>
      <c r="Y36" s="117" t="s">
        <v>135</v>
      </c>
      <c r="Z36" s="96">
        <f>Z16-Z26-Z22</f>
        <v>2.6915103286179036</v>
      </c>
      <c r="AA36" s="5" t="s">
        <v>252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6:38" ht="15.6">
      <c r="F37" s="34" t="s">
        <v>67</v>
      </c>
      <c r="G37" s="35"/>
      <c r="H37" s="35"/>
      <c r="J37" s="5"/>
      <c r="O37" s="5"/>
      <c r="P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6:38" ht="15.6">
      <c r="F38" s="34" t="s">
        <v>68</v>
      </c>
      <c r="G38" s="35"/>
      <c r="H38" s="35"/>
      <c r="J38" s="5"/>
      <c r="O38" s="5"/>
      <c r="P38" s="5"/>
      <c r="T38" s="5"/>
      <c r="U38" s="5"/>
      <c r="V38" s="5"/>
      <c r="W38" s="5"/>
      <c r="X38" s="11" t="s">
        <v>323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6:38" ht="15.6">
      <c r="F39" s="34" t="s">
        <v>69</v>
      </c>
      <c r="G39" s="40" t="s">
        <v>130</v>
      </c>
      <c r="H39" s="41">
        <f>Z26</f>
        <v>2.8661527310881501</v>
      </c>
      <c r="J39" s="5"/>
      <c r="O39" s="5"/>
      <c r="P39" s="5"/>
      <c r="T39" s="5"/>
      <c r="U39" s="5"/>
      <c r="V39" s="5"/>
      <c r="W39" s="5"/>
      <c r="X39" s="95" t="s">
        <v>129</v>
      </c>
      <c r="Y39" s="117" t="s">
        <v>135</v>
      </c>
      <c r="Z39" s="95" t="s">
        <v>132</v>
      </c>
      <c r="AA39" s="117" t="s">
        <v>284</v>
      </c>
      <c r="AB39" s="95" t="s">
        <v>128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6:38" ht="15.6">
      <c r="F40" s="34" t="s">
        <v>70</v>
      </c>
      <c r="G40" s="40" t="s">
        <v>131</v>
      </c>
      <c r="H40" s="41">
        <f>Z22</f>
        <v>10.321374253739815</v>
      </c>
      <c r="J40" s="5"/>
      <c r="O40" s="5"/>
      <c r="P40" s="5"/>
      <c r="T40" s="5"/>
      <c r="U40" s="5"/>
      <c r="V40" s="5"/>
      <c r="W40" s="5"/>
      <c r="X40" s="95" t="s">
        <v>128</v>
      </c>
      <c r="Y40" s="117" t="s">
        <v>135</v>
      </c>
      <c r="Z40" s="9" t="s">
        <v>451</v>
      </c>
      <c r="AA40" s="9"/>
      <c r="AB40" s="9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6:38" ht="15.6">
      <c r="F41" s="34" t="s">
        <v>71</v>
      </c>
      <c r="G41" s="40" t="s">
        <v>132</v>
      </c>
      <c r="H41" s="41">
        <f>Z36</f>
        <v>2.6915103286179036</v>
      </c>
      <c r="J41" s="5"/>
      <c r="O41" s="5"/>
      <c r="P41" s="5"/>
      <c r="T41" s="5"/>
      <c r="U41" s="5"/>
      <c r="V41" s="5"/>
      <c r="W41" s="5"/>
      <c r="X41" s="95" t="s">
        <v>128</v>
      </c>
      <c r="Y41" s="117" t="s">
        <v>135</v>
      </c>
      <c r="Z41" s="96">
        <f>E11-Z36</f>
        <v>15.221944240683035</v>
      </c>
      <c r="AA41" s="64" t="s">
        <v>252</v>
      </c>
      <c r="AB41" s="9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6:38" ht="15.6">
      <c r="F42" s="34" t="s">
        <v>72</v>
      </c>
      <c r="G42" s="35"/>
      <c r="H42" s="35"/>
      <c r="J42" s="5"/>
      <c r="O42" s="5"/>
      <c r="P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6:38" ht="15.6">
      <c r="F43" s="404" t="s">
        <v>85</v>
      </c>
      <c r="G43" s="405"/>
      <c r="H43" s="398"/>
      <c r="J43" s="5"/>
      <c r="O43" s="5"/>
      <c r="P43" s="5"/>
      <c r="T43" s="5"/>
      <c r="U43" s="5"/>
      <c r="V43" s="5"/>
      <c r="W43" s="5"/>
      <c r="X43" s="11" t="s">
        <v>256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6:38" ht="15.6">
      <c r="F44" s="34" t="s">
        <v>67</v>
      </c>
      <c r="G44" s="35"/>
      <c r="H44" s="55"/>
      <c r="J44" s="5"/>
      <c r="O44" s="5"/>
      <c r="P44" s="5"/>
      <c r="T44" s="5"/>
      <c r="U44" s="5"/>
      <c r="V44" s="5"/>
      <c r="W44" s="5"/>
      <c r="X44" s="107" t="s">
        <v>257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6:38" ht="15.6">
      <c r="F45" s="34" t="s">
        <v>68</v>
      </c>
      <c r="G45" s="35"/>
      <c r="H45" s="35"/>
      <c r="J45" s="5"/>
      <c r="O45" s="5"/>
      <c r="P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6:38" ht="15.6">
      <c r="F46" s="34" t="s">
        <v>69</v>
      </c>
      <c r="G46" s="35"/>
      <c r="H46" s="41">
        <f t="shared" ref="H46:H48" si="1">H39/$H$35</f>
        <v>0.18049914957131452</v>
      </c>
      <c r="J46" s="5"/>
      <c r="O46" s="5"/>
      <c r="P46" s="5"/>
      <c r="T46" s="5"/>
      <c r="U46" s="5"/>
      <c r="V46" s="5"/>
      <c r="W46" s="5"/>
      <c r="X46" s="108" t="s">
        <v>258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6:38" ht="15.6">
      <c r="F47" s="34" t="s">
        <v>70</v>
      </c>
      <c r="G47" s="35"/>
      <c r="H47" s="41">
        <f t="shared" si="1"/>
        <v>0.65</v>
      </c>
      <c r="J47" s="5"/>
      <c r="O47" s="5"/>
      <c r="P47" s="5"/>
      <c r="T47" s="5"/>
      <c r="U47" s="5"/>
      <c r="V47" s="5"/>
      <c r="W47" s="5"/>
      <c r="X47" s="109">
        <v>1</v>
      </c>
      <c r="Y47" s="5" t="s">
        <v>259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6:38" ht="15.6">
      <c r="F48" s="34" t="s">
        <v>71</v>
      </c>
      <c r="G48" s="35"/>
      <c r="H48" s="41">
        <f t="shared" si="1"/>
        <v>0.16950085042868546</v>
      </c>
      <c r="J48" s="5"/>
      <c r="O48" s="5"/>
      <c r="P48" s="5"/>
      <c r="T48" s="5"/>
      <c r="U48" s="5"/>
      <c r="V48" s="5"/>
      <c r="W48" s="5"/>
      <c r="X48" s="109">
        <v>2</v>
      </c>
      <c r="Y48" s="5" t="s">
        <v>260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6:38" ht="15.6">
      <c r="F49" s="34" t="s">
        <v>72</v>
      </c>
      <c r="G49" s="35"/>
      <c r="H49" s="35"/>
      <c r="J49" s="5"/>
      <c r="N49" s="5"/>
      <c r="O49" s="5"/>
      <c r="P49" s="5"/>
      <c r="T49" s="5"/>
      <c r="U49" s="5"/>
      <c r="V49" s="5"/>
      <c r="W49" s="5"/>
      <c r="X49" s="109">
        <v>3</v>
      </c>
      <c r="Y49" s="5" t="s">
        <v>261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6:38" ht="15.6">
      <c r="F50" s="406" t="s">
        <v>99</v>
      </c>
      <c r="G50" s="389"/>
      <c r="H50" s="50">
        <v>0</v>
      </c>
      <c r="J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6:38" ht="15.6">
      <c r="F51" s="397" t="s">
        <v>92</v>
      </c>
      <c r="G51" s="398"/>
      <c r="H51" s="40">
        <f>SUM(H44:H49)</f>
        <v>1</v>
      </c>
      <c r="J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 t="s">
        <v>262</v>
      </c>
      <c r="Y51" s="463" t="s">
        <v>452</v>
      </c>
      <c r="Z51" s="445"/>
      <c r="AA51" s="64">
        <v>25</v>
      </c>
      <c r="AB51" s="5" t="s">
        <v>326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6:38" ht="15.6">
      <c r="F52" s="397" t="s">
        <v>75</v>
      </c>
      <c r="G52" s="398"/>
      <c r="H52" s="40">
        <v>269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458" t="s">
        <v>152</v>
      </c>
      <c r="Y52" s="456" t="s">
        <v>415</v>
      </c>
      <c r="Z52" s="464"/>
      <c r="AA52" s="456" t="s">
        <v>453</v>
      </c>
      <c r="AB52" s="464"/>
      <c r="AC52" s="456" t="s">
        <v>454</v>
      </c>
      <c r="AD52" s="464"/>
      <c r="AE52" s="5"/>
      <c r="AF52" s="5"/>
      <c r="AG52" s="5"/>
      <c r="AH52" s="5"/>
      <c r="AI52" s="5"/>
      <c r="AJ52" s="5"/>
      <c r="AK52" s="5"/>
      <c r="AL52" s="5"/>
    </row>
    <row r="53" spans="6:38" ht="15.6">
      <c r="F53" s="396" t="s">
        <v>76</v>
      </c>
      <c r="G53" s="389"/>
      <c r="H53" s="45">
        <v>1</v>
      </c>
      <c r="J53" s="38" t="s">
        <v>124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459"/>
      <c r="Y53" s="221" t="s">
        <v>267</v>
      </c>
      <c r="Z53" s="221" t="s">
        <v>268</v>
      </c>
      <c r="AA53" s="221" t="s">
        <v>328</v>
      </c>
      <c r="AB53" s="221" t="s">
        <v>329</v>
      </c>
      <c r="AC53" s="221" t="s">
        <v>328</v>
      </c>
      <c r="AD53" s="221" t="s">
        <v>329</v>
      </c>
      <c r="AE53" s="5"/>
      <c r="AF53" s="5"/>
      <c r="AG53" s="5"/>
      <c r="AH53" s="5"/>
      <c r="AI53" s="5"/>
      <c r="AJ53" s="5"/>
      <c r="AK53" s="5"/>
      <c r="AL53" s="5"/>
    </row>
    <row r="54" spans="6:38" ht="15.6">
      <c r="F54" s="400" t="s">
        <v>548</v>
      </c>
      <c r="G54" s="400"/>
      <c r="H54" s="216">
        <f>AA64</f>
        <v>-294328.4782612953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20" t="s">
        <v>271</v>
      </c>
      <c r="Y54" s="20" t="s">
        <v>193</v>
      </c>
      <c r="Z54" s="20" t="s">
        <v>193</v>
      </c>
      <c r="AA54" s="20" t="s">
        <v>193</v>
      </c>
      <c r="AB54" s="20" t="s">
        <v>193</v>
      </c>
      <c r="AC54" s="20" t="s">
        <v>193</v>
      </c>
      <c r="AD54" s="20" t="s">
        <v>193</v>
      </c>
      <c r="AE54" s="5"/>
      <c r="AF54" s="5"/>
      <c r="AG54" s="5"/>
      <c r="AH54" s="5"/>
      <c r="AI54" s="5"/>
      <c r="AJ54" s="5"/>
      <c r="AK54" s="5"/>
      <c r="AL54" s="5"/>
    </row>
    <row r="55" spans="6:38" ht="15.6"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20" t="s">
        <v>331</v>
      </c>
      <c r="Y55" s="20" t="s">
        <v>193</v>
      </c>
      <c r="Z55" s="20" t="s">
        <v>193</v>
      </c>
      <c r="AA55" s="20" t="s">
        <v>193</v>
      </c>
      <c r="AB55" s="20" t="s">
        <v>193</v>
      </c>
      <c r="AC55" s="20" t="s">
        <v>193</v>
      </c>
      <c r="AD55" s="20" t="s">
        <v>193</v>
      </c>
      <c r="AE55" s="5"/>
      <c r="AF55" s="5"/>
      <c r="AG55" s="5"/>
      <c r="AH55" s="5"/>
      <c r="AI55" s="5"/>
      <c r="AJ55" s="5"/>
      <c r="AK55" s="5"/>
      <c r="AL55" s="5"/>
    </row>
    <row r="56" spans="6:38" ht="15.6"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20" t="s">
        <v>273</v>
      </c>
      <c r="Y56" s="20" t="s">
        <v>193</v>
      </c>
      <c r="Z56" s="20" t="s">
        <v>193</v>
      </c>
      <c r="AA56" s="20" t="s">
        <v>193</v>
      </c>
      <c r="AB56" s="20" t="s">
        <v>193</v>
      </c>
      <c r="AC56" s="20" t="s">
        <v>193</v>
      </c>
      <c r="AD56" s="20" t="s">
        <v>193</v>
      </c>
      <c r="AE56" s="5"/>
      <c r="AF56" s="5"/>
      <c r="AG56" s="5"/>
      <c r="AH56" s="5"/>
      <c r="AI56" s="5"/>
      <c r="AJ56" s="5"/>
      <c r="AK56" s="5"/>
      <c r="AL56" s="5"/>
    </row>
    <row r="57" spans="6:38" ht="15.6"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20" t="s">
        <v>333</v>
      </c>
      <c r="Y57" s="20" t="s">
        <v>193</v>
      </c>
      <c r="Z57" s="20" t="s">
        <v>193</v>
      </c>
      <c r="AA57" s="20" t="s">
        <v>193</v>
      </c>
      <c r="AB57" s="20" t="s">
        <v>193</v>
      </c>
      <c r="AC57" s="20" t="s">
        <v>193</v>
      </c>
      <c r="AD57" s="20" t="s">
        <v>193</v>
      </c>
      <c r="AE57" s="5"/>
      <c r="AF57" s="5"/>
      <c r="AG57" s="5"/>
      <c r="AH57" s="5"/>
      <c r="AI57" s="5"/>
      <c r="AJ57" s="5"/>
      <c r="AK57" s="5"/>
      <c r="AL57" s="5"/>
    </row>
    <row r="58" spans="6:38" ht="15.6"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20" t="s">
        <v>275</v>
      </c>
      <c r="Y58" s="20" t="s">
        <v>193</v>
      </c>
      <c r="Z58" s="20" t="s">
        <v>193</v>
      </c>
      <c r="AA58" s="20" t="s">
        <v>193</v>
      </c>
      <c r="AB58" s="20" t="s">
        <v>193</v>
      </c>
      <c r="AC58" s="20" t="s">
        <v>193</v>
      </c>
      <c r="AD58" s="20" t="s">
        <v>193</v>
      </c>
      <c r="AE58" s="5"/>
      <c r="AF58" s="5"/>
      <c r="AG58" s="5"/>
      <c r="AH58" s="5"/>
      <c r="AI58" s="5"/>
      <c r="AJ58" s="5"/>
      <c r="AK58" s="5"/>
      <c r="AL58" s="5"/>
    </row>
    <row r="59" spans="6:38" ht="15.6">
      <c r="F59" s="5"/>
      <c r="G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20" t="s">
        <v>416</v>
      </c>
      <c r="Y59" s="20" t="s">
        <v>193</v>
      </c>
      <c r="Z59" s="20" t="s">
        <v>193</v>
      </c>
      <c r="AA59" s="20" t="s">
        <v>193</v>
      </c>
      <c r="AB59" s="20" t="s">
        <v>193</v>
      </c>
      <c r="AC59" s="20" t="s">
        <v>193</v>
      </c>
      <c r="AD59" s="20" t="s">
        <v>193</v>
      </c>
      <c r="AE59" s="5"/>
      <c r="AF59" s="5"/>
      <c r="AG59" s="5"/>
      <c r="AH59" s="5"/>
      <c r="AI59" s="5"/>
      <c r="AJ59" s="5"/>
      <c r="AK59" s="5"/>
      <c r="AL59" s="5"/>
    </row>
    <row r="60" spans="6:38" ht="15.6"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20" t="s">
        <v>417</v>
      </c>
      <c r="Y60" s="33">
        <f t="shared" ref="Y60:Y62" si="2">E9</f>
        <v>2.8661527310881501</v>
      </c>
      <c r="Z60" s="110">
        <f>Z86</f>
        <v>-18369.038836489006</v>
      </c>
      <c r="AA60" s="33">
        <f t="shared" ref="AA60:AA62" si="3">H39</f>
        <v>2.8661527310881501</v>
      </c>
      <c r="AB60" s="110">
        <f>Z149</f>
        <v>-13507.544349395848</v>
      </c>
      <c r="AC60" s="20" t="s">
        <v>193</v>
      </c>
      <c r="AD60" s="20" t="s">
        <v>193</v>
      </c>
      <c r="AE60" s="5"/>
      <c r="AF60" s="5"/>
      <c r="AG60" s="5"/>
      <c r="AH60" s="5"/>
      <c r="AI60" s="5"/>
      <c r="AJ60" s="5"/>
      <c r="AK60" s="5"/>
      <c r="AL60" s="5"/>
    </row>
    <row r="61" spans="6:38" ht="15.6"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20" t="s">
        <v>418</v>
      </c>
      <c r="Y61" s="33">
        <f t="shared" si="2"/>
        <v>10.640592014164758</v>
      </c>
      <c r="Z61" s="110">
        <f>Z107</f>
        <v>-25727.644475804656</v>
      </c>
      <c r="AA61" s="33">
        <f t="shared" si="3"/>
        <v>10.321374253739815</v>
      </c>
      <c r="AB61" s="110">
        <f>Z170</f>
        <v>-20259.889647114687</v>
      </c>
      <c r="AC61" s="33">
        <f t="shared" ref="AC61:AC62" si="4">N10</f>
        <v>0.31921776042494265</v>
      </c>
      <c r="AD61" s="110">
        <f>Z212</f>
        <v>-114.0040483289049</v>
      </c>
      <c r="AE61" s="5"/>
      <c r="AF61" s="5"/>
      <c r="AG61" s="5"/>
      <c r="AH61" s="5"/>
      <c r="AI61" s="5"/>
      <c r="AJ61" s="5"/>
      <c r="AK61" s="5"/>
      <c r="AL61" s="5"/>
    </row>
    <row r="62" spans="6:38" ht="15.6"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20" t="s">
        <v>337</v>
      </c>
      <c r="Y62" s="33">
        <f t="shared" si="2"/>
        <v>17.913454569300939</v>
      </c>
      <c r="Z62" s="110">
        <f>Z128</f>
        <v>-25623.270228493478</v>
      </c>
      <c r="AA62" s="33">
        <f t="shared" si="3"/>
        <v>2.6915103286179036</v>
      </c>
      <c r="AB62" s="110">
        <f>Z191</f>
        <v>-17277.990447289325</v>
      </c>
      <c r="AC62" s="33">
        <f t="shared" si="4"/>
        <v>15.221944240683035</v>
      </c>
      <c r="AD62" s="110">
        <f>Z233</f>
        <v>12993.497164123444</v>
      </c>
      <c r="AE62" s="5"/>
      <c r="AF62" s="5"/>
      <c r="AG62" s="5"/>
      <c r="AH62" s="5"/>
      <c r="AI62" s="5"/>
      <c r="AJ62" s="5"/>
      <c r="AK62" s="5"/>
      <c r="AL62" s="5"/>
    </row>
    <row r="63" spans="6:38" ht="15.6"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20" t="s">
        <v>276</v>
      </c>
      <c r="Y63" s="20" t="s">
        <v>193</v>
      </c>
      <c r="Z63" s="20" t="s">
        <v>193</v>
      </c>
      <c r="AA63" s="20" t="s">
        <v>193</v>
      </c>
      <c r="AB63" s="20" t="s">
        <v>193</v>
      </c>
      <c r="AC63" s="20" t="s">
        <v>193</v>
      </c>
      <c r="AD63" s="20" t="s">
        <v>193</v>
      </c>
      <c r="AE63" s="5"/>
      <c r="AF63" s="5"/>
      <c r="AG63" s="5"/>
      <c r="AH63" s="5"/>
      <c r="AI63" s="5"/>
      <c r="AJ63" s="5"/>
      <c r="AK63" s="5"/>
      <c r="AL63" s="5"/>
    </row>
    <row r="64" spans="6:38" ht="15.6"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222" t="s">
        <v>469</v>
      </c>
      <c r="Y64" s="441">
        <f>Y60*Z60+Y61*Z61+Y62*Z62</f>
        <v>-785407.12633622356</v>
      </c>
      <c r="Z64" s="442"/>
      <c r="AA64" s="469">
        <f>AA60*AB60+AA61*AB61+AA62*AB62</f>
        <v>-294328.4782612953</v>
      </c>
      <c r="AB64" s="442"/>
      <c r="AC64" s="469">
        <f>AC61*AD61+AC62*AD62</f>
        <v>197749.89720677325</v>
      </c>
      <c r="AD64" s="442"/>
      <c r="AE64" s="5"/>
      <c r="AF64" s="5"/>
      <c r="AG64" s="5"/>
      <c r="AH64" s="5"/>
      <c r="AI64" s="5"/>
      <c r="AJ64" s="5"/>
      <c r="AK64" s="5"/>
      <c r="AL64" s="5"/>
    </row>
    <row r="65" spans="6:38" ht="15.6"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spans="6:38" ht="15.6"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9"/>
      <c r="AI66" s="5"/>
      <c r="AJ66" s="5"/>
      <c r="AK66" s="5"/>
      <c r="AL66" s="5"/>
    </row>
    <row r="67" spans="6:38" ht="15.6"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1"/>
      <c r="Y67" s="2"/>
      <c r="Z67" s="91" t="s">
        <v>278</v>
      </c>
      <c r="AA67" s="2"/>
      <c r="AB67" s="2"/>
      <c r="AC67" s="2"/>
      <c r="AD67" s="3"/>
      <c r="AE67" s="5"/>
      <c r="AF67" s="5"/>
      <c r="AG67" s="115"/>
      <c r="AH67" s="9"/>
      <c r="AI67" s="115"/>
      <c r="AJ67" s="5"/>
      <c r="AK67" s="5"/>
      <c r="AL67" s="5"/>
    </row>
    <row r="68" spans="6:38" ht="15.6"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116" t="s">
        <v>346</v>
      </c>
      <c r="Y68" s="5"/>
      <c r="Z68" s="5"/>
      <c r="AA68" s="5"/>
      <c r="AB68" s="109" t="s">
        <v>429</v>
      </c>
      <c r="AC68" s="5"/>
      <c r="AD68" s="6"/>
      <c r="AE68" s="5"/>
      <c r="AF68" s="5"/>
      <c r="AG68" s="5"/>
      <c r="AH68" s="9"/>
      <c r="AI68" s="5"/>
      <c r="AJ68" s="5"/>
      <c r="AK68" s="5"/>
      <c r="AL68" s="5"/>
    </row>
    <row r="69" spans="6:38" ht="15.6"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156" t="s">
        <v>419</v>
      </c>
      <c r="Y69" s="5"/>
      <c r="Z69" s="5"/>
      <c r="AA69" s="5"/>
      <c r="AB69" s="64" t="s">
        <v>420</v>
      </c>
      <c r="AC69" s="5"/>
      <c r="AD69" s="6"/>
      <c r="AE69" s="5"/>
      <c r="AF69" s="5"/>
      <c r="AG69" s="9"/>
      <c r="AH69" s="117"/>
      <c r="AI69" s="5"/>
      <c r="AJ69" s="5"/>
      <c r="AK69" s="5"/>
      <c r="AL69" s="5"/>
    </row>
    <row r="70" spans="6:38" ht="15.6"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172"/>
      <c r="Y70" s="5"/>
      <c r="Z70" s="5"/>
      <c r="AA70" s="5"/>
      <c r="AB70" s="148"/>
      <c r="AC70" s="5"/>
      <c r="AD70" s="6"/>
      <c r="AE70" s="5"/>
      <c r="AF70" s="5"/>
      <c r="AG70" s="9"/>
      <c r="AH70" s="117"/>
      <c r="AI70" s="129"/>
      <c r="AJ70" s="5"/>
      <c r="AK70" s="5"/>
      <c r="AL70" s="5"/>
    </row>
    <row r="71" spans="6:38" ht="15.6"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4"/>
      <c r="Y71" s="9" t="s">
        <v>350</v>
      </c>
      <c r="Z71" s="9" t="s">
        <v>421</v>
      </c>
      <c r="AA71" s="9" t="s">
        <v>351</v>
      </c>
      <c r="AB71" s="5"/>
      <c r="AC71" s="5"/>
      <c r="AD71" s="6"/>
      <c r="AE71" s="5"/>
      <c r="AF71" s="5"/>
      <c r="AG71" s="5"/>
      <c r="AH71" s="9"/>
      <c r="AI71" s="5"/>
      <c r="AJ71" s="5"/>
      <c r="AK71" s="5"/>
      <c r="AL71" s="5"/>
    </row>
    <row r="72" spans="6:38" ht="15.6"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4"/>
      <c r="Y72" s="5"/>
      <c r="Z72" s="148"/>
      <c r="AA72" s="5"/>
      <c r="AB72" s="5"/>
      <c r="AC72" s="5"/>
      <c r="AD72" s="6"/>
      <c r="AE72" s="5"/>
      <c r="AF72" s="5"/>
      <c r="AG72" s="5"/>
      <c r="AH72" s="9"/>
      <c r="AI72" s="5"/>
      <c r="AJ72" s="5"/>
      <c r="AK72" s="5"/>
      <c r="AL72" s="5"/>
    </row>
    <row r="73" spans="6:38" ht="15.6"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4" t="s">
        <v>578</v>
      </c>
      <c r="Y73" s="9"/>
      <c r="Z73" s="5"/>
      <c r="AA73" s="148"/>
      <c r="AB73" s="5"/>
      <c r="AC73" s="5"/>
      <c r="AD73" s="6"/>
      <c r="AE73" s="5"/>
      <c r="AF73" s="5"/>
      <c r="AG73" s="5"/>
      <c r="AH73" s="9"/>
      <c r="AI73" s="5"/>
      <c r="AJ73" s="5"/>
      <c r="AK73" s="5"/>
      <c r="AL73" s="5"/>
    </row>
    <row r="74" spans="6:38" ht="48.6" customHeight="1"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88" t="s">
        <v>419</v>
      </c>
      <c r="Y74" s="94" t="s">
        <v>135</v>
      </c>
      <c r="Z74" s="377"/>
      <c r="AA74" s="377"/>
      <c r="AB74" s="377"/>
      <c r="AC74" s="377"/>
      <c r="AD74" s="465"/>
      <c r="AE74" s="5"/>
      <c r="AF74" s="5"/>
      <c r="AG74" s="115"/>
      <c r="AH74" s="9"/>
      <c r="AI74" s="115"/>
      <c r="AJ74" s="5"/>
      <c r="AK74" s="5"/>
      <c r="AL74" s="5"/>
    </row>
    <row r="75" spans="6:38" ht="15.6"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88" t="s">
        <v>419</v>
      </c>
      <c r="Y75" s="94" t="s">
        <v>135</v>
      </c>
      <c r="Z75" s="96">
        <f>(Database!$C$33*((Database!$H$12)-($AA$51+273.15)))+(((Database!$D$33)*((Database!$H$12)^2-($AA$51+273.15)^2))/2)+((Database!$E$33*((Database!$H$12)^3-($AA$51+273.15)^3))/3)+((Database!$F$33*((Database!$H$12)^4-($AA$51+273.15)^4))/4)+((Database!$G$33)*((Database!$H$12)^(5)-($AA$51+273.15)^5))/5</f>
        <v>14587.315366913117</v>
      </c>
      <c r="AA75" s="5" t="s">
        <v>279</v>
      </c>
      <c r="AB75" s="5"/>
      <c r="AC75" s="5"/>
      <c r="AD75" s="6"/>
      <c r="AE75" s="5"/>
      <c r="AF75" s="5"/>
      <c r="AG75" s="5"/>
      <c r="AH75" s="9"/>
      <c r="AI75" s="5"/>
      <c r="AJ75" s="5"/>
      <c r="AK75" s="5"/>
      <c r="AL75" s="5"/>
    </row>
    <row r="76" spans="6:38" ht="15.6"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181"/>
      <c r="Y76" s="168"/>
      <c r="Z76" s="148"/>
      <c r="AA76" s="5"/>
      <c r="AB76" s="5"/>
      <c r="AC76" s="5"/>
      <c r="AD76" s="6"/>
      <c r="AE76" s="5"/>
      <c r="AF76" s="5"/>
      <c r="AG76" s="9"/>
      <c r="AH76" s="117"/>
      <c r="AI76" s="5"/>
      <c r="AJ76" s="5"/>
      <c r="AK76" s="5"/>
      <c r="AL76" s="5"/>
    </row>
    <row r="77" spans="6:38" ht="15.6"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181" t="s">
        <v>353</v>
      </c>
      <c r="Y77" s="21"/>
      <c r="Z77" s="5"/>
      <c r="AA77" s="5"/>
      <c r="AB77" s="5"/>
      <c r="AC77" s="5"/>
      <c r="AD77" s="6"/>
      <c r="AE77" s="5"/>
      <c r="AF77" s="5"/>
      <c r="AG77" s="9"/>
      <c r="AH77" s="117"/>
      <c r="AI77" s="129"/>
      <c r="AJ77" s="5"/>
      <c r="AK77" s="5"/>
      <c r="AL77" s="5"/>
    </row>
    <row r="78" spans="6:38" ht="15.6"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88" t="s">
        <v>421</v>
      </c>
      <c r="Y78" s="94" t="s">
        <v>135</v>
      </c>
      <c r="Z78" s="94" t="s">
        <v>552</v>
      </c>
      <c r="AA78" s="5"/>
      <c r="AB78" s="5"/>
      <c r="AC78" s="5"/>
      <c r="AD78" s="6"/>
      <c r="AE78" s="5"/>
      <c r="AF78" s="5"/>
      <c r="AG78" s="5"/>
      <c r="AH78" s="5"/>
      <c r="AI78" s="5"/>
      <c r="AJ78" s="5"/>
      <c r="AK78" s="5"/>
      <c r="AL78" s="5"/>
    </row>
    <row r="79" spans="6:38" ht="15.6"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88" t="s">
        <v>421</v>
      </c>
      <c r="Y79" s="94" t="s">
        <v>135</v>
      </c>
      <c r="Z79" s="9">
        <f>Database!$I$22*1000*-1</f>
        <v>-51530</v>
      </c>
      <c r="AA79" s="5" t="s">
        <v>279</v>
      </c>
      <c r="AB79" s="5"/>
      <c r="AC79" s="5"/>
      <c r="AD79" s="6"/>
      <c r="AE79" s="5"/>
      <c r="AF79" s="5"/>
      <c r="AG79" s="5"/>
      <c r="AH79" s="9"/>
      <c r="AI79" s="5"/>
      <c r="AJ79" s="5"/>
      <c r="AK79" s="5"/>
      <c r="AL79" s="5"/>
    </row>
    <row r="80" spans="6:38" ht="15.6"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181"/>
      <c r="Y80" s="21"/>
      <c r="Z80" s="5"/>
      <c r="AA80" s="5"/>
      <c r="AB80" s="5"/>
      <c r="AC80" s="5"/>
      <c r="AD80" s="6"/>
      <c r="AE80" s="5"/>
      <c r="AF80" s="5"/>
      <c r="AG80" s="115"/>
      <c r="AH80" s="5"/>
      <c r="AI80" s="115"/>
      <c r="AJ80" s="5"/>
      <c r="AK80" s="5"/>
      <c r="AL80" s="5"/>
    </row>
    <row r="81" spans="6:38" ht="15.6"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181" t="s">
        <v>586</v>
      </c>
      <c r="Y81" s="153"/>
      <c r="Z81" s="5"/>
      <c r="AA81" s="5"/>
      <c r="AB81" s="5"/>
      <c r="AC81" s="5"/>
      <c r="AD81" s="6"/>
      <c r="AE81" s="5"/>
      <c r="AF81" s="5"/>
      <c r="AG81" s="5"/>
      <c r="AH81" s="5"/>
      <c r="AI81" s="5"/>
      <c r="AJ81" s="5"/>
      <c r="AK81" s="5"/>
      <c r="AL81" s="5"/>
    </row>
    <row r="82" spans="6:38" ht="49.8" customHeight="1"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88" t="s">
        <v>420</v>
      </c>
      <c r="Y82" s="94" t="s">
        <v>135</v>
      </c>
      <c r="Z82" s="377"/>
      <c r="AA82" s="377"/>
      <c r="AB82" s="377"/>
      <c r="AC82" s="377"/>
      <c r="AD82" s="465"/>
      <c r="AE82" s="5"/>
      <c r="AF82" s="5"/>
      <c r="AG82" s="9"/>
      <c r="AH82" s="117"/>
      <c r="AI82" s="5"/>
      <c r="AJ82" s="5"/>
      <c r="AK82" s="5"/>
      <c r="AL82" s="5"/>
    </row>
    <row r="83" spans="6:38" ht="15.6"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88" t="s">
        <v>420</v>
      </c>
      <c r="Y83" s="94" t="s">
        <v>135</v>
      </c>
      <c r="Z83" s="129">
        <f>Database!$C$45*(($E$22+273.15)-(Database!$H$12))+((Database!$D$45*(($E$22+273.15)^2-(Database!$H$12)^2))/2)+((Database!$E$45*(($E$22+273.15)^3-(Database!$H$12)^3))/3)+((Database!$F$45*(($E$22+273.15)^4-(Database!$H$12)^4))/4)</f>
        <v>18573.645796597881</v>
      </c>
      <c r="AA83" s="5" t="s">
        <v>279</v>
      </c>
      <c r="AB83" s="5"/>
      <c r="AC83" s="5"/>
      <c r="AD83" s="6"/>
      <c r="AE83" s="5"/>
      <c r="AF83" s="5"/>
      <c r="AG83" s="9"/>
      <c r="AH83" s="117"/>
      <c r="AI83" s="129"/>
      <c r="AJ83" s="5"/>
      <c r="AK83" s="5"/>
      <c r="AL83" s="5"/>
    </row>
    <row r="84" spans="6:38" ht="15.6"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181"/>
      <c r="Y84" s="153"/>
      <c r="Z84" s="5"/>
      <c r="AA84" s="5"/>
      <c r="AB84" s="5"/>
      <c r="AC84" s="5"/>
      <c r="AD84" s="6"/>
      <c r="AE84" s="5"/>
      <c r="AF84" s="5"/>
      <c r="AG84" s="5"/>
      <c r="AH84" s="5"/>
      <c r="AI84" s="5"/>
      <c r="AJ84" s="5"/>
      <c r="AK84" s="5"/>
      <c r="AL84" s="5"/>
    </row>
    <row r="85" spans="6:38" ht="15.6"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88" t="s">
        <v>278</v>
      </c>
      <c r="Y85" s="94" t="s">
        <v>135</v>
      </c>
      <c r="Z85" s="9" t="s">
        <v>419</v>
      </c>
      <c r="AA85" s="117" t="s">
        <v>284</v>
      </c>
      <c r="AB85" s="9" t="s">
        <v>421</v>
      </c>
      <c r="AC85" s="117" t="s">
        <v>284</v>
      </c>
      <c r="AD85" s="121" t="s">
        <v>420</v>
      </c>
      <c r="AE85" s="5"/>
      <c r="AF85" s="5"/>
      <c r="AG85" s="5"/>
      <c r="AH85" s="9"/>
      <c r="AI85" s="5"/>
      <c r="AJ85" s="5"/>
      <c r="AK85" s="5"/>
      <c r="AL85" s="5"/>
    </row>
    <row r="86" spans="6:38" ht="15.6"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135" t="s">
        <v>278</v>
      </c>
      <c r="Y86" s="182" t="s">
        <v>135</v>
      </c>
      <c r="Z86" s="119">
        <f>Z83+Z79+Z75</f>
        <v>-18369.038836489006</v>
      </c>
      <c r="AA86" s="11" t="s">
        <v>279</v>
      </c>
      <c r="AB86" s="11"/>
      <c r="AC86" s="11"/>
      <c r="AD86" s="12"/>
      <c r="AE86" s="5"/>
      <c r="AF86" s="5"/>
      <c r="AG86" s="115"/>
      <c r="AH86" s="9"/>
      <c r="AI86" s="115"/>
      <c r="AJ86" s="5"/>
      <c r="AK86" s="5"/>
      <c r="AL86" s="5"/>
    </row>
    <row r="87" spans="6:38" ht="15.6"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148"/>
      <c r="Y87" s="148"/>
      <c r="Z87" s="148"/>
      <c r="AA87" s="148"/>
      <c r="AB87" s="148"/>
      <c r="AC87" s="148"/>
      <c r="AD87" s="148"/>
      <c r="AE87" s="5"/>
      <c r="AF87" s="5"/>
      <c r="AG87" s="5"/>
      <c r="AH87" s="9"/>
      <c r="AI87" s="5"/>
      <c r="AJ87" s="5"/>
      <c r="AK87" s="5"/>
      <c r="AL87" s="5"/>
    </row>
    <row r="88" spans="6:38" ht="15.6"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1"/>
      <c r="Y88" s="2"/>
      <c r="Z88" s="91" t="s">
        <v>280</v>
      </c>
      <c r="AA88" s="2"/>
      <c r="AB88" s="2"/>
      <c r="AC88" s="2"/>
      <c r="AD88" s="3"/>
      <c r="AE88" s="5"/>
      <c r="AF88" s="5"/>
      <c r="AG88" s="9"/>
      <c r="AH88" s="117"/>
      <c r="AI88" s="5"/>
      <c r="AJ88" s="5"/>
      <c r="AK88" s="5"/>
      <c r="AL88" s="5"/>
    </row>
    <row r="89" spans="6:38" ht="15.6"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116" t="s">
        <v>355</v>
      </c>
      <c r="Y89" s="5"/>
      <c r="Z89" s="5"/>
      <c r="AA89" s="5"/>
      <c r="AB89" s="109" t="s">
        <v>431</v>
      </c>
      <c r="AC89" s="5"/>
      <c r="AD89" s="6"/>
      <c r="AE89" s="5"/>
      <c r="AF89" s="5"/>
      <c r="AG89" s="9"/>
      <c r="AH89" s="117"/>
      <c r="AI89" s="129"/>
      <c r="AJ89" s="5"/>
      <c r="AK89" s="5"/>
      <c r="AL89" s="5"/>
    </row>
    <row r="90" spans="6:38" ht="15.6"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156" t="s">
        <v>383</v>
      </c>
      <c r="Y90" s="5"/>
      <c r="Z90" s="5"/>
      <c r="AA90" s="5"/>
      <c r="AB90" s="64" t="s">
        <v>384</v>
      </c>
      <c r="AC90" s="5"/>
      <c r="AD90" s="6"/>
      <c r="AE90" s="5"/>
      <c r="AF90" s="5"/>
      <c r="AG90" s="5"/>
      <c r="AH90" s="9"/>
      <c r="AI90" s="5"/>
      <c r="AJ90" s="5"/>
      <c r="AK90" s="5"/>
      <c r="AL90" s="5"/>
    </row>
    <row r="91" spans="6:38" ht="15.6"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172"/>
      <c r="Y91" s="5"/>
      <c r="Z91" s="5"/>
      <c r="AA91" s="5"/>
      <c r="AB91" s="148"/>
      <c r="AC91" s="5"/>
      <c r="AD91" s="6"/>
      <c r="AE91" s="5"/>
      <c r="AF91" s="5"/>
      <c r="AG91" s="5"/>
      <c r="AH91" s="9"/>
      <c r="AI91" s="5"/>
      <c r="AJ91" s="5"/>
      <c r="AK91" s="5"/>
      <c r="AL91" s="5"/>
    </row>
    <row r="92" spans="6:38" ht="15.6"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4"/>
      <c r="Y92" s="9" t="s">
        <v>359</v>
      </c>
      <c r="Z92" s="9" t="s">
        <v>385</v>
      </c>
      <c r="AA92" s="9" t="s">
        <v>360</v>
      </c>
      <c r="AB92" s="5"/>
      <c r="AC92" s="5"/>
      <c r="AD92" s="6"/>
      <c r="AE92" s="5"/>
      <c r="AF92" s="5"/>
      <c r="AG92" s="5"/>
      <c r="AH92" s="9"/>
      <c r="AI92" s="5"/>
      <c r="AJ92" s="5"/>
      <c r="AK92" s="5"/>
      <c r="AL92" s="5"/>
    </row>
    <row r="93" spans="6:38" ht="15.6"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4"/>
      <c r="Y93" s="5"/>
      <c r="Z93" s="148"/>
      <c r="AA93" s="5"/>
      <c r="AB93" s="5"/>
      <c r="AC93" s="5"/>
      <c r="AD93" s="6"/>
      <c r="AE93" s="5"/>
      <c r="AF93" s="5"/>
      <c r="AG93" s="115"/>
      <c r="AH93" s="9"/>
      <c r="AI93" s="115"/>
      <c r="AJ93" s="5"/>
      <c r="AK93" s="5"/>
      <c r="AL93" s="5"/>
    </row>
    <row r="94" spans="6:38" ht="15.6"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181" t="s">
        <v>579</v>
      </c>
      <c r="Y94" s="21"/>
      <c r="Z94" s="5"/>
      <c r="AA94" s="148"/>
      <c r="AB94" s="5"/>
      <c r="AC94" s="5"/>
      <c r="AD94" s="6"/>
      <c r="AE94" s="5"/>
      <c r="AF94" s="5"/>
      <c r="AG94" s="5"/>
      <c r="AH94" s="9"/>
      <c r="AI94" s="5"/>
      <c r="AJ94" s="5"/>
      <c r="AK94" s="5"/>
      <c r="AL94" s="5"/>
    </row>
    <row r="95" spans="6:38" ht="48" customHeight="1"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88" t="s">
        <v>383</v>
      </c>
      <c r="Y95" s="94" t="s">
        <v>135</v>
      </c>
      <c r="Z95" s="377"/>
      <c r="AA95" s="377"/>
      <c r="AB95" s="377"/>
      <c r="AC95" s="377"/>
      <c r="AD95" s="465"/>
      <c r="AE95" s="5"/>
      <c r="AF95" s="5"/>
      <c r="AG95" s="9"/>
      <c r="AH95" s="117"/>
      <c r="AI95" s="5"/>
      <c r="AJ95" s="5"/>
      <c r="AK95" s="5"/>
      <c r="AL95" s="5"/>
    </row>
    <row r="96" spans="6:38" ht="15.6"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88" t="s">
        <v>383</v>
      </c>
      <c r="Y96" s="94" t="s">
        <v>135</v>
      </c>
      <c r="Z96" s="96">
        <f>(Database!$C$34*((Database!$H$13)-($AA$51+273.15)))+(((Database!$D$34)*((Database!$H$13)^2-($AA$51+273.15)^2))/2)+((Database!$E$34*((Database!$H$13)^3-($AA$51+273.15)^3))/3)+((Database!$F$34*((Database!$H$13)^4-($AA$51+273.15)^4))/4)+((Database!$G$34)*((Database!$H$13)^(5)-($AA$51+273.15)^5))/5</f>
        <v>44168.085339864891</v>
      </c>
      <c r="AA96" s="5" t="s">
        <v>279</v>
      </c>
      <c r="AB96" s="5"/>
      <c r="AC96" s="5"/>
      <c r="AD96" s="6"/>
      <c r="AE96" s="5"/>
      <c r="AF96" s="5"/>
      <c r="AG96" s="9"/>
      <c r="AH96" s="117"/>
      <c r="AI96" s="129"/>
      <c r="AJ96" s="5"/>
      <c r="AK96" s="5"/>
      <c r="AL96" s="5"/>
    </row>
    <row r="97" spans="6:38" ht="15.6"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181"/>
      <c r="Y97" s="168"/>
      <c r="Z97" s="148"/>
      <c r="AA97" s="5"/>
      <c r="AB97" s="5"/>
      <c r="AC97" s="5"/>
      <c r="AD97" s="6"/>
      <c r="AE97" s="5"/>
      <c r="AF97" s="5"/>
      <c r="AG97" s="5"/>
      <c r="AH97" s="5"/>
      <c r="AI97" s="5"/>
      <c r="AJ97" s="5"/>
      <c r="AK97" s="5"/>
      <c r="AL97" s="5"/>
    </row>
    <row r="98" spans="6:38" ht="15.6"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181" t="s">
        <v>362</v>
      </c>
      <c r="Y98" s="21"/>
      <c r="Z98" s="5"/>
      <c r="AA98" s="5"/>
      <c r="AB98" s="5"/>
      <c r="AC98" s="5"/>
      <c r="AD98" s="6"/>
      <c r="AE98" s="5"/>
      <c r="AF98" s="5"/>
      <c r="AG98" s="5"/>
      <c r="AH98" s="9"/>
      <c r="AI98" s="5"/>
      <c r="AJ98" s="5"/>
      <c r="AK98" s="5"/>
      <c r="AL98" s="5"/>
    </row>
    <row r="99" spans="6:38" ht="15.6"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88" t="s">
        <v>385</v>
      </c>
      <c r="Y99" s="94" t="s">
        <v>135</v>
      </c>
      <c r="Z99" s="94" t="s">
        <v>553</v>
      </c>
      <c r="AA99" s="5"/>
      <c r="AB99" s="5"/>
      <c r="AC99" s="5"/>
      <c r="AD99" s="6"/>
      <c r="AE99" s="5"/>
      <c r="AF99" s="5"/>
      <c r="AG99" s="115"/>
      <c r="AH99" s="5"/>
      <c r="AI99" s="115"/>
      <c r="AJ99" s="5"/>
      <c r="AK99" s="5"/>
      <c r="AL99" s="5"/>
    </row>
    <row r="100" spans="6:38" ht="15.6"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88" t="s">
        <v>385</v>
      </c>
      <c r="Y100" s="94" t="s">
        <v>135</v>
      </c>
      <c r="Z100" s="9">
        <f>Database!$I$23*1000*-1</f>
        <v>-64459.999999999993</v>
      </c>
      <c r="AA100" s="5" t="s">
        <v>279</v>
      </c>
      <c r="AB100" s="5"/>
      <c r="AC100" s="5"/>
      <c r="AD100" s="6"/>
      <c r="AE100" s="5"/>
      <c r="AF100" s="5"/>
      <c r="AG100" s="5"/>
      <c r="AH100" s="5"/>
      <c r="AI100" s="5"/>
      <c r="AJ100" s="5"/>
      <c r="AK100" s="5"/>
      <c r="AL100" s="5"/>
    </row>
    <row r="101" spans="6:38" ht="15.6"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181"/>
      <c r="Y101" s="21"/>
      <c r="Z101" s="5"/>
      <c r="AA101" s="5"/>
      <c r="AB101" s="5"/>
      <c r="AC101" s="5"/>
      <c r="AD101" s="6"/>
      <c r="AE101" s="5"/>
      <c r="AF101" s="5"/>
      <c r="AG101" s="9"/>
      <c r="AH101" s="117"/>
      <c r="AI101" s="5"/>
      <c r="AJ101" s="5"/>
      <c r="AK101" s="5"/>
      <c r="AL101" s="5"/>
    </row>
    <row r="102" spans="6:38" ht="15.6"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181" t="s">
        <v>586</v>
      </c>
      <c r="Y102" s="153"/>
      <c r="Z102" s="5"/>
      <c r="AA102" s="5"/>
      <c r="AB102" s="5"/>
      <c r="AC102" s="5"/>
      <c r="AD102" s="6"/>
      <c r="AE102" s="5"/>
      <c r="AF102" s="5"/>
      <c r="AG102" s="9"/>
      <c r="AH102" s="117"/>
      <c r="AI102" s="129"/>
      <c r="AJ102" s="5"/>
      <c r="AK102" s="5"/>
      <c r="AL102" s="5"/>
    </row>
    <row r="103" spans="6:38" ht="48.6" customHeight="1"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88" t="s">
        <v>384</v>
      </c>
      <c r="Y103" s="94" t="s">
        <v>135</v>
      </c>
      <c r="Z103" s="377"/>
      <c r="AA103" s="377"/>
      <c r="AB103" s="377"/>
      <c r="AC103" s="377"/>
      <c r="AD103" s="465"/>
      <c r="AE103" s="5"/>
      <c r="AF103" s="5"/>
      <c r="AG103" s="5"/>
      <c r="AH103" s="5"/>
      <c r="AI103" s="5"/>
      <c r="AJ103" s="5"/>
      <c r="AK103" s="5"/>
      <c r="AL103" s="5"/>
    </row>
    <row r="104" spans="6:38" ht="15.6"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88" t="s">
        <v>384</v>
      </c>
      <c r="Y104" s="94" t="s">
        <v>135</v>
      </c>
      <c r="Z104" s="129">
        <f>Database!$C$46*(($E$22+273.15)-(Database!$H$13))+((Database!$D$46*(($E$22+273.15)^2-(Database!$H$13)^2))/2)+((Database!$E$46*(($E$22+273.15)^3-(Database!$H$13)^3))/3)+((Database!$F$46*(($E$22+273.15)^4-(Database!$H$13)^4))/4)</f>
        <v>-5435.7298156695606</v>
      </c>
      <c r="AA104" s="5" t="s">
        <v>279</v>
      </c>
      <c r="AB104" s="5"/>
      <c r="AC104" s="5"/>
      <c r="AD104" s="6"/>
      <c r="AE104" s="5"/>
      <c r="AF104" s="5"/>
      <c r="AG104" s="5"/>
      <c r="AH104" s="9"/>
      <c r="AI104" s="5"/>
      <c r="AJ104" s="5"/>
      <c r="AK104" s="5"/>
      <c r="AL104" s="5"/>
    </row>
    <row r="105" spans="6:38" ht="15.6"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181"/>
      <c r="Y105" s="153"/>
      <c r="Z105" s="5"/>
      <c r="AA105" s="5"/>
      <c r="AB105" s="5"/>
      <c r="AC105" s="5"/>
      <c r="AD105" s="6"/>
      <c r="AE105" s="5"/>
      <c r="AF105" s="5"/>
      <c r="AG105" s="115"/>
      <c r="AH105" s="9"/>
      <c r="AI105" s="115"/>
      <c r="AJ105" s="5"/>
      <c r="AK105" s="5"/>
      <c r="AL105" s="5"/>
    </row>
    <row r="106" spans="6:38" ht="15.6"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88" t="s">
        <v>280</v>
      </c>
      <c r="Y106" s="94" t="s">
        <v>135</v>
      </c>
      <c r="Z106" s="9" t="s">
        <v>383</v>
      </c>
      <c r="AA106" s="117" t="s">
        <v>284</v>
      </c>
      <c r="AB106" s="9" t="s">
        <v>385</v>
      </c>
      <c r="AC106" s="117" t="s">
        <v>284</v>
      </c>
      <c r="AD106" s="121" t="s">
        <v>384</v>
      </c>
      <c r="AE106" s="5"/>
      <c r="AF106" s="5"/>
      <c r="AG106" s="5"/>
      <c r="AH106" s="9"/>
      <c r="AI106" s="5"/>
      <c r="AJ106" s="5"/>
      <c r="AK106" s="5"/>
      <c r="AL106" s="5"/>
    </row>
    <row r="107" spans="6:38" ht="15.6"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135" t="s">
        <v>280</v>
      </c>
      <c r="Y107" s="182" t="s">
        <v>135</v>
      </c>
      <c r="Z107" s="119">
        <f>Z104+Z100+Z96</f>
        <v>-25727.644475804656</v>
      </c>
      <c r="AA107" s="11" t="s">
        <v>279</v>
      </c>
      <c r="AB107" s="11"/>
      <c r="AC107" s="11"/>
      <c r="AD107" s="12"/>
      <c r="AE107" s="5"/>
      <c r="AF107" s="5"/>
      <c r="AG107" s="9"/>
      <c r="AH107" s="117"/>
      <c r="AI107" s="5"/>
      <c r="AJ107" s="5"/>
      <c r="AK107" s="5"/>
      <c r="AL107" s="5"/>
    </row>
    <row r="108" spans="6:38" ht="15.6"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148"/>
      <c r="Y108" s="148"/>
      <c r="Z108" s="148"/>
      <c r="AA108" s="148"/>
      <c r="AB108" s="148"/>
      <c r="AC108" s="148"/>
      <c r="AD108" s="148"/>
      <c r="AE108" s="5"/>
      <c r="AF108" s="5"/>
      <c r="AG108" s="9"/>
      <c r="AH108" s="117"/>
      <c r="AI108" s="129"/>
      <c r="AJ108" s="5"/>
      <c r="AK108" s="5"/>
      <c r="AL108" s="5"/>
    </row>
    <row r="109" spans="6:38" ht="15.6"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1"/>
      <c r="Y109" s="2"/>
      <c r="Z109" s="91" t="s">
        <v>287</v>
      </c>
      <c r="AA109" s="2"/>
      <c r="AB109" s="2"/>
      <c r="AC109" s="2"/>
      <c r="AD109" s="3"/>
      <c r="AE109" s="5"/>
      <c r="AF109" s="5"/>
      <c r="AG109" s="5"/>
      <c r="AH109" s="5"/>
      <c r="AI109" s="5"/>
      <c r="AJ109" s="5"/>
      <c r="AK109" s="5"/>
      <c r="AL109" s="5"/>
    </row>
    <row r="110" spans="6:38" ht="15.6"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116" t="s">
        <v>364</v>
      </c>
      <c r="Y110" s="5"/>
      <c r="Z110" s="5"/>
      <c r="AA110" s="5"/>
      <c r="AB110" s="109" t="s">
        <v>430</v>
      </c>
      <c r="AC110" s="5"/>
      <c r="AD110" s="6"/>
      <c r="AE110" s="5"/>
      <c r="AF110" s="5"/>
      <c r="AG110" s="5"/>
      <c r="AH110" s="9"/>
      <c r="AI110" s="5"/>
      <c r="AJ110" s="5"/>
      <c r="AK110" s="5"/>
      <c r="AL110" s="5"/>
    </row>
    <row r="111" spans="6:38" ht="15.6"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156" t="s">
        <v>386</v>
      </c>
      <c r="Y111" s="5"/>
      <c r="Z111" s="5"/>
      <c r="AA111" s="5"/>
      <c r="AB111" s="64" t="s">
        <v>387</v>
      </c>
      <c r="AC111" s="5"/>
      <c r="AD111" s="6"/>
      <c r="AE111" s="5"/>
      <c r="AF111" s="5"/>
      <c r="AG111" s="115"/>
      <c r="AH111" s="5"/>
      <c r="AI111" s="115"/>
      <c r="AJ111" s="5"/>
      <c r="AK111" s="5"/>
      <c r="AL111" s="5"/>
    </row>
    <row r="112" spans="6:38" ht="15.6"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172"/>
      <c r="Y112" s="5"/>
      <c r="Z112" s="5"/>
      <c r="AA112" s="5"/>
      <c r="AB112" s="148"/>
      <c r="AC112" s="5"/>
      <c r="AD112" s="6"/>
      <c r="AE112" s="5"/>
      <c r="AF112" s="5"/>
      <c r="AG112" s="5"/>
      <c r="AH112" s="5"/>
      <c r="AI112" s="5"/>
      <c r="AJ112" s="5"/>
      <c r="AK112" s="5"/>
      <c r="AL112" s="5"/>
    </row>
    <row r="113" spans="6:38" ht="15.6"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4"/>
      <c r="Y113" s="9" t="s">
        <v>368</v>
      </c>
      <c r="Z113" s="9" t="s">
        <v>388</v>
      </c>
      <c r="AA113" s="9" t="s">
        <v>369</v>
      </c>
      <c r="AB113" s="5"/>
      <c r="AC113" s="5"/>
      <c r="AD113" s="6"/>
      <c r="AE113" s="5"/>
      <c r="AF113" s="5"/>
      <c r="AG113" s="9"/>
      <c r="AH113" s="117"/>
      <c r="AI113" s="5"/>
      <c r="AJ113" s="5"/>
      <c r="AK113" s="5"/>
      <c r="AL113" s="5"/>
    </row>
    <row r="114" spans="6:38" ht="15.6"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4"/>
      <c r="Y114" s="5"/>
      <c r="Z114" s="148"/>
      <c r="AA114" s="5"/>
      <c r="AB114" s="5"/>
      <c r="AC114" s="5"/>
      <c r="AD114" s="6"/>
      <c r="AE114" s="5"/>
      <c r="AF114" s="5"/>
      <c r="AG114" s="9"/>
      <c r="AH114" s="117"/>
      <c r="AI114" s="129"/>
      <c r="AJ114" s="5"/>
      <c r="AK114" s="5"/>
      <c r="AL114" s="5"/>
    </row>
    <row r="115" spans="6:38" ht="15.6"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181" t="s">
        <v>581</v>
      </c>
      <c r="Y115" s="21"/>
      <c r="Z115" s="5"/>
      <c r="AA115" s="148"/>
      <c r="AB115" s="5"/>
      <c r="AC115" s="5"/>
      <c r="AD115" s="6"/>
      <c r="AE115" s="5"/>
      <c r="AF115" s="5"/>
      <c r="AG115" s="5"/>
      <c r="AH115" s="5"/>
      <c r="AI115" s="5"/>
      <c r="AJ115" s="5"/>
      <c r="AK115" s="5"/>
      <c r="AL115" s="5"/>
    </row>
    <row r="116" spans="6:38" ht="51" customHeight="1"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88" t="s">
        <v>386</v>
      </c>
      <c r="Y116" s="94" t="s">
        <v>135</v>
      </c>
      <c r="Z116" s="377"/>
      <c r="AA116" s="377"/>
      <c r="AB116" s="377"/>
      <c r="AC116" s="377"/>
      <c r="AD116" s="465"/>
      <c r="AE116" s="5"/>
      <c r="AF116" s="5"/>
      <c r="AG116" s="5"/>
      <c r="AH116" s="5"/>
      <c r="AI116" s="5"/>
      <c r="AJ116" s="5"/>
      <c r="AK116" s="5"/>
      <c r="AL116" s="5"/>
    </row>
    <row r="117" spans="6:38" ht="15.6"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88" t="s">
        <v>386</v>
      </c>
      <c r="Y117" s="94" t="s">
        <v>135</v>
      </c>
      <c r="Z117" s="96">
        <f>(Database!$C$35*((Database!$H$14)-($AA$51+273.15)))+(((Database!$D$35)*((Database!$H$14)^2-($AA$51+273.15)^2))/2)+((Database!$E$35*((Database!$H$14)^3-($AA$51+273.15)^3))/3)+((Database!$F$35*((Database!$H$14)^4-($AA$51+273.15)^4))/4)+((Database!$G$35)*((Database!$H$14)^(5)-($AA$51+273.15)^5))/5</f>
        <v>83864.044961042237</v>
      </c>
      <c r="AA117" s="5" t="s">
        <v>279</v>
      </c>
      <c r="AB117" s="5"/>
      <c r="AC117" s="5"/>
      <c r="AD117" s="6"/>
      <c r="AE117" s="5"/>
      <c r="AF117" s="5"/>
      <c r="AG117" s="5"/>
      <c r="AH117" s="5"/>
      <c r="AI117" s="5"/>
      <c r="AJ117" s="5"/>
      <c r="AK117" s="5"/>
      <c r="AL117" s="5"/>
    </row>
    <row r="118" spans="6:38" ht="15.6"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181"/>
      <c r="Y118" s="168"/>
      <c r="Z118" s="148"/>
      <c r="AA118" s="5"/>
      <c r="AB118" s="5"/>
      <c r="AC118" s="5"/>
      <c r="AD118" s="6"/>
      <c r="AE118" s="5"/>
      <c r="AF118" s="5"/>
      <c r="AG118" s="5"/>
      <c r="AH118" s="5"/>
      <c r="AI118" s="5"/>
      <c r="AJ118" s="5"/>
      <c r="AK118" s="5"/>
      <c r="AL118" s="5"/>
    </row>
    <row r="119" spans="6:38" ht="15.6"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181" t="s">
        <v>371</v>
      </c>
      <c r="Y119" s="21"/>
      <c r="Z119" s="5"/>
      <c r="AA119" s="5"/>
      <c r="AB119" s="5"/>
      <c r="AC119" s="5"/>
      <c r="AD119" s="6"/>
      <c r="AE119" s="5"/>
      <c r="AF119" s="5"/>
      <c r="AG119" s="5"/>
      <c r="AH119" s="5"/>
      <c r="AI119" s="5"/>
      <c r="AJ119" s="5"/>
      <c r="AK119" s="5"/>
      <c r="AL119" s="5"/>
    </row>
    <row r="120" spans="6:38" ht="15.6"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88" t="s">
        <v>388</v>
      </c>
      <c r="Y120" s="94" t="s">
        <v>135</v>
      </c>
      <c r="Z120" s="94" t="s">
        <v>554</v>
      </c>
      <c r="AA120" s="5"/>
      <c r="AB120" s="5"/>
      <c r="AC120" s="5"/>
      <c r="AD120" s="6"/>
      <c r="AE120" s="5"/>
      <c r="AF120" s="5"/>
      <c r="AG120" s="5"/>
      <c r="AH120" s="5"/>
      <c r="AI120" s="5"/>
      <c r="AJ120" s="5"/>
      <c r="AK120" s="5"/>
      <c r="AL120" s="5"/>
    </row>
    <row r="121" spans="6:38" ht="15.6"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88" t="s">
        <v>388</v>
      </c>
      <c r="Y121" s="94" t="s">
        <v>135</v>
      </c>
      <c r="Z121" s="9">
        <f>Database!$I$24*1000*-1</f>
        <v>-70680</v>
      </c>
      <c r="AA121" s="5" t="s">
        <v>279</v>
      </c>
      <c r="AB121" s="5"/>
      <c r="AC121" s="5"/>
      <c r="AD121" s="6"/>
      <c r="AE121" s="5"/>
      <c r="AF121" s="5"/>
      <c r="AG121" s="5"/>
      <c r="AH121" s="5"/>
      <c r="AI121" s="5"/>
      <c r="AJ121" s="5"/>
      <c r="AK121" s="5"/>
      <c r="AL121" s="5"/>
    </row>
    <row r="122" spans="6:38" ht="15.6"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181"/>
      <c r="Y122" s="21"/>
      <c r="Z122" s="5"/>
      <c r="AA122" s="5"/>
      <c r="AB122" s="5"/>
      <c r="AC122" s="5"/>
      <c r="AD122" s="6"/>
      <c r="AE122" s="5"/>
      <c r="AF122" s="5"/>
      <c r="AG122" s="5"/>
      <c r="AH122" s="5"/>
      <c r="AI122" s="5"/>
      <c r="AJ122" s="5"/>
      <c r="AK122" s="5"/>
      <c r="AL122" s="5"/>
    </row>
    <row r="123" spans="6:38" ht="15.6"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181" t="s">
        <v>586</v>
      </c>
      <c r="Y123" s="153"/>
      <c r="Z123" s="5"/>
      <c r="AA123" s="5"/>
      <c r="AB123" s="5"/>
      <c r="AC123" s="5"/>
      <c r="AD123" s="6"/>
      <c r="AE123" s="5"/>
      <c r="AF123" s="5"/>
      <c r="AG123" s="5"/>
      <c r="AH123" s="5"/>
      <c r="AI123" s="5"/>
      <c r="AJ123" s="5"/>
      <c r="AK123" s="5"/>
      <c r="AL123" s="5"/>
    </row>
    <row r="124" spans="6:38" ht="51.6" customHeight="1"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88" t="s">
        <v>387</v>
      </c>
      <c r="Y124" s="94" t="s">
        <v>135</v>
      </c>
      <c r="Z124" s="377"/>
      <c r="AA124" s="377"/>
      <c r="AB124" s="377"/>
      <c r="AC124" s="377"/>
      <c r="AD124" s="465"/>
      <c r="AE124" s="5"/>
      <c r="AF124" s="5"/>
      <c r="AG124" s="5"/>
      <c r="AH124" s="5"/>
      <c r="AI124" s="5"/>
      <c r="AJ124" s="5"/>
      <c r="AK124" s="5"/>
      <c r="AL124" s="5"/>
    </row>
    <row r="125" spans="6:38" ht="15.6"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88" t="s">
        <v>387</v>
      </c>
      <c r="Y125" s="94" t="s">
        <v>135</v>
      </c>
      <c r="Z125" s="129">
        <f>Database!$C$47*(($E$22+273.15)-(Database!$H$14))+((Database!$D$47*(($E$22+273.15)^2-(Database!$H$14)^2))/2)+((Database!$E$47*(($E$22+273.15)^3-(Database!$H$14)^3))/3)+((Database!$F$47*(($E$22+273.15)^4-(Database!$H$14)^4))/4)</f>
        <v>-38807.315189535715</v>
      </c>
      <c r="AA125" s="5" t="s">
        <v>279</v>
      </c>
      <c r="AB125" s="5"/>
      <c r="AC125" s="5"/>
      <c r="AD125" s="6"/>
      <c r="AE125" s="5"/>
      <c r="AF125" s="5"/>
      <c r="AG125" s="5"/>
      <c r="AH125" s="5"/>
      <c r="AI125" s="5"/>
      <c r="AJ125" s="5"/>
      <c r="AK125" s="5"/>
      <c r="AL125" s="5"/>
    </row>
    <row r="126" spans="6:38" ht="15.6"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181"/>
      <c r="Y126" s="153"/>
      <c r="Z126" s="5"/>
      <c r="AA126" s="5"/>
      <c r="AB126" s="5"/>
      <c r="AC126" s="5"/>
      <c r="AD126" s="6"/>
      <c r="AE126" s="5"/>
      <c r="AF126" s="5"/>
      <c r="AG126" s="5"/>
      <c r="AH126" s="5"/>
      <c r="AI126" s="5"/>
      <c r="AJ126" s="5"/>
      <c r="AK126" s="5"/>
      <c r="AL126" s="5"/>
    </row>
    <row r="127" spans="6:38" ht="15.6"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88" t="s">
        <v>287</v>
      </c>
      <c r="Y127" s="94" t="s">
        <v>135</v>
      </c>
      <c r="Z127" s="9" t="s">
        <v>386</v>
      </c>
      <c r="AA127" s="117" t="s">
        <v>284</v>
      </c>
      <c r="AB127" s="9" t="s">
        <v>388</v>
      </c>
      <c r="AC127" s="117" t="s">
        <v>284</v>
      </c>
      <c r="AD127" s="121" t="s">
        <v>387</v>
      </c>
      <c r="AE127" s="5"/>
      <c r="AF127" s="5"/>
      <c r="AG127" s="5"/>
      <c r="AH127" s="5"/>
      <c r="AI127" s="5"/>
      <c r="AJ127" s="5"/>
      <c r="AK127" s="5"/>
      <c r="AL127" s="5"/>
    </row>
    <row r="128" spans="6:38" ht="15.6"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135" t="s">
        <v>287</v>
      </c>
      <c r="Y128" s="182" t="s">
        <v>135</v>
      </c>
      <c r="Z128" s="119">
        <f>Z125+Z121+Z117</f>
        <v>-25623.270228493478</v>
      </c>
      <c r="AA128" s="11" t="s">
        <v>279</v>
      </c>
      <c r="AB128" s="11"/>
      <c r="AC128" s="11"/>
      <c r="AD128" s="12"/>
      <c r="AE128" s="5"/>
      <c r="AF128" s="5"/>
      <c r="AG128" s="5"/>
      <c r="AH128" s="5"/>
      <c r="AI128" s="5"/>
      <c r="AJ128" s="5"/>
      <c r="AK128" s="5"/>
      <c r="AL128" s="5"/>
    </row>
    <row r="129" spans="6:38" ht="15.6"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 spans="6:38" ht="15.6"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1"/>
      <c r="Y130" s="2"/>
      <c r="Z130" s="91" t="s">
        <v>288</v>
      </c>
      <c r="AA130" s="2"/>
      <c r="AB130" s="2"/>
      <c r="AC130" s="2"/>
      <c r="AD130" s="3"/>
      <c r="AE130" s="5"/>
      <c r="AF130" s="5"/>
      <c r="AG130" s="5"/>
      <c r="AH130" s="5"/>
      <c r="AI130" s="5"/>
      <c r="AJ130" s="5"/>
      <c r="AK130" s="5"/>
      <c r="AL130" s="5"/>
    </row>
    <row r="131" spans="6:38" ht="15.6"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116" t="s">
        <v>346</v>
      </c>
      <c r="Y131" s="5"/>
      <c r="Z131" s="5"/>
      <c r="AA131" s="5"/>
      <c r="AB131" s="109" t="s">
        <v>458</v>
      </c>
      <c r="AC131" s="5"/>
      <c r="AD131" s="6"/>
      <c r="AE131" s="5"/>
      <c r="AF131" s="5"/>
      <c r="AG131" s="5"/>
      <c r="AH131" s="5"/>
      <c r="AI131" s="5"/>
      <c r="AJ131" s="5"/>
      <c r="AK131" s="5"/>
      <c r="AL131" s="5"/>
    </row>
    <row r="132" spans="6:38" ht="15.6"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156" t="s">
        <v>389</v>
      </c>
      <c r="Y132" s="5"/>
      <c r="Z132" s="5"/>
      <c r="AA132" s="5"/>
      <c r="AB132" s="64" t="s">
        <v>390</v>
      </c>
      <c r="AC132" s="5"/>
      <c r="AD132" s="6"/>
      <c r="AE132" s="5"/>
      <c r="AF132" s="5"/>
      <c r="AG132" s="5"/>
      <c r="AH132" s="5"/>
      <c r="AI132" s="5"/>
      <c r="AJ132" s="5"/>
      <c r="AK132" s="5"/>
      <c r="AL132" s="5"/>
    </row>
    <row r="133" spans="6:38" ht="15.6"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172"/>
      <c r="Y133" s="5"/>
      <c r="Z133" s="5"/>
      <c r="AA133" s="5"/>
      <c r="AB133" s="148"/>
      <c r="AC133" s="5"/>
      <c r="AD133" s="6"/>
      <c r="AE133" s="5"/>
      <c r="AF133" s="5"/>
      <c r="AG133" s="5"/>
      <c r="AH133" s="5"/>
      <c r="AI133" s="5"/>
      <c r="AJ133" s="5"/>
      <c r="AK133" s="5"/>
      <c r="AL133" s="5"/>
    </row>
    <row r="134" spans="6:38" ht="15.6"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4"/>
      <c r="Y134" s="9" t="s">
        <v>350</v>
      </c>
      <c r="Z134" s="9" t="s">
        <v>391</v>
      </c>
      <c r="AA134" s="9" t="s">
        <v>351</v>
      </c>
      <c r="AB134" s="5"/>
      <c r="AC134" s="5"/>
      <c r="AD134" s="6"/>
      <c r="AE134" s="5"/>
      <c r="AF134" s="5"/>
      <c r="AG134" s="5"/>
      <c r="AH134" s="5"/>
      <c r="AI134" s="5"/>
      <c r="AJ134" s="5"/>
      <c r="AK134" s="5"/>
      <c r="AL134" s="5"/>
    </row>
    <row r="135" spans="6:38" ht="15.6"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4"/>
      <c r="Y135" s="5"/>
      <c r="Z135" s="148"/>
      <c r="AA135" s="5"/>
      <c r="AB135" s="5"/>
      <c r="AC135" s="5"/>
      <c r="AD135" s="6"/>
      <c r="AE135" s="5"/>
      <c r="AF135" s="5"/>
      <c r="AG135" s="5"/>
      <c r="AH135" s="5"/>
      <c r="AI135" s="5"/>
      <c r="AJ135" s="5"/>
      <c r="AK135" s="5"/>
      <c r="AL135" s="5"/>
    </row>
    <row r="136" spans="6:38" ht="15.6"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181" t="s">
        <v>578</v>
      </c>
      <c r="Y136" s="21"/>
      <c r="Z136" s="5"/>
      <c r="AA136" s="148"/>
      <c r="AB136" s="5"/>
      <c r="AC136" s="5"/>
      <c r="AD136" s="6"/>
      <c r="AE136" s="5"/>
      <c r="AF136" s="5"/>
      <c r="AG136" s="5"/>
      <c r="AH136" s="5"/>
      <c r="AI136" s="5"/>
      <c r="AJ136" s="5"/>
      <c r="AK136" s="5"/>
      <c r="AL136" s="5"/>
    </row>
    <row r="137" spans="6:38" ht="45.6" customHeight="1"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88" t="s">
        <v>389</v>
      </c>
      <c r="Y137" s="94" t="s">
        <v>135</v>
      </c>
      <c r="Z137" s="377"/>
      <c r="AA137" s="377"/>
      <c r="AB137" s="377"/>
      <c r="AC137" s="377"/>
      <c r="AD137" s="465"/>
      <c r="AE137" s="5"/>
      <c r="AF137" s="5"/>
      <c r="AG137" s="5"/>
      <c r="AH137" s="5"/>
      <c r="AI137" s="5"/>
      <c r="AJ137" s="5"/>
      <c r="AK137" s="5"/>
      <c r="AL137" s="5"/>
    </row>
    <row r="138" spans="6:38" ht="15.6"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88" t="s">
        <v>389</v>
      </c>
      <c r="Y138" s="94" t="s">
        <v>135</v>
      </c>
      <c r="Z138" s="96">
        <f>(Database!$C$33*((Database!$H$12)-($AA$51+273.15)))+(((Database!$D$33)*((Database!$H$12)^2-($AA$51+273.15)^2))/2)+((Database!$E$33*((Database!$H$12)^3-($AA$51+273.15)^3))/3)+((Database!$F$33*((Database!$H$12)^4-($AA$51+273.15)^4))/4)+((Database!$G$33)*((Database!$H$12)^(5)-($AA$51+273.15)^5))/5</f>
        <v>14587.315366913117</v>
      </c>
      <c r="AA138" s="5" t="s">
        <v>279</v>
      </c>
      <c r="AB138" s="5"/>
      <c r="AC138" s="5"/>
      <c r="AD138" s="6"/>
      <c r="AE138" s="5"/>
      <c r="AF138" s="5"/>
      <c r="AG138" s="5"/>
      <c r="AH138" s="5"/>
      <c r="AI138" s="5"/>
      <c r="AJ138" s="5"/>
      <c r="AK138" s="5"/>
      <c r="AL138" s="5"/>
    </row>
    <row r="139" spans="6:38" ht="15.6"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181"/>
      <c r="Y139" s="168"/>
      <c r="Z139" s="148"/>
      <c r="AA139" s="5"/>
      <c r="AB139" s="5"/>
      <c r="AC139" s="5"/>
      <c r="AD139" s="6"/>
      <c r="AE139" s="5"/>
      <c r="AF139" s="5"/>
      <c r="AG139" s="5"/>
      <c r="AH139" s="5"/>
      <c r="AI139" s="5"/>
      <c r="AJ139" s="5"/>
      <c r="AK139" s="5"/>
      <c r="AL139" s="5"/>
    </row>
    <row r="140" spans="6:38" ht="15.6"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181" t="s">
        <v>353</v>
      </c>
      <c r="Y140" s="21"/>
      <c r="Z140" s="5"/>
      <c r="AA140" s="5"/>
      <c r="AB140" s="5"/>
      <c r="AC140" s="5"/>
      <c r="AD140" s="6"/>
      <c r="AE140" s="5"/>
      <c r="AF140" s="5"/>
      <c r="AG140" s="5"/>
      <c r="AH140" s="5"/>
      <c r="AI140" s="5"/>
      <c r="AJ140" s="5"/>
      <c r="AK140" s="5"/>
      <c r="AL140" s="5"/>
    </row>
    <row r="141" spans="6:38" ht="15.6"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88" t="s">
        <v>391</v>
      </c>
      <c r="Y141" s="94" t="s">
        <v>135</v>
      </c>
      <c r="Z141" s="94" t="s">
        <v>552</v>
      </c>
      <c r="AA141" s="5"/>
      <c r="AB141" s="5"/>
      <c r="AC141" s="5"/>
      <c r="AD141" s="6"/>
      <c r="AE141" s="5"/>
      <c r="AF141" s="5"/>
      <c r="AG141" s="5"/>
      <c r="AH141" s="5"/>
      <c r="AI141" s="5"/>
      <c r="AJ141" s="5"/>
      <c r="AK141" s="5"/>
      <c r="AL141" s="5"/>
    </row>
    <row r="142" spans="6:38" ht="15.6"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88" t="s">
        <v>391</v>
      </c>
      <c r="Y142" s="94" t="s">
        <v>135</v>
      </c>
      <c r="Z142" s="9">
        <f>Database!$I$22*1000*-1</f>
        <v>-51530</v>
      </c>
      <c r="AA142" s="5" t="s">
        <v>279</v>
      </c>
      <c r="AB142" s="5"/>
      <c r="AC142" s="5"/>
      <c r="AD142" s="6"/>
      <c r="AE142" s="5"/>
      <c r="AF142" s="5"/>
      <c r="AG142" s="5"/>
      <c r="AH142" s="5"/>
      <c r="AI142" s="5"/>
      <c r="AJ142" s="5"/>
      <c r="AK142" s="5"/>
      <c r="AL142" s="5"/>
    </row>
    <row r="143" spans="6:38" ht="15.6"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181"/>
      <c r="Y143" s="21"/>
      <c r="Z143" s="5"/>
      <c r="AA143" s="5"/>
      <c r="AB143" s="5"/>
      <c r="AC143" s="5"/>
      <c r="AD143" s="6"/>
      <c r="AE143" s="5"/>
      <c r="AF143" s="5"/>
      <c r="AG143" s="5"/>
      <c r="AH143" s="5"/>
      <c r="AI143" s="5"/>
      <c r="AJ143" s="5"/>
      <c r="AK143" s="5"/>
      <c r="AL143" s="5"/>
    </row>
    <row r="144" spans="6:38" ht="15.6"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181" t="s">
        <v>587</v>
      </c>
      <c r="Y144" s="153"/>
      <c r="Z144" s="5"/>
      <c r="AA144" s="5"/>
      <c r="AB144" s="5"/>
      <c r="AC144" s="5"/>
      <c r="AD144" s="6"/>
      <c r="AE144" s="5"/>
      <c r="AF144" s="5"/>
      <c r="AG144" s="5"/>
      <c r="AH144" s="5"/>
      <c r="AI144" s="5"/>
      <c r="AJ144" s="5"/>
      <c r="AK144" s="5"/>
      <c r="AL144" s="5"/>
    </row>
    <row r="145" spans="6:38" ht="49.8" customHeight="1"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88" t="s">
        <v>390</v>
      </c>
      <c r="Y145" s="94" t="s">
        <v>135</v>
      </c>
      <c r="Z145" s="377"/>
      <c r="AA145" s="377"/>
      <c r="AB145" s="377"/>
      <c r="AC145" s="377"/>
      <c r="AD145" s="465"/>
      <c r="AE145" s="5"/>
      <c r="AF145" s="5"/>
      <c r="AG145" s="5"/>
      <c r="AH145" s="5"/>
      <c r="AI145" s="5"/>
      <c r="AJ145" s="5"/>
      <c r="AK145" s="5"/>
      <c r="AL145" s="5"/>
    </row>
    <row r="146" spans="6:38" ht="15.6"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88" t="s">
        <v>390</v>
      </c>
      <c r="Y146" s="94" t="s">
        <v>135</v>
      </c>
      <c r="Z146" s="129">
        <f>Database!$C$45*(($H$52+273.15)-(Database!$H$12))+((Database!$D$45*(($H$52+273.15)^2-(Database!$H$12)^2))/2)+((Database!$E$45*(($H$52+273.15)^3-(Database!$H$12)^3))/3)+((Database!$F$45*(($H$52+273.15)^4-(Database!$H$12)^4))/4)</f>
        <v>23435.140283691035</v>
      </c>
      <c r="AA146" s="5" t="s">
        <v>279</v>
      </c>
      <c r="AB146" s="5"/>
      <c r="AC146" s="5"/>
      <c r="AD146" s="6"/>
      <c r="AE146" s="5"/>
      <c r="AF146" s="5"/>
      <c r="AG146" s="5"/>
      <c r="AH146" s="5"/>
      <c r="AI146" s="5"/>
      <c r="AJ146" s="5"/>
      <c r="AK146" s="5"/>
      <c r="AL146" s="5"/>
    </row>
    <row r="147" spans="6:38" ht="15.6"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181"/>
      <c r="Y147" s="153"/>
      <c r="Z147" s="5"/>
      <c r="AA147" s="5"/>
      <c r="AB147" s="5"/>
      <c r="AC147" s="5"/>
      <c r="AD147" s="6"/>
      <c r="AE147" s="5"/>
      <c r="AF147" s="5"/>
      <c r="AG147" s="5"/>
      <c r="AH147" s="5"/>
      <c r="AI147" s="5"/>
      <c r="AJ147" s="5"/>
      <c r="AK147" s="5"/>
      <c r="AL147" s="5"/>
    </row>
    <row r="148" spans="6:38" ht="15.6"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88" t="s">
        <v>288</v>
      </c>
      <c r="Y148" s="94" t="s">
        <v>135</v>
      </c>
      <c r="Z148" s="9" t="s">
        <v>389</v>
      </c>
      <c r="AA148" s="61" t="s">
        <v>284</v>
      </c>
      <c r="AB148" s="9" t="s">
        <v>391</v>
      </c>
      <c r="AC148" s="61" t="s">
        <v>284</v>
      </c>
      <c r="AD148" s="121" t="s">
        <v>390</v>
      </c>
      <c r="AE148" s="5"/>
      <c r="AF148" s="5"/>
      <c r="AG148" s="5"/>
      <c r="AH148" s="5"/>
      <c r="AI148" s="5"/>
      <c r="AJ148" s="5"/>
      <c r="AK148" s="5"/>
      <c r="AL148" s="5"/>
    </row>
    <row r="149" spans="6:38" ht="15.6"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135" t="s">
        <v>288</v>
      </c>
      <c r="Y149" s="182" t="s">
        <v>135</v>
      </c>
      <c r="Z149" s="119">
        <f>Z146+Z142+Z138</f>
        <v>-13507.544349395848</v>
      </c>
      <c r="AA149" s="11" t="s">
        <v>279</v>
      </c>
      <c r="AB149" s="11"/>
      <c r="AC149" s="11"/>
      <c r="AD149" s="12"/>
      <c r="AE149" s="5"/>
      <c r="AF149" s="5"/>
      <c r="AG149" s="5"/>
      <c r="AH149" s="5"/>
      <c r="AI149" s="5"/>
      <c r="AJ149" s="5"/>
      <c r="AK149" s="5"/>
      <c r="AL149" s="5"/>
    </row>
    <row r="150" spans="6:38" ht="15.6"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148"/>
      <c r="Y150" s="148"/>
      <c r="Z150" s="148"/>
      <c r="AA150" s="148"/>
      <c r="AB150" s="148"/>
      <c r="AC150" s="148"/>
      <c r="AD150" s="148"/>
      <c r="AE150" s="5"/>
      <c r="AF150" s="5"/>
      <c r="AG150" s="5"/>
      <c r="AH150" s="5"/>
      <c r="AI150" s="5"/>
      <c r="AJ150" s="5"/>
      <c r="AK150" s="5"/>
      <c r="AL150" s="5"/>
    </row>
    <row r="151" spans="6:38" ht="15.6"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1"/>
      <c r="Y151" s="2"/>
      <c r="Z151" s="91" t="s">
        <v>289</v>
      </c>
      <c r="AA151" s="2"/>
      <c r="AB151" s="2"/>
      <c r="AC151" s="2"/>
      <c r="AD151" s="3"/>
      <c r="AE151" s="5"/>
      <c r="AF151" s="5"/>
      <c r="AG151" s="5"/>
      <c r="AH151" s="5"/>
      <c r="AI151" s="5"/>
      <c r="AJ151" s="5"/>
      <c r="AK151" s="5"/>
      <c r="AL151" s="5"/>
    </row>
    <row r="152" spans="6:38" ht="15.6"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116" t="s">
        <v>355</v>
      </c>
      <c r="Y152" s="5"/>
      <c r="Z152" s="5"/>
      <c r="AA152" s="5"/>
      <c r="AB152" s="109" t="s">
        <v>459</v>
      </c>
      <c r="AC152" s="5"/>
      <c r="AD152" s="6"/>
      <c r="AE152" s="5"/>
      <c r="AF152" s="5"/>
      <c r="AG152" s="5"/>
      <c r="AH152" s="5"/>
      <c r="AI152" s="5"/>
      <c r="AJ152" s="5"/>
      <c r="AK152" s="5"/>
      <c r="AL152" s="5"/>
    </row>
    <row r="153" spans="6:38" ht="15.6"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156" t="s">
        <v>392</v>
      </c>
      <c r="Y153" s="5"/>
      <c r="Z153" s="5"/>
      <c r="AA153" s="5"/>
      <c r="AB153" s="64" t="s">
        <v>393</v>
      </c>
      <c r="AC153" s="5"/>
      <c r="AD153" s="6"/>
      <c r="AE153" s="5"/>
      <c r="AF153" s="5"/>
      <c r="AG153" s="5"/>
      <c r="AH153" s="5"/>
      <c r="AI153" s="5"/>
      <c r="AJ153" s="5"/>
      <c r="AK153" s="5"/>
      <c r="AL153" s="5"/>
    </row>
    <row r="154" spans="6:38" ht="15.6"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172"/>
      <c r="Y154" s="5"/>
      <c r="Z154" s="5"/>
      <c r="AA154" s="5"/>
      <c r="AB154" s="148"/>
      <c r="AC154" s="5"/>
      <c r="AD154" s="6"/>
      <c r="AE154" s="5"/>
      <c r="AF154" s="5"/>
      <c r="AG154" s="5"/>
      <c r="AH154" s="5"/>
      <c r="AI154" s="5"/>
      <c r="AJ154" s="5"/>
      <c r="AK154" s="5"/>
      <c r="AL154" s="5"/>
    </row>
    <row r="155" spans="6:38" ht="15.6"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4"/>
      <c r="Y155" s="9" t="s">
        <v>359</v>
      </c>
      <c r="Z155" s="9" t="s">
        <v>394</v>
      </c>
      <c r="AA155" s="9" t="s">
        <v>360</v>
      </c>
      <c r="AB155" s="5"/>
      <c r="AC155" s="5"/>
      <c r="AD155" s="6"/>
      <c r="AE155" s="5"/>
      <c r="AF155" s="5"/>
      <c r="AG155" s="5"/>
      <c r="AH155" s="5"/>
      <c r="AI155" s="5"/>
      <c r="AJ155" s="5"/>
      <c r="AK155" s="5"/>
      <c r="AL155" s="5"/>
    </row>
    <row r="156" spans="6:38" ht="15.6"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4"/>
      <c r="Y156" s="5"/>
      <c r="Z156" s="148"/>
      <c r="AA156" s="5"/>
      <c r="AB156" s="5"/>
      <c r="AC156" s="5"/>
      <c r="AD156" s="6"/>
      <c r="AE156" s="5"/>
      <c r="AF156" s="5"/>
      <c r="AG156" s="5"/>
      <c r="AH156" s="5"/>
      <c r="AI156" s="5"/>
      <c r="AJ156" s="5"/>
      <c r="AK156" s="5"/>
      <c r="AL156" s="5"/>
    </row>
    <row r="157" spans="6:38" ht="15.6"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181" t="s">
        <v>579</v>
      </c>
      <c r="Y157" s="21"/>
      <c r="Z157" s="5"/>
      <c r="AA157" s="148"/>
      <c r="AB157" s="5"/>
      <c r="AC157" s="5"/>
      <c r="AD157" s="6"/>
      <c r="AE157" s="5"/>
      <c r="AF157" s="5"/>
      <c r="AG157" s="5"/>
      <c r="AH157" s="5"/>
      <c r="AI157" s="5"/>
      <c r="AJ157" s="5"/>
      <c r="AK157" s="5"/>
      <c r="AL157" s="5"/>
    </row>
    <row r="158" spans="6:38" ht="51.6" customHeight="1"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88" t="s">
        <v>392</v>
      </c>
      <c r="Y158" s="94" t="s">
        <v>135</v>
      </c>
      <c r="Z158" s="377"/>
      <c r="AA158" s="377"/>
      <c r="AB158" s="377"/>
      <c r="AC158" s="377"/>
      <c r="AD158" s="465"/>
      <c r="AE158" s="5"/>
      <c r="AF158" s="5"/>
      <c r="AG158" s="5"/>
      <c r="AH158" s="5"/>
      <c r="AI158" s="5"/>
      <c r="AJ158" s="5"/>
      <c r="AK158" s="5"/>
      <c r="AL158" s="5"/>
    </row>
    <row r="159" spans="6:38" ht="15.6"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88" t="s">
        <v>392</v>
      </c>
      <c r="Y159" s="94" t="s">
        <v>135</v>
      </c>
      <c r="Z159" s="96">
        <f>(Database!$C$34*((Database!$H$13)-($AA$51+273.15)))+(((Database!$D$34)*((Database!$H$13)^2-($AA$51+273.15)^2))/2)+((Database!$E$34*((Database!$H$13)^3-($AA$51+273.15)^3))/3)+((Database!$F$34*((Database!$H$13)^4-($AA$51+273.15)^4))/4)+((Database!$G$34)*((Database!$H$13)^(5)-($AA$51+273.15)^5))/5</f>
        <v>44168.085339864891</v>
      </c>
      <c r="AA159" s="5" t="s">
        <v>279</v>
      </c>
      <c r="AB159" s="5"/>
      <c r="AC159" s="5"/>
      <c r="AD159" s="6"/>
      <c r="AE159" s="5"/>
      <c r="AF159" s="5"/>
      <c r="AG159" s="5"/>
      <c r="AH159" s="5"/>
      <c r="AI159" s="5"/>
      <c r="AJ159" s="5"/>
      <c r="AK159" s="5"/>
      <c r="AL159" s="5"/>
    </row>
    <row r="160" spans="6:38" ht="15.6"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181"/>
      <c r="Y160" s="168"/>
      <c r="Z160" s="148"/>
      <c r="AA160" s="5"/>
      <c r="AB160" s="5"/>
      <c r="AC160" s="5"/>
      <c r="AD160" s="6"/>
      <c r="AE160" s="5"/>
      <c r="AF160" s="5"/>
      <c r="AG160" s="5"/>
      <c r="AH160" s="5"/>
      <c r="AI160" s="5"/>
      <c r="AJ160" s="5"/>
      <c r="AK160" s="5"/>
      <c r="AL160" s="5"/>
    </row>
    <row r="161" spans="6:38" ht="15.6"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181" t="s">
        <v>362</v>
      </c>
      <c r="Y161" s="21"/>
      <c r="Z161" s="5"/>
      <c r="AA161" s="5"/>
      <c r="AB161" s="5"/>
      <c r="AC161" s="5"/>
      <c r="AD161" s="6"/>
      <c r="AE161" s="5"/>
      <c r="AF161" s="5"/>
      <c r="AG161" s="5"/>
      <c r="AH161" s="5"/>
      <c r="AI161" s="5"/>
      <c r="AJ161" s="5"/>
      <c r="AK161" s="5"/>
      <c r="AL161" s="5"/>
    </row>
    <row r="162" spans="6:38" ht="15.6"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88" t="s">
        <v>394</v>
      </c>
      <c r="Y162" s="94" t="s">
        <v>135</v>
      </c>
      <c r="Z162" s="94" t="s">
        <v>553</v>
      </c>
      <c r="AA162" s="5"/>
      <c r="AB162" s="5"/>
      <c r="AC162" s="5"/>
      <c r="AD162" s="6"/>
      <c r="AE162" s="5"/>
      <c r="AF162" s="5"/>
      <c r="AG162" s="5"/>
      <c r="AH162" s="5"/>
      <c r="AI162" s="5"/>
      <c r="AJ162" s="5"/>
      <c r="AK162" s="5"/>
      <c r="AL162" s="5"/>
    </row>
    <row r="163" spans="6:38" ht="15.6"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88" t="s">
        <v>394</v>
      </c>
      <c r="Y163" s="94" t="s">
        <v>135</v>
      </c>
      <c r="Z163" s="9">
        <f>Database!$I$23*1000*-1</f>
        <v>-64459.999999999993</v>
      </c>
      <c r="AA163" s="5" t="s">
        <v>279</v>
      </c>
      <c r="AB163" s="5"/>
      <c r="AC163" s="5"/>
      <c r="AD163" s="6"/>
      <c r="AE163" s="5"/>
      <c r="AF163" s="5"/>
      <c r="AG163" s="5"/>
      <c r="AH163" s="5"/>
      <c r="AI163" s="5"/>
      <c r="AJ163" s="5"/>
      <c r="AK163" s="5"/>
      <c r="AL163" s="5"/>
    </row>
    <row r="164" spans="6:38" ht="15.6"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181"/>
      <c r="Y164" s="21"/>
      <c r="Z164" s="5"/>
      <c r="AA164" s="5"/>
      <c r="AB164" s="5"/>
      <c r="AC164" s="5"/>
      <c r="AD164" s="6"/>
      <c r="AE164" s="5"/>
      <c r="AF164" s="5"/>
      <c r="AG164" s="5"/>
      <c r="AH164" s="5"/>
      <c r="AI164" s="5"/>
      <c r="AJ164" s="5"/>
      <c r="AK164" s="5"/>
      <c r="AL164" s="5"/>
    </row>
    <row r="165" spans="6:38" ht="15.6"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181" t="s">
        <v>587</v>
      </c>
      <c r="Y165" s="153"/>
      <c r="Z165" s="5"/>
      <c r="AA165" s="5"/>
      <c r="AB165" s="5"/>
      <c r="AC165" s="5"/>
      <c r="AD165" s="6"/>
      <c r="AE165" s="5"/>
      <c r="AF165" s="5"/>
      <c r="AG165" s="5"/>
      <c r="AH165" s="5"/>
      <c r="AI165" s="5"/>
      <c r="AJ165" s="5"/>
      <c r="AK165" s="5"/>
      <c r="AL165" s="5"/>
    </row>
    <row r="166" spans="6:38" ht="52.2" customHeight="1"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88" t="s">
        <v>393</v>
      </c>
      <c r="Y166" s="94" t="s">
        <v>135</v>
      </c>
      <c r="Z166" s="377"/>
      <c r="AA166" s="377"/>
      <c r="AB166" s="377"/>
      <c r="AC166" s="377"/>
      <c r="AD166" s="465"/>
      <c r="AE166" s="5"/>
      <c r="AF166" s="5"/>
      <c r="AG166" s="5"/>
      <c r="AH166" s="5"/>
      <c r="AI166" s="5"/>
      <c r="AJ166" s="5"/>
      <c r="AK166" s="5"/>
      <c r="AL166" s="5"/>
    </row>
    <row r="167" spans="6:38" ht="15.6"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88" t="s">
        <v>393</v>
      </c>
      <c r="Y167" s="94" t="s">
        <v>135</v>
      </c>
      <c r="Z167" s="129">
        <f>Database!$C$46*(($H$52+273.15)-(Database!$H$13))+((Database!$D$46*(($H$52+273.15)^2-(Database!$H$13)^2))/2)+((Database!$E$46*(($H$52+273.15)^3-(Database!$H$13)^3))/3)+((Database!$F$46*(($H$52+273.15)^4-(Database!$H$13)^4))/4)</f>
        <v>32.025013020414683</v>
      </c>
      <c r="AA167" s="5" t="s">
        <v>279</v>
      </c>
      <c r="AB167" s="5"/>
      <c r="AC167" s="5"/>
      <c r="AD167" s="6"/>
      <c r="AE167" s="5"/>
      <c r="AF167" s="5"/>
      <c r="AG167" s="5"/>
      <c r="AH167" s="5"/>
      <c r="AI167" s="5"/>
      <c r="AJ167" s="5"/>
      <c r="AK167" s="5"/>
      <c r="AL167" s="5"/>
    </row>
    <row r="168" spans="6:38" ht="15.6"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181"/>
      <c r="Y168" s="153"/>
      <c r="Z168" s="5"/>
      <c r="AA168" s="5"/>
      <c r="AB168" s="5"/>
      <c r="AC168" s="5"/>
      <c r="AD168" s="6"/>
      <c r="AE168" s="5"/>
      <c r="AF168" s="5"/>
      <c r="AG168" s="5"/>
      <c r="AH168" s="5"/>
      <c r="AI168" s="5"/>
      <c r="AJ168" s="5"/>
      <c r="AK168" s="5"/>
      <c r="AL168" s="5"/>
    </row>
    <row r="169" spans="6:38" ht="15.6"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88" t="s">
        <v>289</v>
      </c>
      <c r="Y169" s="94" t="s">
        <v>135</v>
      </c>
      <c r="Z169" s="9" t="s">
        <v>392</v>
      </c>
      <c r="AA169" s="61" t="s">
        <v>284</v>
      </c>
      <c r="AB169" s="9" t="s">
        <v>394</v>
      </c>
      <c r="AC169" s="61" t="s">
        <v>284</v>
      </c>
      <c r="AD169" s="121" t="s">
        <v>393</v>
      </c>
      <c r="AE169" s="5"/>
      <c r="AF169" s="5"/>
      <c r="AG169" s="5"/>
      <c r="AH169" s="5"/>
      <c r="AI169" s="5"/>
      <c r="AJ169" s="5"/>
      <c r="AK169" s="5"/>
      <c r="AL169" s="5"/>
    </row>
    <row r="170" spans="6:38" ht="15.6"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135" t="s">
        <v>289</v>
      </c>
      <c r="Y170" s="182" t="s">
        <v>135</v>
      </c>
      <c r="Z170" s="119">
        <f>Z167+Z163+Z159</f>
        <v>-20259.889647114687</v>
      </c>
      <c r="AA170" s="11" t="s">
        <v>279</v>
      </c>
      <c r="AB170" s="11"/>
      <c r="AC170" s="11"/>
      <c r="AD170" s="12"/>
      <c r="AE170" s="5"/>
      <c r="AF170" s="5"/>
      <c r="AG170" s="5"/>
      <c r="AH170" s="5"/>
      <c r="AI170" s="5"/>
      <c r="AJ170" s="5"/>
      <c r="AK170" s="5"/>
      <c r="AL170" s="5"/>
    </row>
    <row r="171" spans="6:38" ht="15.6"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148"/>
      <c r="Y171" s="148"/>
      <c r="Z171" s="148"/>
      <c r="AA171" s="148"/>
      <c r="AB171" s="148"/>
      <c r="AC171" s="148"/>
      <c r="AD171" s="148"/>
      <c r="AE171" s="5"/>
      <c r="AF171" s="5"/>
      <c r="AG171" s="5"/>
      <c r="AH171" s="5"/>
      <c r="AI171" s="5"/>
      <c r="AJ171" s="5"/>
      <c r="AK171" s="5"/>
      <c r="AL171" s="5"/>
    </row>
    <row r="172" spans="6:38" ht="15.6"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1"/>
      <c r="Y172" s="2"/>
      <c r="Z172" s="91" t="s">
        <v>290</v>
      </c>
      <c r="AA172" s="2"/>
      <c r="AB172" s="2"/>
      <c r="AC172" s="2"/>
      <c r="AD172" s="3"/>
      <c r="AE172" s="5"/>
      <c r="AF172" s="5"/>
      <c r="AG172" s="5"/>
      <c r="AH172" s="5"/>
      <c r="AI172" s="5"/>
      <c r="AJ172" s="5"/>
      <c r="AK172" s="5"/>
      <c r="AL172" s="5"/>
    </row>
    <row r="173" spans="6:38" ht="15.6"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116" t="s">
        <v>364</v>
      </c>
      <c r="Y173" s="5"/>
      <c r="Z173" s="5"/>
      <c r="AA173" s="5"/>
      <c r="AB173" s="109" t="s">
        <v>456</v>
      </c>
      <c r="AC173" s="5"/>
      <c r="AD173" s="6"/>
      <c r="AE173" s="5"/>
      <c r="AF173" s="5"/>
      <c r="AG173" s="5"/>
      <c r="AH173" s="5"/>
      <c r="AI173" s="5"/>
      <c r="AJ173" s="5"/>
      <c r="AK173" s="5"/>
      <c r="AL173" s="5"/>
    </row>
    <row r="174" spans="6:38" ht="15.6"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4"/>
      <c r="Y174" s="5"/>
      <c r="Z174" s="5"/>
      <c r="AA174" s="5"/>
      <c r="AB174" s="5"/>
      <c r="AC174" s="5"/>
      <c r="AD174" s="6"/>
      <c r="AE174" s="5"/>
      <c r="AF174" s="5"/>
      <c r="AG174" s="5"/>
      <c r="AH174" s="5"/>
      <c r="AI174" s="5"/>
      <c r="AJ174" s="5"/>
      <c r="AK174" s="5"/>
      <c r="AL174" s="5"/>
    </row>
    <row r="175" spans="6:38" ht="15.6"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116" t="s">
        <v>422</v>
      </c>
      <c r="Y175" s="5"/>
      <c r="Z175" s="5"/>
      <c r="AA175" s="5"/>
      <c r="AB175" s="9" t="s">
        <v>423</v>
      </c>
      <c r="AC175" s="5"/>
      <c r="AD175" s="6"/>
      <c r="AE175" s="5"/>
      <c r="AF175" s="5"/>
      <c r="AG175" s="5"/>
      <c r="AH175" s="5"/>
      <c r="AI175" s="5"/>
      <c r="AJ175" s="5"/>
      <c r="AK175" s="5"/>
      <c r="AL175" s="5"/>
    </row>
    <row r="176" spans="6:38" ht="15.6"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4"/>
      <c r="Y176" s="9" t="s">
        <v>368</v>
      </c>
      <c r="Z176" s="5"/>
      <c r="AA176" s="9" t="s">
        <v>369</v>
      </c>
      <c r="AB176" s="5"/>
      <c r="AC176" s="5"/>
      <c r="AD176" s="6"/>
      <c r="AE176" s="5"/>
      <c r="AF176" s="5"/>
      <c r="AG176" s="5"/>
      <c r="AH176" s="5"/>
      <c r="AI176" s="5"/>
      <c r="AJ176" s="5"/>
      <c r="AK176" s="5"/>
      <c r="AL176" s="5"/>
    </row>
    <row r="177" spans="6:38" ht="15.6"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4"/>
      <c r="Y177" s="5"/>
      <c r="Z177" s="9" t="s">
        <v>424</v>
      </c>
      <c r="AA177" s="5"/>
      <c r="AB177" s="5"/>
      <c r="AC177" s="5"/>
      <c r="AD177" s="6"/>
      <c r="AE177" s="5"/>
      <c r="AF177" s="5"/>
      <c r="AG177" s="5"/>
      <c r="AH177" s="5"/>
      <c r="AI177" s="5"/>
      <c r="AJ177" s="5"/>
      <c r="AK177" s="5"/>
      <c r="AL177" s="5"/>
    </row>
    <row r="178" spans="6:38" ht="15.6"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181" t="s">
        <v>581</v>
      </c>
      <c r="Y178" s="21"/>
      <c r="Z178" s="5"/>
      <c r="AA178" s="148"/>
      <c r="AB178" s="5"/>
      <c r="AC178" s="5"/>
      <c r="AD178" s="6"/>
      <c r="AE178" s="5"/>
      <c r="AF178" s="5"/>
      <c r="AG178" s="5"/>
      <c r="AH178" s="5"/>
      <c r="AI178" s="5"/>
      <c r="AJ178" s="5"/>
      <c r="AK178" s="5"/>
      <c r="AL178" s="5"/>
    </row>
    <row r="179" spans="6:38" ht="49.8" customHeight="1"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88" t="s">
        <v>422</v>
      </c>
      <c r="Y179" s="94" t="s">
        <v>135</v>
      </c>
      <c r="Z179" s="377"/>
      <c r="AA179" s="377"/>
      <c r="AB179" s="377"/>
      <c r="AC179" s="377"/>
      <c r="AD179" s="465"/>
      <c r="AE179" s="5"/>
      <c r="AF179" s="5"/>
      <c r="AG179" s="5"/>
      <c r="AH179" s="5"/>
      <c r="AI179" s="5"/>
      <c r="AJ179" s="5"/>
      <c r="AK179" s="5"/>
      <c r="AL179" s="5"/>
    </row>
    <row r="180" spans="6:38" ht="15.6"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88" t="s">
        <v>422</v>
      </c>
      <c r="Y180" s="94" t="s">
        <v>135</v>
      </c>
      <c r="Z180" s="96">
        <f>(Database!$C$35*((Database!$H$14)-($AA$51+273.15)))+(((Database!$D$35)*((Database!$H$14)^2-($AA$51+273.15)^2))/2)+((Database!$E$35*((Database!$H$14)^3-($AA$51+273.15)^3))/3)+((Database!$F$35*((Database!$H$14)^4-($AA$51+273.15)^4))/4)+((Database!$G$35)*((Database!$H$14)^(5)-($AA$51+273.15)^5))/5</f>
        <v>83864.044961042237</v>
      </c>
      <c r="AA180" s="5" t="s">
        <v>279</v>
      </c>
      <c r="AB180" s="5"/>
      <c r="AC180" s="5"/>
      <c r="AD180" s="6"/>
      <c r="AE180" s="5"/>
      <c r="AF180" s="5"/>
      <c r="AG180" s="5"/>
      <c r="AH180" s="5"/>
      <c r="AI180" s="5"/>
      <c r="AJ180" s="5"/>
      <c r="AK180" s="5"/>
      <c r="AL180" s="5"/>
    </row>
    <row r="181" spans="6:38" ht="15.6"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181"/>
      <c r="Y181" s="168"/>
      <c r="Z181" s="148"/>
      <c r="AA181" s="5"/>
      <c r="AB181" s="5"/>
      <c r="AC181" s="5"/>
      <c r="AD181" s="6"/>
      <c r="AE181" s="5"/>
      <c r="AF181" s="5"/>
      <c r="AG181" s="5"/>
      <c r="AH181" s="5"/>
      <c r="AI181" s="5"/>
      <c r="AJ181" s="5"/>
      <c r="AK181" s="5"/>
      <c r="AL181" s="5"/>
    </row>
    <row r="182" spans="6:38" ht="15.6"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181" t="s">
        <v>371</v>
      </c>
      <c r="Y182" s="21"/>
      <c r="Z182" s="5"/>
      <c r="AA182" s="5"/>
      <c r="AB182" s="5"/>
      <c r="AC182" s="5"/>
      <c r="AD182" s="6"/>
      <c r="AE182" s="5"/>
      <c r="AF182" s="5"/>
      <c r="AG182" s="5"/>
      <c r="AH182" s="5"/>
      <c r="AI182" s="5"/>
      <c r="AJ182" s="5"/>
      <c r="AK182" s="5"/>
      <c r="AL182" s="5"/>
    </row>
    <row r="183" spans="6:38" ht="15.6"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88" t="s">
        <v>424</v>
      </c>
      <c r="Y183" s="94" t="s">
        <v>135</v>
      </c>
      <c r="Z183" s="94" t="s">
        <v>554</v>
      </c>
      <c r="AA183" s="5"/>
      <c r="AB183" s="5"/>
      <c r="AC183" s="5"/>
      <c r="AD183" s="6"/>
      <c r="AE183" s="5"/>
      <c r="AF183" s="5"/>
      <c r="AG183" s="5"/>
      <c r="AH183" s="5"/>
      <c r="AI183" s="5"/>
      <c r="AJ183" s="5"/>
      <c r="AK183" s="5"/>
      <c r="AL183" s="5"/>
    </row>
    <row r="184" spans="6:38" ht="15.6"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88" t="s">
        <v>424</v>
      </c>
      <c r="Y184" s="94" t="s">
        <v>135</v>
      </c>
      <c r="Z184" s="9">
        <f>Database!$I$24*1000*-1</f>
        <v>-70680</v>
      </c>
      <c r="AA184" s="5" t="s">
        <v>279</v>
      </c>
      <c r="AB184" s="5"/>
      <c r="AC184" s="5"/>
      <c r="AD184" s="6"/>
      <c r="AE184" s="5"/>
      <c r="AF184" s="5"/>
      <c r="AG184" s="5"/>
      <c r="AH184" s="5"/>
      <c r="AI184" s="5"/>
      <c r="AJ184" s="5"/>
      <c r="AK184" s="5"/>
      <c r="AL184" s="5"/>
    </row>
    <row r="185" spans="6:38" ht="15.6"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181"/>
      <c r="Y185" s="21"/>
      <c r="Z185" s="5"/>
      <c r="AA185" s="5"/>
      <c r="AB185" s="5"/>
      <c r="AC185" s="5"/>
      <c r="AD185" s="6"/>
      <c r="AE185" s="5"/>
      <c r="AF185" s="5"/>
      <c r="AG185" s="5"/>
      <c r="AH185" s="5"/>
      <c r="AI185" s="5"/>
      <c r="AJ185" s="5"/>
      <c r="AK185" s="5"/>
      <c r="AL185" s="5"/>
    </row>
    <row r="186" spans="6:38" ht="15.6"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181" t="s">
        <v>587</v>
      </c>
      <c r="Y186" s="153"/>
      <c r="Z186" s="5"/>
      <c r="AA186" s="5"/>
      <c r="AB186" s="5"/>
      <c r="AC186" s="5"/>
      <c r="AD186" s="6"/>
      <c r="AE186" s="5"/>
      <c r="AF186" s="5"/>
      <c r="AG186" s="5"/>
      <c r="AH186" s="5"/>
      <c r="AI186" s="5"/>
      <c r="AJ186" s="5"/>
      <c r="AK186" s="5"/>
      <c r="AL186" s="5"/>
    </row>
    <row r="187" spans="6:38" ht="56.4" customHeight="1"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88" t="s">
        <v>423</v>
      </c>
      <c r="Y187" s="94" t="s">
        <v>135</v>
      </c>
      <c r="Z187" s="377"/>
      <c r="AA187" s="377"/>
      <c r="AB187" s="377"/>
      <c r="AC187" s="377"/>
      <c r="AD187" s="465"/>
      <c r="AE187" s="5"/>
      <c r="AF187" s="5"/>
      <c r="AG187" s="5"/>
      <c r="AH187" s="5"/>
      <c r="AI187" s="5"/>
      <c r="AJ187" s="5"/>
      <c r="AK187" s="5"/>
      <c r="AL187" s="5"/>
    </row>
    <row r="188" spans="6:38" ht="15.6"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88" t="s">
        <v>423</v>
      </c>
      <c r="Y188" s="94" t="s">
        <v>135</v>
      </c>
      <c r="Z188" s="129">
        <f>Database!$C$47*(($H$52+273.15)-(Database!$H$14))+((Database!$D$47*(($H$52+273.15)^2-(Database!$H$14)^2))/2)+((Database!$E$47*(($H$52+273.15)^3-(Database!$H$14)^3))/3)+((Database!$F$47*(($H$52+273.15)^4-(Database!$H$14)^4))/4)</f>
        <v>-30462.035408331561</v>
      </c>
      <c r="AA188" s="5" t="s">
        <v>279</v>
      </c>
      <c r="AB188" s="5"/>
      <c r="AC188" s="5"/>
      <c r="AD188" s="6"/>
      <c r="AE188" s="5"/>
      <c r="AF188" s="5"/>
      <c r="AG188" s="5"/>
      <c r="AH188" s="5"/>
      <c r="AI188" s="5"/>
      <c r="AJ188" s="5"/>
      <c r="AK188" s="5"/>
      <c r="AL188" s="5"/>
    </row>
    <row r="189" spans="6:38" ht="15.6"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181"/>
      <c r="Y189" s="153"/>
      <c r="Z189" s="5"/>
      <c r="AA189" s="5"/>
      <c r="AB189" s="5"/>
      <c r="AC189" s="5"/>
      <c r="AD189" s="6"/>
      <c r="AE189" s="5"/>
      <c r="AF189" s="5"/>
      <c r="AG189" s="5"/>
      <c r="AH189" s="5"/>
      <c r="AI189" s="5"/>
      <c r="AJ189" s="5"/>
      <c r="AK189" s="5"/>
      <c r="AL189" s="5"/>
    </row>
    <row r="190" spans="6:38" ht="15.6"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88" t="s">
        <v>290</v>
      </c>
      <c r="Y190" s="94" t="s">
        <v>135</v>
      </c>
      <c r="Z190" s="9" t="s">
        <v>422</v>
      </c>
      <c r="AA190" s="117" t="s">
        <v>284</v>
      </c>
      <c r="AB190" s="9" t="s">
        <v>424</v>
      </c>
      <c r="AC190" s="117" t="s">
        <v>284</v>
      </c>
      <c r="AD190" s="121" t="s">
        <v>423</v>
      </c>
      <c r="AE190" s="5"/>
      <c r="AF190" s="5"/>
      <c r="AG190" s="5"/>
      <c r="AH190" s="5"/>
      <c r="AI190" s="5"/>
      <c r="AJ190" s="5"/>
      <c r="AK190" s="5"/>
      <c r="AL190" s="5"/>
    </row>
    <row r="191" spans="6:38" ht="15.6"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135" t="s">
        <v>290</v>
      </c>
      <c r="Y191" s="182" t="s">
        <v>135</v>
      </c>
      <c r="Z191" s="119">
        <f>Z188+Z184+Z180</f>
        <v>-17277.990447289325</v>
      </c>
      <c r="AA191" s="11" t="s">
        <v>279</v>
      </c>
      <c r="AB191" s="11"/>
      <c r="AC191" s="11"/>
      <c r="AD191" s="12"/>
      <c r="AE191" s="5"/>
      <c r="AF191" s="5"/>
      <c r="AG191" s="5"/>
      <c r="AH191" s="5"/>
      <c r="AI191" s="5"/>
      <c r="AJ191" s="5"/>
      <c r="AK191" s="5"/>
      <c r="AL191" s="5"/>
    </row>
    <row r="192" spans="6:38" ht="15.6"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 spans="6:38" ht="15.6"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1"/>
      <c r="Y193" s="2"/>
      <c r="Z193" s="91" t="s">
        <v>292</v>
      </c>
      <c r="AA193" s="2"/>
      <c r="AB193" s="2"/>
      <c r="AC193" s="2"/>
      <c r="AD193" s="3"/>
      <c r="AE193" s="5"/>
      <c r="AF193" s="5"/>
      <c r="AG193" s="5"/>
      <c r="AH193" s="5"/>
      <c r="AI193" s="5"/>
      <c r="AJ193" s="5"/>
      <c r="AK193" s="5"/>
      <c r="AL193" s="5"/>
    </row>
    <row r="194" spans="6:38" ht="15.6"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116" t="s">
        <v>355</v>
      </c>
      <c r="Y194" s="5"/>
      <c r="Z194" s="5"/>
      <c r="AA194" s="5"/>
      <c r="AB194" s="109" t="s">
        <v>460</v>
      </c>
      <c r="AC194" s="5"/>
      <c r="AD194" s="6"/>
      <c r="AE194" s="5"/>
      <c r="AF194" s="5"/>
      <c r="AG194" s="5"/>
      <c r="AH194" s="5"/>
      <c r="AI194" s="5"/>
      <c r="AJ194" s="5"/>
      <c r="AK194" s="5"/>
      <c r="AL194" s="5"/>
    </row>
    <row r="195" spans="6:38" ht="15.6"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156" t="s">
        <v>339</v>
      </c>
      <c r="Y195" s="5"/>
      <c r="Z195" s="5"/>
      <c r="AA195" s="5"/>
      <c r="AB195" s="64" t="s">
        <v>340</v>
      </c>
      <c r="AC195" s="5"/>
      <c r="AD195" s="6"/>
      <c r="AE195" s="5"/>
      <c r="AF195" s="5"/>
      <c r="AG195" s="5"/>
      <c r="AH195" s="5"/>
      <c r="AI195" s="5"/>
      <c r="AJ195" s="5"/>
      <c r="AK195" s="5"/>
      <c r="AL195" s="5"/>
    </row>
    <row r="196" spans="6:38" ht="15.6"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172"/>
      <c r="Y196" s="5"/>
      <c r="Z196" s="5"/>
      <c r="AA196" s="5"/>
      <c r="AB196" s="148"/>
      <c r="AC196" s="5"/>
      <c r="AD196" s="6"/>
      <c r="AE196" s="5"/>
      <c r="AF196" s="5"/>
      <c r="AG196" s="5"/>
      <c r="AH196" s="5"/>
      <c r="AI196" s="5"/>
      <c r="AJ196" s="5"/>
      <c r="AK196" s="5"/>
      <c r="AL196" s="5"/>
    </row>
    <row r="197" spans="6:38" ht="15.6"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4"/>
      <c r="Y197" s="9" t="s">
        <v>359</v>
      </c>
      <c r="Z197" s="9" t="s">
        <v>343</v>
      </c>
      <c r="AA197" s="9" t="s">
        <v>360</v>
      </c>
      <c r="AB197" s="5"/>
      <c r="AC197" s="5"/>
      <c r="AD197" s="6"/>
      <c r="AE197" s="5"/>
      <c r="AF197" s="5"/>
      <c r="AG197" s="5"/>
      <c r="AH197" s="5"/>
      <c r="AI197" s="5"/>
      <c r="AJ197" s="5"/>
      <c r="AK197" s="5"/>
      <c r="AL197" s="5"/>
    </row>
    <row r="198" spans="6:38" ht="15.6"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4"/>
      <c r="Y198" s="5"/>
      <c r="Z198" s="148"/>
      <c r="AA198" s="5"/>
      <c r="AB198" s="5"/>
      <c r="AC198" s="5"/>
      <c r="AD198" s="6"/>
      <c r="AE198" s="5"/>
      <c r="AF198" s="5"/>
      <c r="AG198" s="5"/>
      <c r="AH198" s="5"/>
      <c r="AI198" s="5"/>
      <c r="AJ198" s="5"/>
      <c r="AK198" s="5"/>
      <c r="AL198" s="5"/>
    </row>
    <row r="199" spans="6:38" ht="15.6"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181" t="s">
        <v>579</v>
      </c>
      <c r="Y199" s="21"/>
      <c r="Z199" s="5"/>
      <c r="AA199" s="148"/>
      <c r="AB199" s="5"/>
      <c r="AC199" s="5"/>
      <c r="AD199" s="6"/>
      <c r="AE199" s="5"/>
      <c r="AF199" s="5"/>
      <c r="AG199" s="5"/>
      <c r="AH199" s="5"/>
      <c r="AI199" s="5"/>
      <c r="AJ199" s="5"/>
      <c r="AK199" s="5"/>
      <c r="AL199" s="5"/>
    </row>
    <row r="200" spans="6:38" ht="48" customHeight="1"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88" t="s">
        <v>339</v>
      </c>
      <c r="Y200" s="94" t="s">
        <v>135</v>
      </c>
      <c r="Z200" s="377"/>
      <c r="AA200" s="377"/>
      <c r="AB200" s="377"/>
      <c r="AC200" s="377"/>
      <c r="AD200" s="465"/>
      <c r="AE200" s="5"/>
      <c r="AF200" s="5"/>
      <c r="AG200" s="5"/>
      <c r="AH200" s="5"/>
      <c r="AI200" s="5"/>
      <c r="AJ200" s="5"/>
      <c r="AK200" s="5"/>
      <c r="AL200" s="5"/>
    </row>
    <row r="201" spans="6:38" ht="15.6"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88" t="s">
        <v>339</v>
      </c>
      <c r="Y201" s="94" t="s">
        <v>135</v>
      </c>
      <c r="Z201" s="96">
        <f>(Database!$C$34*((Database!$H$13)-($AA$51+273.15)))+(((Database!$D$34)*((Database!$H$13)^2-($AA$51+273.15)^2))/2)+((Database!$E$34*((Database!$H$13)^3-($AA$51+273.15)^3))/3)+((Database!$F$34*((Database!$H$13)^4-($AA$51+273.15)^4))/4)+((Database!$G$34)*((Database!$H$13)^(5)-($AA$51+273.15)^5))/5</f>
        <v>44168.085339864891</v>
      </c>
      <c r="AA201" s="5" t="s">
        <v>279</v>
      </c>
      <c r="AB201" s="5"/>
      <c r="AC201" s="5"/>
      <c r="AD201" s="6"/>
      <c r="AE201" s="5"/>
      <c r="AF201" s="5"/>
      <c r="AG201" s="5"/>
      <c r="AH201" s="5"/>
      <c r="AI201" s="5"/>
      <c r="AJ201" s="5"/>
      <c r="AK201" s="5"/>
      <c r="AL201" s="5"/>
    </row>
    <row r="202" spans="6:38" ht="15.6"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181"/>
      <c r="Y202" s="168"/>
      <c r="Z202" s="148"/>
      <c r="AA202" s="5"/>
      <c r="AB202" s="5"/>
      <c r="AC202" s="5"/>
      <c r="AD202" s="6"/>
      <c r="AE202" s="5"/>
      <c r="AF202" s="5"/>
      <c r="AG202" s="5"/>
      <c r="AH202" s="5"/>
      <c r="AI202" s="5"/>
      <c r="AJ202" s="5"/>
      <c r="AK202" s="5"/>
      <c r="AL202" s="5"/>
    </row>
    <row r="203" spans="6:38" ht="15.6"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181" t="s">
        <v>362</v>
      </c>
      <c r="Y203" s="21"/>
      <c r="Z203" s="5"/>
      <c r="AA203" s="5"/>
      <c r="AB203" s="5"/>
      <c r="AC203" s="5"/>
      <c r="AD203" s="6"/>
      <c r="AE203" s="5"/>
      <c r="AF203" s="5"/>
      <c r="AG203" s="5"/>
      <c r="AH203" s="5"/>
      <c r="AI203" s="5"/>
      <c r="AJ203" s="5"/>
      <c r="AK203" s="5"/>
      <c r="AL203" s="5"/>
    </row>
    <row r="204" spans="6:38" ht="15.6"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88" t="s">
        <v>343</v>
      </c>
      <c r="Y204" s="94" t="s">
        <v>135</v>
      </c>
      <c r="Z204" s="94" t="s">
        <v>553</v>
      </c>
      <c r="AA204" s="5"/>
      <c r="AB204" s="5"/>
      <c r="AC204" s="5"/>
      <c r="AD204" s="6"/>
      <c r="AE204" s="5"/>
      <c r="AF204" s="5"/>
      <c r="AG204" s="5"/>
      <c r="AH204" s="5"/>
      <c r="AI204" s="5"/>
      <c r="AJ204" s="5"/>
      <c r="AK204" s="5"/>
      <c r="AL204" s="5"/>
    </row>
    <row r="205" spans="6:38" ht="15.6"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88" t="s">
        <v>343</v>
      </c>
      <c r="Y205" s="94" t="s">
        <v>135</v>
      </c>
      <c r="Z205" s="9">
        <f>Database!$I$23*1000*-1</f>
        <v>-64459.999999999993</v>
      </c>
      <c r="AA205" s="5" t="s">
        <v>279</v>
      </c>
      <c r="AB205" s="5"/>
      <c r="AC205" s="5"/>
      <c r="AD205" s="6"/>
      <c r="AE205" s="5"/>
      <c r="AF205" s="5"/>
      <c r="AG205" s="5"/>
      <c r="AH205" s="5"/>
      <c r="AI205" s="5"/>
      <c r="AJ205" s="5"/>
      <c r="AK205" s="5"/>
      <c r="AL205" s="5"/>
    </row>
    <row r="206" spans="6:38" ht="15.6"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181"/>
      <c r="Y206" s="21"/>
      <c r="Z206" s="5"/>
      <c r="AA206" s="5"/>
      <c r="AB206" s="5"/>
      <c r="AC206" s="5"/>
      <c r="AD206" s="6"/>
      <c r="AE206" s="5"/>
      <c r="AF206" s="5"/>
      <c r="AG206" s="5"/>
      <c r="AH206" s="5"/>
      <c r="AI206" s="5"/>
      <c r="AJ206" s="5"/>
      <c r="AK206" s="5"/>
      <c r="AL206" s="5"/>
    </row>
    <row r="207" spans="6:38" ht="15.6">
      <c r="X207" s="181" t="s">
        <v>588</v>
      </c>
      <c r="Y207" s="153"/>
      <c r="Z207" s="5"/>
      <c r="AA207" s="5"/>
      <c r="AB207" s="5"/>
      <c r="AC207" s="5"/>
      <c r="AD207" s="6"/>
      <c r="AE207" s="148"/>
    </row>
    <row r="208" spans="6:38" ht="49.8" customHeight="1">
      <c r="X208" s="88" t="s">
        <v>340</v>
      </c>
      <c r="Y208" s="94" t="s">
        <v>135</v>
      </c>
      <c r="Z208" s="377"/>
      <c r="AA208" s="377"/>
      <c r="AB208" s="377"/>
      <c r="AC208" s="377"/>
      <c r="AD208" s="465"/>
      <c r="AE208" s="148"/>
    </row>
    <row r="209" spans="24:31" ht="15.6">
      <c r="X209" s="88" t="s">
        <v>340</v>
      </c>
      <c r="Y209" s="94" t="s">
        <v>135</v>
      </c>
      <c r="Z209" s="129">
        <f>Database!$C$46*(($N$22+273.15)-(Database!$H$13))+((Database!$D$46*(($N$22+273.15)^2-(Database!$H$13)^2))/2)+((Database!$E$46*(($N$22+273.15)^3-(Database!$H$13)^3))/3)+((Database!$F$46*(($N$22+273.15)^4-(Database!$H$13)^4))/4)</f>
        <v>20177.910611806194</v>
      </c>
      <c r="AA209" s="5" t="s">
        <v>279</v>
      </c>
      <c r="AB209" s="5"/>
      <c r="AC209" s="5"/>
      <c r="AD209" s="6"/>
      <c r="AE209" s="148"/>
    </row>
    <row r="210" spans="24:31" ht="15.6">
      <c r="X210" s="181"/>
      <c r="Y210" s="153"/>
      <c r="Z210" s="5"/>
      <c r="AA210" s="5"/>
      <c r="AB210" s="5"/>
      <c r="AC210" s="5"/>
      <c r="AD210" s="6"/>
      <c r="AE210" s="148"/>
    </row>
    <row r="211" spans="24:31" ht="15.6">
      <c r="X211" s="88" t="s">
        <v>292</v>
      </c>
      <c r="Y211" s="94" t="s">
        <v>135</v>
      </c>
      <c r="Z211" s="9" t="s">
        <v>339</v>
      </c>
      <c r="AA211" s="117" t="s">
        <v>284</v>
      </c>
      <c r="AB211" s="9" t="s">
        <v>343</v>
      </c>
      <c r="AC211" s="117" t="s">
        <v>284</v>
      </c>
      <c r="AD211" s="121" t="s">
        <v>340</v>
      </c>
      <c r="AE211" s="148"/>
    </row>
    <row r="212" spans="24:31" ht="15.6">
      <c r="X212" s="135" t="s">
        <v>292</v>
      </c>
      <c r="Y212" s="182" t="s">
        <v>135</v>
      </c>
      <c r="Z212" s="119">
        <f>Z209+Z205+Z201</f>
        <v>-114.0040483289049</v>
      </c>
      <c r="AA212" s="11" t="s">
        <v>279</v>
      </c>
      <c r="AB212" s="11"/>
      <c r="AC212" s="11"/>
      <c r="AD212" s="12"/>
      <c r="AE212" s="148"/>
    </row>
    <row r="213" spans="24:31" ht="15.75" customHeight="1">
      <c r="X213" s="148"/>
      <c r="Y213" s="148"/>
      <c r="Z213" s="148"/>
      <c r="AA213" s="148"/>
      <c r="AB213" s="148"/>
      <c r="AC213" s="148"/>
      <c r="AD213" s="148"/>
      <c r="AE213" s="148"/>
    </row>
    <row r="214" spans="24:31" ht="15.6">
      <c r="X214" s="1"/>
      <c r="Y214" s="2"/>
      <c r="Z214" s="91" t="s">
        <v>345</v>
      </c>
      <c r="AA214" s="2"/>
      <c r="AB214" s="2"/>
      <c r="AC214" s="2"/>
      <c r="AD214" s="3"/>
      <c r="AE214" s="148"/>
    </row>
    <row r="215" spans="24:31" ht="15.6">
      <c r="X215" s="116" t="s">
        <v>364</v>
      </c>
      <c r="Y215" s="5"/>
      <c r="Z215" s="5"/>
      <c r="AA215" s="5"/>
      <c r="AB215" s="109" t="s">
        <v>457</v>
      </c>
      <c r="AC215" s="5"/>
      <c r="AD215" s="6"/>
      <c r="AE215" s="148"/>
    </row>
    <row r="216" spans="24:31" ht="15.6">
      <c r="X216" s="156" t="s">
        <v>348</v>
      </c>
      <c r="Y216" s="5"/>
      <c r="Z216" s="5"/>
      <c r="AA216" s="5"/>
      <c r="AB216" s="64" t="s">
        <v>349</v>
      </c>
      <c r="AC216" s="5"/>
      <c r="AD216" s="6"/>
      <c r="AE216" s="148"/>
    </row>
    <row r="217" spans="24:31" ht="15.6">
      <c r="X217" s="172"/>
      <c r="Y217" s="5"/>
      <c r="Z217" s="5"/>
      <c r="AA217" s="5"/>
      <c r="AB217" s="148"/>
      <c r="AC217" s="5"/>
      <c r="AD217" s="6"/>
      <c r="AE217" s="148"/>
    </row>
    <row r="218" spans="24:31" ht="15.6">
      <c r="X218" s="4"/>
      <c r="Y218" s="9" t="s">
        <v>368</v>
      </c>
      <c r="Z218" s="9" t="s">
        <v>352</v>
      </c>
      <c r="AA218" s="9" t="s">
        <v>369</v>
      </c>
      <c r="AB218" s="5"/>
      <c r="AC218" s="5"/>
      <c r="AD218" s="6"/>
      <c r="AE218" s="148"/>
    </row>
    <row r="219" spans="24:31" ht="15.6">
      <c r="X219" s="4"/>
      <c r="Y219" s="5"/>
      <c r="Z219" s="148"/>
      <c r="AA219" s="5"/>
      <c r="AB219" s="5"/>
      <c r="AC219" s="5"/>
      <c r="AD219" s="6"/>
      <c r="AE219" s="148"/>
    </row>
    <row r="220" spans="24:31" ht="15.6">
      <c r="X220" s="181" t="s">
        <v>581</v>
      </c>
      <c r="Y220" s="21"/>
      <c r="Z220" s="5"/>
      <c r="AA220" s="148"/>
      <c r="AB220" s="5"/>
      <c r="AC220" s="5"/>
      <c r="AD220" s="6"/>
      <c r="AE220" s="148"/>
    </row>
    <row r="221" spans="24:31" ht="51" customHeight="1">
      <c r="X221" s="88" t="s">
        <v>348</v>
      </c>
      <c r="Y221" s="94" t="s">
        <v>135</v>
      </c>
      <c r="Z221" s="377"/>
      <c r="AA221" s="377"/>
      <c r="AB221" s="377"/>
      <c r="AC221" s="377"/>
      <c r="AD221" s="465"/>
      <c r="AE221" s="148"/>
    </row>
    <row r="222" spans="24:31" ht="15.6">
      <c r="X222" s="88" t="s">
        <v>348</v>
      </c>
      <c r="Y222" s="94" t="s">
        <v>135</v>
      </c>
      <c r="Z222" s="96">
        <f>(Database!$C$35*((Database!$H$14)-($AA$51+273.15)))+(((Database!$D$35)*((Database!$H$14)^2-($AA$51+273.15)^2))/2)+((Database!$E$35*((Database!$H$14)^3-($AA$51+273.15)^3))/3)+((Database!$F$35*((Database!$H$14)^4-($AA$51+273.15)^4))/4)+((Database!$G$35)*((Database!$H$14)^(5)-($AA$51+273.15)^5))/5</f>
        <v>83864.044961042237</v>
      </c>
      <c r="AA222" s="5" t="s">
        <v>279</v>
      </c>
      <c r="AB222" s="5"/>
      <c r="AC222" s="5"/>
      <c r="AD222" s="6"/>
      <c r="AE222" s="148"/>
    </row>
    <row r="223" spans="24:31" ht="15.6">
      <c r="X223" s="181"/>
      <c r="Y223" s="168"/>
      <c r="Z223" s="148"/>
      <c r="AA223" s="5"/>
      <c r="AB223" s="5"/>
      <c r="AC223" s="5"/>
      <c r="AD223" s="6"/>
      <c r="AE223" s="148"/>
    </row>
    <row r="224" spans="24:31" ht="15.6">
      <c r="X224" s="181" t="s">
        <v>371</v>
      </c>
      <c r="Y224" s="21"/>
      <c r="Z224" s="5"/>
      <c r="AA224" s="5"/>
      <c r="AB224" s="5"/>
      <c r="AC224" s="5"/>
      <c r="AD224" s="6"/>
      <c r="AE224" s="148"/>
    </row>
    <row r="225" spans="24:31" ht="15.6">
      <c r="X225" s="88" t="s">
        <v>352</v>
      </c>
      <c r="Y225" s="94" t="s">
        <v>135</v>
      </c>
      <c r="Z225" s="94" t="s">
        <v>554</v>
      </c>
      <c r="AA225" s="5"/>
      <c r="AB225" s="5"/>
      <c r="AC225" s="5"/>
      <c r="AD225" s="6"/>
      <c r="AE225" s="148"/>
    </row>
    <row r="226" spans="24:31" ht="15.6">
      <c r="X226" s="88" t="s">
        <v>352</v>
      </c>
      <c r="Y226" s="94" t="s">
        <v>135</v>
      </c>
      <c r="Z226" s="9">
        <f>Database!$I$24*1000*-1</f>
        <v>-70680</v>
      </c>
      <c r="AA226" s="5" t="s">
        <v>279</v>
      </c>
      <c r="AB226" s="5"/>
      <c r="AC226" s="5"/>
      <c r="AD226" s="6"/>
      <c r="AE226" s="148"/>
    </row>
    <row r="227" spans="24:31" ht="15.6">
      <c r="X227" s="181"/>
      <c r="Y227" s="21"/>
      <c r="Z227" s="5"/>
      <c r="AA227" s="5"/>
      <c r="AB227" s="5"/>
      <c r="AC227" s="5"/>
      <c r="AD227" s="6"/>
      <c r="AE227" s="148"/>
    </row>
    <row r="228" spans="24:31" ht="15.6">
      <c r="X228" s="181" t="s">
        <v>588</v>
      </c>
      <c r="Y228" s="153"/>
      <c r="Z228" s="5"/>
      <c r="AA228" s="5"/>
      <c r="AB228" s="5"/>
      <c r="AC228" s="5"/>
      <c r="AD228" s="6"/>
      <c r="AE228" s="148"/>
    </row>
    <row r="229" spans="24:31" ht="52.2" customHeight="1">
      <c r="X229" s="88" t="s">
        <v>349</v>
      </c>
      <c r="Y229" s="94" t="s">
        <v>135</v>
      </c>
      <c r="Z229" s="377"/>
      <c r="AA229" s="377"/>
      <c r="AB229" s="377"/>
      <c r="AC229" s="377"/>
      <c r="AD229" s="465"/>
      <c r="AE229" s="148"/>
    </row>
    <row r="230" spans="24:31" ht="15.6">
      <c r="X230" s="88" t="s">
        <v>349</v>
      </c>
      <c r="Y230" s="94" t="s">
        <v>135</v>
      </c>
      <c r="Z230" s="129">
        <f>Database!$C$47*(($N$22+273.15)-(Database!$H$14))+((Database!$D$47*(($N$22+273.15)^2-(Database!$H$14)^2))/2)+((Database!$E$47*(($N$22+273.15)^3-(Database!$H$14)^3))/3)+((Database!$F$47*(($N$22+273.15)^4-(Database!$H$14)^4))/4)</f>
        <v>-190.54779691878684</v>
      </c>
      <c r="AA230" s="5" t="s">
        <v>279</v>
      </c>
      <c r="AB230" s="5"/>
      <c r="AC230" s="5"/>
      <c r="AD230" s="6"/>
      <c r="AE230" s="148"/>
    </row>
    <row r="231" spans="24:31" ht="15.6">
      <c r="X231" s="181"/>
      <c r="Y231" s="153"/>
      <c r="Z231" s="5"/>
      <c r="AA231" s="5"/>
      <c r="AB231" s="5"/>
      <c r="AC231" s="5"/>
      <c r="AD231" s="6"/>
      <c r="AE231" s="148"/>
    </row>
    <row r="232" spans="24:31" ht="15.6">
      <c r="X232" s="88" t="s">
        <v>345</v>
      </c>
      <c r="Y232" s="94" t="s">
        <v>135</v>
      </c>
      <c r="Z232" s="9" t="s">
        <v>348</v>
      </c>
      <c r="AA232" s="117" t="s">
        <v>284</v>
      </c>
      <c r="AB232" s="9" t="s">
        <v>352</v>
      </c>
      <c r="AC232" s="117" t="s">
        <v>284</v>
      </c>
      <c r="AD232" s="121" t="s">
        <v>349</v>
      </c>
      <c r="AE232" s="148"/>
    </row>
    <row r="233" spans="24:31" ht="15.6">
      <c r="X233" s="135" t="s">
        <v>345</v>
      </c>
      <c r="Y233" s="182" t="s">
        <v>135</v>
      </c>
      <c r="Z233" s="119">
        <f>Z230+Z226+Z222</f>
        <v>12993.497164123444</v>
      </c>
      <c r="AA233" s="11" t="s">
        <v>279</v>
      </c>
      <c r="AB233" s="11"/>
      <c r="AC233" s="11"/>
      <c r="AD233" s="12"/>
      <c r="AE233" s="148"/>
    </row>
    <row r="234" spans="24:31" ht="15.75" customHeight="1">
      <c r="X234" s="148"/>
      <c r="Y234" s="148"/>
      <c r="Z234" s="148"/>
      <c r="AA234" s="148"/>
      <c r="AB234" s="148"/>
      <c r="AC234" s="148"/>
      <c r="AD234" s="148"/>
      <c r="AE234" s="148"/>
    </row>
    <row r="235" spans="24:31" ht="15.75" customHeight="1">
      <c r="X235" s="148"/>
      <c r="Y235" s="148"/>
      <c r="Z235" s="148"/>
      <c r="AA235" s="148"/>
      <c r="AB235" s="148"/>
      <c r="AC235" s="148"/>
      <c r="AD235" s="148"/>
      <c r="AE235" s="148"/>
    </row>
  </sheetData>
  <mergeCells count="61">
    <mergeCell ref="F54:G54"/>
    <mergeCell ref="Z229:AD229"/>
    <mergeCell ref="Z179:AD179"/>
    <mergeCell ref="Z187:AD187"/>
    <mergeCell ref="Z200:AD200"/>
    <mergeCell ref="Z208:AD208"/>
    <mergeCell ref="Z221:AD221"/>
    <mergeCell ref="Z124:AD124"/>
    <mergeCell ref="Z137:AD137"/>
    <mergeCell ref="Z145:AD145"/>
    <mergeCell ref="Z158:AD158"/>
    <mergeCell ref="Z166:AD166"/>
    <mergeCell ref="Z74:AD74"/>
    <mergeCell ref="Z82:AD82"/>
    <mergeCell ref="Z95:AD95"/>
    <mergeCell ref="Z103:AD103"/>
    <mergeCell ref="Z116:AD116"/>
    <mergeCell ref="AA52:AB52"/>
    <mergeCell ref="AC52:AD52"/>
    <mergeCell ref="Y64:Z64"/>
    <mergeCell ref="AA64:AB64"/>
    <mergeCell ref="AC64:AD64"/>
    <mergeCell ref="C23:D23"/>
    <mergeCell ref="L23:M23"/>
    <mergeCell ref="F34:G34"/>
    <mergeCell ref="F35:G35"/>
    <mergeCell ref="Y52:Z52"/>
    <mergeCell ref="F36:H36"/>
    <mergeCell ref="F43:H43"/>
    <mergeCell ref="F50:G50"/>
    <mergeCell ref="F51:G51"/>
    <mergeCell ref="Y51:Z51"/>
    <mergeCell ref="F52:G52"/>
    <mergeCell ref="X52:X53"/>
    <mergeCell ref="F53:G53"/>
    <mergeCell ref="C24:D24"/>
    <mergeCell ref="L24:M24"/>
    <mergeCell ref="C20:D20"/>
    <mergeCell ref="L20:M20"/>
    <mergeCell ref="L21:M21"/>
    <mergeCell ref="C21:D21"/>
    <mergeCell ref="C22:D22"/>
    <mergeCell ref="L22:M22"/>
    <mergeCell ref="X8:Z8"/>
    <mergeCell ref="C6:E6"/>
    <mergeCell ref="C13:E13"/>
    <mergeCell ref="L13:N13"/>
    <mergeCell ref="X13:Y13"/>
    <mergeCell ref="L6:N6"/>
    <mergeCell ref="X6:Z7"/>
    <mergeCell ref="AA6:AA7"/>
    <mergeCell ref="AB6:AD6"/>
    <mergeCell ref="AB7:AD7"/>
    <mergeCell ref="C4:D4"/>
    <mergeCell ref="L4:M4"/>
    <mergeCell ref="X4:Z4"/>
    <mergeCell ref="AB4:AD4"/>
    <mergeCell ref="L5:M5"/>
    <mergeCell ref="X5:Z5"/>
    <mergeCell ref="AB5:AD5"/>
    <mergeCell ref="C5:D5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2:AI133"/>
  <sheetViews>
    <sheetView zoomScale="60" zoomScaleNormal="60" workbookViewId="0">
      <selection activeCell="T42" sqref="T42"/>
    </sheetView>
  </sheetViews>
  <sheetFormatPr defaultColWidth="12.6640625" defaultRowHeight="15.75" customHeight="1"/>
  <cols>
    <col min="4" max="4" width="15.88671875" customWidth="1"/>
    <col min="5" max="5" width="13.88671875" bestFit="1" customWidth="1"/>
    <col min="13" max="13" width="16.77734375" customWidth="1"/>
    <col min="14" max="14" width="15.88671875" customWidth="1"/>
    <col min="17" max="17" width="17.77734375" customWidth="1"/>
    <col min="18" max="18" width="27.33203125" customWidth="1"/>
    <col min="20" max="20" width="35" customWidth="1"/>
    <col min="21" max="21" width="26.5546875" customWidth="1"/>
    <col min="22" max="22" width="24.6640625" customWidth="1"/>
    <col min="23" max="23" width="27" customWidth="1"/>
    <col min="24" max="24" width="27.33203125" customWidth="1"/>
    <col min="25" max="25" width="14.33203125" customWidth="1"/>
    <col min="26" max="26" width="17" customWidth="1"/>
  </cols>
  <sheetData>
    <row r="2" spans="3:35" ht="15.75" customHeight="1"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3:35" ht="15.75" customHeight="1">
      <c r="C3" s="407" t="s">
        <v>79</v>
      </c>
      <c r="D3" s="389"/>
      <c r="E3" s="33">
        <f>E7*R5+E8*R6+E9*R7</f>
        <v>11588.624623874779</v>
      </c>
      <c r="L3" s="407" t="s">
        <v>79</v>
      </c>
      <c r="M3" s="389"/>
      <c r="N3" s="33">
        <f>N7*R5+N8*R6+N9*R7</f>
        <v>11588.624623874779</v>
      </c>
      <c r="Q3" s="15" t="s">
        <v>6</v>
      </c>
      <c r="R3" s="15" t="s">
        <v>7</v>
      </c>
      <c r="T3" s="449" t="s">
        <v>432</v>
      </c>
      <c r="U3" s="391"/>
      <c r="V3" s="391"/>
      <c r="W3" s="391"/>
      <c r="X3" s="389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</row>
    <row r="4" spans="3:35" ht="15.75" customHeight="1">
      <c r="C4" s="407" t="s">
        <v>80</v>
      </c>
      <c r="D4" s="389"/>
      <c r="E4" s="33">
        <f>SUM(E6:E11)</f>
        <v>208.62009191407873</v>
      </c>
      <c r="L4" s="407" t="s">
        <v>80</v>
      </c>
      <c r="M4" s="389"/>
      <c r="N4" s="33">
        <f>SUM(N6:N11)</f>
        <v>208.62009191407873</v>
      </c>
      <c r="Q4" s="19" t="s">
        <v>30</v>
      </c>
      <c r="R4" s="20">
        <f>17.031</f>
        <v>17.030999999999999</v>
      </c>
      <c r="T4" s="478" t="s">
        <v>201</v>
      </c>
      <c r="U4" s="391"/>
      <c r="V4" s="389"/>
      <c r="W4" s="22">
        <v>3</v>
      </c>
      <c r="X4" s="81" t="s">
        <v>461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3:35" ht="15.75" customHeight="1">
      <c r="C5" s="401" t="s">
        <v>66</v>
      </c>
      <c r="D5" s="391"/>
      <c r="E5" s="389"/>
      <c r="L5" s="401" t="s">
        <v>66</v>
      </c>
      <c r="M5" s="391"/>
      <c r="N5" s="389"/>
      <c r="Q5" s="19" t="s">
        <v>48</v>
      </c>
      <c r="R5" s="20">
        <v>44.052999999999997</v>
      </c>
      <c r="T5" s="478" t="s">
        <v>434</v>
      </c>
      <c r="U5" s="391"/>
      <c r="V5" s="389"/>
      <c r="W5" s="135">
        <v>-3</v>
      </c>
      <c r="X5" s="81" t="s">
        <v>462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3:35" ht="15.75" customHeight="1">
      <c r="C6" s="34" t="s">
        <v>67</v>
      </c>
      <c r="D6" s="35"/>
      <c r="E6" s="35"/>
      <c r="L6" s="34" t="s">
        <v>67</v>
      </c>
      <c r="M6" s="35"/>
      <c r="N6" s="35"/>
      <c r="Q6" s="19" t="s">
        <v>59</v>
      </c>
      <c r="R6" s="20">
        <v>61.082999999999998</v>
      </c>
      <c r="T6" s="450" t="s">
        <v>209</v>
      </c>
      <c r="U6" s="481"/>
      <c r="V6" s="481"/>
      <c r="W6" s="88">
        <v>0</v>
      </c>
      <c r="X6" s="3" t="s">
        <v>311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3:35" ht="15.75" customHeight="1">
      <c r="C7" s="34" t="s">
        <v>68</v>
      </c>
      <c r="D7" s="40" t="s">
        <v>105</v>
      </c>
      <c r="E7" s="41">
        <f>'Distillation Column 1 '!N9</f>
        <v>68.071127363343578</v>
      </c>
      <c r="L7" s="34" t="s">
        <v>68</v>
      </c>
      <c r="M7" s="40" t="s">
        <v>463</v>
      </c>
      <c r="N7" s="41">
        <f>V11</f>
        <v>68.071127363343578</v>
      </c>
      <c r="Q7" s="19" t="s">
        <v>61</v>
      </c>
      <c r="R7" s="20">
        <v>105.136</v>
      </c>
      <c r="T7" s="479"/>
      <c r="U7" s="391"/>
      <c r="V7" s="391"/>
      <c r="W7" s="136">
        <f>SUM(W4:W6)</f>
        <v>0</v>
      </c>
      <c r="X7" s="125" t="s">
        <v>438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3:35" ht="15.75" customHeight="1">
      <c r="C8" s="34" t="s">
        <v>69</v>
      </c>
      <c r="D8" s="40" t="s">
        <v>107</v>
      </c>
      <c r="E8" s="41">
        <f>'Distillation Column 1 '!N10</f>
        <v>140.44148382331934</v>
      </c>
      <c r="L8" s="34" t="s">
        <v>69</v>
      </c>
      <c r="M8" s="40" t="s">
        <v>464</v>
      </c>
      <c r="N8" s="41">
        <f>V15</f>
        <v>140.44148382331934</v>
      </c>
      <c r="Q8" s="19" t="s">
        <v>63</v>
      </c>
      <c r="R8" s="20">
        <v>149.18799999999999</v>
      </c>
    </row>
    <row r="9" spans="3:35" ht="15.75" customHeight="1">
      <c r="C9" s="34" t="s">
        <v>70</v>
      </c>
      <c r="D9" s="40" t="s">
        <v>109</v>
      </c>
      <c r="E9" s="41">
        <f>'Distillation Column 1 '!N11</f>
        <v>0.10748072741580565</v>
      </c>
      <c r="L9" s="34" t="s">
        <v>70</v>
      </c>
      <c r="M9" s="40" t="s">
        <v>465</v>
      </c>
      <c r="N9" s="41">
        <f>V19</f>
        <v>0.10748072741580565</v>
      </c>
      <c r="Q9" s="19" t="s">
        <v>65</v>
      </c>
      <c r="R9" s="24">
        <v>62.07</v>
      </c>
      <c r="T9" s="480" t="s">
        <v>466</v>
      </c>
      <c r="U9" s="40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3:35" ht="15.75" customHeight="1">
      <c r="C10" s="34" t="s">
        <v>71</v>
      </c>
      <c r="D10" s="35"/>
      <c r="E10" s="35"/>
      <c r="L10" s="34" t="s">
        <v>71</v>
      </c>
      <c r="M10" s="35"/>
      <c r="N10" s="35"/>
      <c r="T10" s="96">
        <f>E7</f>
        <v>68.071127363343578</v>
      </c>
      <c r="U10" s="117" t="s">
        <v>135</v>
      </c>
      <c r="V10" s="95" t="s">
        <v>463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3:35" ht="15.75" customHeight="1">
      <c r="C11" s="34" t="s">
        <v>72</v>
      </c>
      <c r="D11" s="35"/>
      <c r="E11" s="35"/>
      <c r="L11" s="34" t="s">
        <v>72</v>
      </c>
      <c r="M11" s="35"/>
      <c r="N11" s="35"/>
      <c r="T11" s="95" t="s">
        <v>463</v>
      </c>
      <c r="U11" s="117" t="s">
        <v>135</v>
      </c>
      <c r="V11" s="96">
        <f>T10</f>
        <v>68.071127363343578</v>
      </c>
      <c r="W11" s="5" t="s">
        <v>148</v>
      </c>
    </row>
    <row r="12" spans="3:35" ht="15.75" customHeight="1">
      <c r="C12" s="404" t="s">
        <v>85</v>
      </c>
      <c r="D12" s="405"/>
      <c r="E12" s="398"/>
      <c r="L12" s="404" t="s">
        <v>85</v>
      </c>
      <c r="M12" s="405"/>
      <c r="N12" s="398"/>
      <c r="T12" s="5"/>
      <c r="U12" s="5"/>
      <c r="V12" s="5"/>
      <c r="W12" s="5"/>
    </row>
    <row r="13" spans="3:35" ht="15.75" customHeight="1">
      <c r="C13" s="34" t="s">
        <v>67</v>
      </c>
      <c r="D13" s="35"/>
      <c r="E13" s="55"/>
      <c r="L13" s="34" t="s">
        <v>67</v>
      </c>
      <c r="M13" s="35"/>
      <c r="N13" s="55"/>
      <c r="T13" s="480" t="s">
        <v>237</v>
      </c>
      <c r="U13" s="405"/>
      <c r="V13" s="5"/>
      <c r="W13" s="5"/>
    </row>
    <row r="14" spans="3:35" ht="15.75" customHeight="1">
      <c r="C14" s="34" t="s">
        <v>68</v>
      </c>
      <c r="D14" s="35"/>
      <c r="E14" s="41">
        <f t="shared" ref="E14:E16" si="0">E7/$E$4</f>
        <v>0.32629228919800796</v>
      </c>
      <c r="L14" s="34" t="s">
        <v>68</v>
      </c>
      <c r="M14" s="35"/>
      <c r="N14" s="41">
        <f t="shared" ref="N14:N16" si="1">N7/$N$4</f>
        <v>0.32629228919800796</v>
      </c>
      <c r="T14" s="96">
        <f>E8</f>
        <v>140.44148382331934</v>
      </c>
      <c r="U14" s="117" t="s">
        <v>135</v>
      </c>
      <c r="V14" s="95" t="s">
        <v>464</v>
      </c>
      <c r="W14" s="5"/>
    </row>
    <row r="15" spans="3:35" ht="15.75" customHeight="1">
      <c r="C15" s="34" t="s">
        <v>69</v>
      </c>
      <c r="D15" s="35"/>
      <c r="E15" s="41">
        <f t="shared" si="0"/>
        <v>0.67319251245062672</v>
      </c>
      <c r="L15" s="34" t="s">
        <v>69</v>
      </c>
      <c r="M15" s="35"/>
      <c r="N15" s="41">
        <f t="shared" si="1"/>
        <v>0.67319251245062672</v>
      </c>
      <c r="T15" s="95" t="s">
        <v>464</v>
      </c>
      <c r="U15" s="117" t="s">
        <v>135</v>
      </c>
      <c r="V15" s="96">
        <f>T14</f>
        <v>140.44148382331934</v>
      </c>
      <c r="W15" s="5" t="s">
        <v>240</v>
      </c>
    </row>
    <row r="16" spans="3:35" ht="15.75" customHeight="1">
      <c r="C16" s="34" t="s">
        <v>70</v>
      </c>
      <c r="D16" s="35"/>
      <c r="E16" s="41">
        <f t="shared" si="0"/>
        <v>5.1519835136527577E-4</v>
      </c>
      <c r="L16" s="34" t="s">
        <v>70</v>
      </c>
      <c r="M16" s="35"/>
      <c r="N16" s="41">
        <f t="shared" si="1"/>
        <v>5.1519835136527577E-4</v>
      </c>
      <c r="T16" s="5"/>
      <c r="U16" s="5"/>
      <c r="V16" s="5"/>
      <c r="W16" s="5"/>
    </row>
    <row r="17" spans="2:26" ht="15.75" customHeight="1">
      <c r="C17" s="34" t="s">
        <v>71</v>
      </c>
      <c r="D17" s="35"/>
      <c r="E17" s="35"/>
      <c r="L17" s="34" t="s">
        <v>71</v>
      </c>
      <c r="M17" s="35"/>
      <c r="N17" s="35"/>
      <c r="T17" s="480" t="s">
        <v>321</v>
      </c>
      <c r="U17" s="405"/>
      <c r="V17" s="5"/>
      <c r="W17" s="5"/>
    </row>
    <row r="18" spans="2:26" ht="15.75" customHeight="1">
      <c r="C18" s="34" t="s">
        <v>72</v>
      </c>
      <c r="D18" s="35"/>
      <c r="E18" s="35"/>
      <c r="L18" s="34" t="s">
        <v>72</v>
      </c>
      <c r="M18" s="35"/>
      <c r="N18" s="35"/>
      <c r="T18" s="96">
        <f>E9</f>
        <v>0.10748072741580565</v>
      </c>
      <c r="U18" s="117" t="s">
        <v>135</v>
      </c>
      <c r="V18" s="95" t="s">
        <v>465</v>
      </c>
      <c r="W18" s="5"/>
    </row>
    <row r="19" spans="2:26" ht="15.75" customHeight="1">
      <c r="C19" s="406" t="s">
        <v>99</v>
      </c>
      <c r="D19" s="389"/>
      <c r="E19" s="50">
        <v>1</v>
      </c>
      <c r="L19" s="406" t="s">
        <v>99</v>
      </c>
      <c r="M19" s="389"/>
      <c r="N19" s="50">
        <v>0</v>
      </c>
      <c r="T19" s="95" t="s">
        <v>465</v>
      </c>
      <c r="U19" s="117" t="s">
        <v>135</v>
      </c>
      <c r="V19" s="96">
        <f>T18</f>
        <v>0.10748072741580565</v>
      </c>
      <c r="W19" s="5" t="s">
        <v>250</v>
      </c>
    </row>
    <row r="20" spans="2:26" ht="15.75" customHeight="1">
      <c r="C20" s="397" t="s">
        <v>92</v>
      </c>
      <c r="D20" s="398"/>
      <c r="E20" s="40">
        <f>SUM(E13:E18)</f>
        <v>0.99999999999999989</v>
      </c>
      <c r="L20" s="397" t="s">
        <v>92</v>
      </c>
      <c r="M20" s="398"/>
      <c r="N20" s="40">
        <f>SUM(N13:N18)</f>
        <v>0.99999999999999989</v>
      </c>
    </row>
    <row r="21" spans="2:26" ht="15.75" customHeight="1">
      <c r="C21" s="397" t="s">
        <v>75</v>
      </c>
      <c r="D21" s="398"/>
      <c r="E21" s="40">
        <v>170</v>
      </c>
      <c r="L21" s="397" t="s">
        <v>75</v>
      </c>
      <c r="M21" s="398"/>
      <c r="N21" s="40">
        <v>6</v>
      </c>
      <c r="T21" s="11" t="s">
        <v>256</v>
      </c>
      <c r="U21" s="5"/>
      <c r="V21" s="5"/>
      <c r="W21" s="5"/>
      <c r="X21" s="5"/>
      <c r="Y21" s="5"/>
      <c r="Z21" s="5"/>
    </row>
    <row r="22" spans="2:26" ht="15.75" customHeight="1">
      <c r="C22" s="396" t="s">
        <v>76</v>
      </c>
      <c r="D22" s="389"/>
      <c r="E22" s="45">
        <v>1</v>
      </c>
      <c r="L22" s="396" t="s">
        <v>76</v>
      </c>
      <c r="M22" s="389"/>
      <c r="N22" s="45">
        <v>1</v>
      </c>
      <c r="T22" s="107" t="s">
        <v>257</v>
      </c>
      <c r="U22" s="5"/>
      <c r="V22" s="5"/>
      <c r="W22" s="5"/>
      <c r="X22" s="5"/>
      <c r="Y22" s="5"/>
      <c r="Z22" s="5"/>
    </row>
    <row r="23" spans="2:26" ht="15.75" customHeight="1">
      <c r="C23" s="400" t="s">
        <v>548</v>
      </c>
      <c r="D23" s="400"/>
      <c r="E23" s="216">
        <f>U42</f>
        <v>2604648.2917141812</v>
      </c>
      <c r="L23" s="400" t="s">
        <v>548</v>
      </c>
      <c r="M23" s="400"/>
      <c r="N23" s="216">
        <f>W42</f>
        <v>-11767907.896419466</v>
      </c>
      <c r="T23" s="5"/>
      <c r="U23" s="5"/>
      <c r="V23" s="5"/>
      <c r="W23" s="5"/>
      <c r="X23" s="5"/>
      <c r="Y23" s="5"/>
      <c r="Z23" s="5"/>
    </row>
    <row r="24" spans="2:26" ht="15.75" customHeight="1">
      <c r="B24" s="32" t="s">
        <v>102</v>
      </c>
      <c r="O24" s="32" t="s">
        <v>103</v>
      </c>
      <c r="T24" s="108" t="s">
        <v>258</v>
      </c>
      <c r="U24" s="5"/>
      <c r="V24" s="5"/>
      <c r="W24" s="5"/>
      <c r="X24" s="5"/>
      <c r="Y24" s="5"/>
      <c r="Z24" s="5"/>
    </row>
    <row r="25" spans="2:26" ht="15.75" customHeight="1">
      <c r="T25" s="109">
        <v>1</v>
      </c>
      <c r="U25" s="5" t="s">
        <v>259</v>
      </c>
      <c r="V25" s="5"/>
      <c r="W25" s="5"/>
      <c r="X25" s="5"/>
      <c r="Y25" s="5"/>
      <c r="Z25" s="5"/>
    </row>
    <row r="26" spans="2:26" ht="15.75" customHeight="1">
      <c r="T26" s="109">
        <v>2</v>
      </c>
      <c r="U26" s="5" t="s">
        <v>260</v>
      </c>
      <c r="V26" s="5"/>
      <c r="W26" s="5"/>
      <c r="X26" s="5"/>
      <c r="Y26" s="5"/>
      <c r="Z26" s="5"/>
    </row>
    <row r="27" spans="2:26" ht="15.6">
      <c r="T27" s="109">
        <v>3</v>
      </c>
      <c r="U27" s="5" t="s">
        <v>261</v>
      </c>
      <c r="V27" s="5"/>
      <c r="W27" s="5"/>
      <c r="X27" s="5"/>
      <c r="Y27" s="5"/>
      <c r="Z27" s="5"/>
    </row>
    <row r="28" spans="2:26" ht="15.6">
      <c r="T28" s="5"/>
      <c r="U28" s="5"/>
      <c r="V28" s="5"/>
      <c r="W28" s="5"/>
      <c r="X28" s="5"/>
      <c r="Y28" s="5"/>
      <c r="Z28" s="5"/>
    </row>
    <row r="29" spans="2:26" ht="15.6">
      <c r="T29" s="5" t="s">
        <v>262</v>
      </c>
      <c r="U29" s="463" t="s">
        <v>467</v>
      </c>
      <c r="V29" s="445"/>
      <c r="W29" s="64">
        <v>25</v>
      </c>
      <c r="X29" s="5" t="s">
        <v>326</v>
      </c>
      <c r="Y29" s="5"/>
      <c r="Z29" s="5"/>
    </row>
    <row r="30" spans="2:26" ht="15.6">
      <c r="T30" s="458" t="s">
        <v>152</v>
      </c>
      <c r="U30" s="456" t="s">
        <v>414</v>
      </c>
      <c r="V30" s="464"/>
      <c r="W30" s="456" t="s">
        <v>468</v>
      </c>
      <c r="X30" s="464"/>
      <c r="Y30" s="377"/>
      <c r="Z30" s="445"/>
    </row>
    <row r="31" spans="2:26" ht="15.6">
      <c r="T31" s="459"/>
      <c r="U31" s="221" t="s">
        <v>267</v>
      </c>
      <c r="V31" s="221" t="s">
        <v>400</v>
      </c>
      <c r="W31" s="221" t="s">
        <v>328</v>
      </c>
      <c r="X31" s="221" t="s">
        <v>329</v>
      </c>
      <c r="Y31" s="9"/>
      <c r="Z31" s="9"/>
    </row>
    <row r="32" spans="2:26" ht="15.6">
      <c r="T32" s="20" t="s">
        <v>381</v>
      </c>
      <c r="U32" s="20" t="s">
        <v>193</v>
      </c>
      <c r="V32" s="20" t="s">
        <v>193</v>
      </c>
      <c r="W32" s="20" t="s">
        <v>193</v>
      </c>
      <c r="X32" s="20" t="s">
        <v>193</v>
      </c>
      <c r="Y32" s="9"/>
      <c r="Z32" s="9"/>
    </row>
    <row r="33" spans="20:34" ht="15.6">
      <c r="T33" s="20" t="s">
        <v>334</v>
      </c>
      <c r="U33" s="20" t="s">
        <v>193</v>
      </c>
      <c r="V33" s="20" t="s">
        <v>193</v>
      </c>
      <c r="W33" s="33">
        <f t="shared" ref="W33:W35" si="2">N7</f>
        <v>68.071127363343578</v>
      </c>
      <c r="X33" s="110">
        <f>V85</f>
        <v>-26807.147882190926</v>
      </c>
      <c r="Y33" s="9"/>
      <c r="Z33" s="9"/>
    </row>
    <row r="34" spans="20:34" ht="15.6">
      <c r="T34" s="20" t="s">
        <v>335</v>
      </c>
      <c r="U34" s="20" t="s">
        <v>193</v>
      </c>
      <c r="V34" s="20" t="s">
        <v>193</v>
      </c>
      <c r="W34" s="33">
        <f t="shared" si="2"/>
        <v>140.44148382331934</v>
      </c>
      <c r="X34" s="110">
        <f>V106</f>
        <v>-70731.297503821334</v>
      </c>
      <c r="Y34" s="9"/>
      <c r="Z34" s="9"/>
    </row>
    <row r="35" spans="20:34" ht="15.6">
      <c r="T35" s="20" t="s">
        <v>336</v>
      </c>
      <c r="U35" s="20" t="s">
        <v>193</v>
      </c>
      <c r="V35" s="20" t="s">
        <v>193</v>
      </c>
      <c r="W35" s="33">
        <f t="shared" si="2"/>
        <v>0.10748072741580565</v>
      </c>
      <c r="X35" s="110">
        <f>V127</f>
        <v>-88450.68996202352</v>
      </c>
      <c r="Y35" s="9"/>
      <c r="Z35" s="9"/>
    </row>
    <row r="36" spans="20:34" ht="15.6">
      <c r="T36" s="20" t="s">
        <v>382</v>
      </c>
      <c r="U36" s="20" t="s">
        <v>193</v>
      </c>
      <c r="V36" s="20" t="s">
        <v>193</v>
      </c>
      <c r="W36" s="20" t="s">
        <v>193</v>
      </c>
      <c r="X36" s="20" t="s">
        <v>193</v>
      </c>
      <c r="Y36" s="9"/>
      <c r="Z36" s="9"/>
    </row>
    <row r="37" spans="20:34" ht="15.6">
      <c r="T37" s="20" t="s">
        <v>331</v>
      </c>
      <c r="U37" s="33">
        <f t="shared" ref="U37:U39" si="3">E7</f>
        <v>68.071127363343578</v>
      </c>
      <c r="V37" s="33">
        <f>V50</f>
        <v>8363.315119698369</v>
      </c>
      <c r="W37" s="20" t="s">
        <v>193</v>
      </c>
      <c r="X37" s="20" t="s">
        <v>193</v>
      </c>
      <c r="Y37" s="9"/>
      <c r="Z37" s="9"/>
    </row>
    <row r="38" spans="20:34" ht="15.6">
      <c r="T38" s="20" t="s">
        <v>332</v>
      </c>
      <c r="U38" s="33">
        <f t="shared" si="3"/>
        <v>140.44148382331934</v>
      </c>
      <c r="V38" s="33">
        <f>V57</f>
        <v>14474.069953165283</v>
      </c>
      <c r="W38" s="20" t="s">
        <v>193</v>
      </c>
      <c r="X38" s="20" t="s">
        <v>193</v>
      </c>
      <c r="Y38" s="9"/>
      <c r="Z38" s="9"/>
    </row>
    <row r="39" spans="20:34" ht="15.6">
      <c r="T39" s="20" t="s">
        <v>333</v>
      </c>
      <c r="U39" s="33">
        <f t="shared" si="3"/>
        <v>0.10748072741580565</v>
      </c>
      <c r="V39" s="33">
        <f>V64</f>
        <v>24080.055081402144</v>
      </c>
      <c r="W39" s="20" t="s">
        <v>193</v>
      </c>
      <c r="X39" s="20" t="s">
        <v>193</v>
      </c>
      <c r="Y39" s="9"/>
      <c r="Z39" s="9"/>
    </row>
    <row r="40" spans="20:34" ht="15.6">
      <c r="T40" s="20" t="s">
        <v>275</v>
      </c>
      <c r="U40" s="20" t="s">
        <v>193</v>
      </c>
      <c r="V40" s="20" t="s">
        <v>193</v>
      </c>
      <c r="W40" s="20" t="s">
        <v>193</v>
      </c>
      <c r="X40" s="20" t="s">
        <v>193</v>
      </c>
      <c r="Y40" s="9"/>
      <c r="Z40" s="9"/>
    </row>
    <row r="41" spans="20:34" ht="15.6">
      <c r="T41" s="20" t="s">
        <v>276</v>
      </c>
      <c r="U41" s="20" t="s">
        <v>193</v>
      </c>
      <c r="V41" s="20" t="s">
        <v>193</v>
      </c>
      <c r="W41" s="20" t="s">
        <v>193</v>
      </c>
      <c r="X41" s="20" t="s">
        <v>193</v>
      </c>
      <c r="Y41" s="9"/>
      <c r="Z41" s="9"/>
    </row>
    <row r="42" spans="20:34" ht="15.6">
      <c r="T42" s="222" t="s">
        <v>469</v>
      </c>
      <c r="U42" s="441">
        <f>U37*V37+U38*V38+U39*V39</f>
        <v>2604648.2917141812</v>
      </c>
      <c r="V42" s="442"/>
      <c r="W42" s="441">
        <f>W33*X33+W34*X34+W35*X35</f>
        <v>-11767907.896419466</v>
      </c>
      <c r="X42" s="442"/>
      <c r="Y42" s="377"/>
      <c r="Z42" s="445"/>
    </row>
    <row r="43" spans="20:34" ht="15.6">
      <c r="T43" s="5"/>
      <c r="U43" s="5"/>
      <c r="V43" s="5"/>
      <c r="W43" s="5"/>
      <c r="X43" s="5"/>
      <c r="Y43" s="5"/>
      <c r="Z43" s="5"/>
    </row>
    <row r="44" spans="20:34" ht="15.6">
      <c r="T44" s="148"/>
      <c r="U44" s="148"/>
      <c r="V44" s="148"/>
      <c r="W44" s="148"/>
      <c r="X44" s="148"/>
      <c r="Y44" s="148"/>
      <c r="Z44" s="148"/>
      <c r="AB44" s="5"/>
      <c r="AC44" s="5"/>
      <c r="AD44" s="9"/>
      <c r="AE44" s="5"/>
      <c r="AF44" s="5"/>
      <c r="AG44" s="5"/>
      <c r="AH44" s="5"/>
    </row>
    <row r="45" spans="20:34" ht="15.6">
      <c r="T45" s="1"/>
      <c r="U45" s="482" t="s">
        <v>278</v>
      </c>
      <c r="V45" s="482"/>
      <c r="W45" s="179"/>
      <c r="X45" s="208"/>
      <c r="Y45" s="208"/>
      <c r="Z45" s="191"/>
      <c r="AB45" s="9"/>
      <c r="AC45" s="5"/>
      <c r="AD45" s="5"/>
      <c r="AE45" s="5"/>
      <c r="AF45" s="9"/>
      <c r="AG45" s="5"/>
      <c r="AH45" s="5"/>
    </row>
    <row r="46" spans="20:34" ht="15.6">
      <c r="T46" s="116" t="s">
        <v>425</v>
      </c>
      <c r="U46" s="5"/>
      <c r="V46" s="148"/>
      <c r="W46" s="9" t="s">
        <v>426</v>
      </c>
      <c r="X46" s="148"/>
      <c r="Y46" s="148"/>
      <c r="Z46" s="6"/>
      <c r="AB46" s="5"/>
      <c r="AC46" s="5"/>
      <c r="AD46" s="5"/>
      <c r="AE46" s="5"/>
      <c r="AF46" s="5"/>
      <c r="AG46" s="5"/>
      <c r="AH46" s="5"/>
    </row>
    <row r="47" spans="20:34" ht="15.6">
      <c r="T47" s="4"/>
      <c r="U47" s="5"/>
      <c r="V47" s="5"/>
      <c r="W47" s="5"/>
      <c r="X47" s="148"/>
      <c r="Y47" s="148"/>
      <c r="Z47" s="6"/>
      <c r="AB47" s="9"/>
      <c r="AC47" s="5"/>
      <c r="AD47" s="5"/>
      <c r="AE47" s="5"/>
      <c r="AF47" s="9"/>
      <c r="AG47" s="5"/>
      <c r="AH47" s="5"/>
    </row>
    <row r="48" spans="20:34" ht="15.6">
      <c r="T48" s="4" t="s">
        <v>585</v>
      </c>
      <c r="U48" s="9"/>
      <c r="V48" s="5"/>
      <c r="W48" s="5"/>
      <c r="X48" s="148"/>
      <c r="Y48" s="148"/>
      <c r="Z48" s="121"/>
      <c r="AB48" s="5"/>
      <c r="AC48" s="9"/>
      <c r="AD48" s="5"/>
      <c r="AE48" s="9"/>
      <c r="AF48" s="5"/>
      <c r="AG48" s="5"/>
      <c r="AH48" s="5"/>
    </row>
    <row r="49" spans="20:34" ht="52.8" customHeight="1">
      <c r="T49" s="88" t="s">
        <v>278</v>
      </c>
      <c r="U49" s="94" t="s">
        <v>135</v>
      </c>
      <c r="V49" s="377"/>
      <c r="W49" s="377"/>
      <c r="X49" s="377"/>
      <c r="Y49" s="377"/>
      <c r="Z49" s="446"/>
      <c r="AB49" s="5"/>
      <c r="AC49" s="5"/>
      <c r="AD49" s="9"/>
      <c r="AE49" s="5"/>
      <c r="AF49" s="5"/>
      <c r="AG49" s="5"/>
      <c r="AH49" s="5"/>
    </row>
    <row r="50" spans="20:34" ht="15.6">
      <c r="T50" s="85" t="s">
        <v>278</v>
      </c>
      <c r="U50" s="157" t="s">
        <v>135</v>
      </c>
      <c r="V50" s="192">
        <f>(Database!$C$32*(($E$21+273.15)-($W$29+273.15)))+(((Database!$D$32)*(($E$21+273.15)^2-($W$29+273.15)^2))/2)+((Database!$E$32*(($E$21+273.15)^3-($W$29+273.15)^3))/3)+((Database!$F$32*(($E$21+273.15)^4-($W$29+273.15)^4))/4)+((Database!$G$32)*(($E$21+273.15)^(5)-($W$29+273.15)^5))/5</f>
        <v>8363.315119698369</v>
      </c>
      <c r="W50" s="190" t="s">
        <v>279</v>
      </c>
      <c r="X50" s="204"/>
      <c r="Y50" s="204"/>
      <c r="Z50" s="193"/>
      <c r="AB50" s="5"/>
      <c r="AC50" s="5"/>
      <c r="AD50" s="5"/>
      <c r="AE50" s="5"/>
      <c r="AF50" s="5"/>
      <c r="AG50" s="5"/>
      <c r="AH50" s="5"/>
    </row>
    <row r="51" spans="20:34" ht="15.6">
      <c r="T51" s="148"/>
      <c r="U51" s="148"/>
      <c r="V51" s="148"/>
      <c r="W51" s="148"/>
      <c r="X51" s="148"/>
      <c r="Y51" s="148"/>
      <c r="Z51" s="148"/>
      <c r="AB51" s="9"/>
      <c r="AC51" s="9"/>
      <c r="AD51" s="5"/>
      <c r="AE51" s="5"/>
      <c r="AF51" s="5"/>
      <c r="AG51" s="5"/>
      <c r="AH51" s="5"/>
    </row>
    <row r="52" spans="20:34" ht="15.6">
      <c r="T52" s="1"/>
      <c r="U52" s="472" t="s">
        <v>280</v>
      </c>
      <c r="V52" s="472"/>
      <c r="W52" s="2"/>
      <c r="X52" s="208"/>
      <c r="Y52" s="208"/>
      <c r="Z52" s="3"/>
      <c r="AB52" s="9"/>
      <c r="AC52" s="9"/>
      <c r="AD52" s="129"/>
      <c r="AE52" s="5"/>
      <c r="AF52" s="5"/>
      <c r="AG52" s="5"/>
      <c r="AH52" s="5"/>
    </row>
    <row r="53" spans="20:34" ht="15.6">
      <c r="T53" s="122" t="s">
        <v>346</v>
      </c>
      <c r="U53" s="5"/>
      <c r="V53" s="148"/>
      <c r="W53" s="155" t="s">
        <v>427</v>
      </c>
      <c r="X53" s="148"/>
      <c r="Y53" s="148"/>
      <c r="Z53" s="6"/>
      <c r="AB53" s="5"/>
      <c r="AC53" s="9"/>
      <c r="AD53" s="5"/>
      <c r="AE53" s="5"/>
      <c r="AF53" s="5"/>
      <c r="AG53" s="5"/>
      <c r="AH53" s="5"/>
    </row>
    <row r="54" spans="20:34" ht="15.6">
      <c r="T54" s="4"/>
      <c r="U54" s="5"/>
      <c r="V54" s="5"/>
      <c r="W54" s="5"/>
      <c r="X54" s="148"/>
      <c r="Y54" s="148"/>
      <c r="Z54" s="6"/>
      <c r="AB54" s="5"/>
      <c r="AC54" s="9"/>
      <c r="AD54" s="5"/>
      <c r="AE54" s="5"/>
      <c r="AF54" s="5"/>
      <c r="AG54" s="5"/>
      <c r="AH54" s="5"/>
    </row>
    <row r="55" spans="20:34" ht="15.6">
      <c r="T55" s="4" t="s">
        <v>585</v>
      </c>
      <c r="U55" s="9"/>
      <c r="V55" s="5"/>
      <c r="W55" s="5"/>
      <c r="X55" s="148"/>
      <c r="Y55" s="148"/>
      <c r="Z55" s="121"/>
      <c r="AB55" s="9"/>
      <c r="AC55" s="9"/>
      <c r="AD55" s="5"/>
      <c r="AE55" s="5"/>
      <c r="AF55" s="5"/>
      <c r="AG55" s="5"/>
      <c r="AH55" s="5"/>
    </row>
    <row r="56" spans="20:34" ht="52.8" customHeight="1">
      <c r="T56" s="88" t="s">
        <v>280</v>
      </c>
      <c r="U56" s="94" t="s">
        <v>135</v>
      </c>
      <c r="V56" s="377"/>
      <c r="W56" s="377"/>
      <c r="X56" s="377"/>
      <c r="Y56" s="377"/>
      <c r="Z56" s="465"/>
      <c r="AB56" s="9"/>
      <c r="AC56" s="9"/>
      <c r="AD56" s="9"/>
      <c r="AE56" s="5"/>
      <c r="AF56" s="5"/>
      <c r="AG56" s="5"/>
      <c r="AH56" s="5"/>
    </row>
    <row r="57" spans="20:34" ht="15.6">
      <c r="T57" s="135" t="s">
        <v>280</v>
      </c>
      <c r="U57" s="182" t="s">
        <v>135</v>
      </c>
      <c r="V57" s="120">
        <f>(Database!$C$33*(($E$21+273.15)-($W$29+273.15)))+(((Database!$D$33)*(($E$21+273.15)^2-($W$29+273.15)^2))/2)+((Database!$E$33*(($E$21+273.15)^3-($W$29+273.15)^3))/3)+((Database!$F$33*(($E$21+273.15)^4-($W$29+273.15)^4))/4)+((Database!$G$33)*(($E$21+273.15)^(5)-($W$29+273.15)^5))/5</f>
        <v>14474.069953165283</v>
      </c>
      <c r="W57" s="11" t="s">
        <v>279</v>
      </c>
      <c r="X57" s="204"/>
      <c r="Y57" s="204"/>
      <c r="Z57" s="12"/>
      <c r="AB57" s="5"/>
      <c r="AC57" s="9"/>
      <c r="AD57" s="5"/>
      <c r="AE57" s="5"/>
      <c r="AF57" s="5"/>
      <c r="AG57" s="5"/>
      <c r="AH57" s="5"/>
    </row>
    <row r="58" spans="20:34" ht="15.6">
      <c r="T58" s="5"/>
      <c r="U58" s="5"/>
      <c r="V58" s="5"/>
      <c r="W58" s="5"/>
      <c r="X58" s="5"/>
      <c r="Y58" s="148"/>
      <c r="Z58" s="148"/>
      <c r="AB58" s="5"/>
      <c r="AC58" s="9"/>
      <c r="AD58" s="5"/>
      <c r="AE58" s="5"/>
      <c r="AF58" s="5"/>
      <c r="AG58" s="5"/>
      <c r="AH58" s="5"/>
    </row>
    <row r="59" spans="20:34" ht="15.6">
      <c r="T59" s="1"/>
      <c r="U59" s="472" t="s">
        <v>287</v>
      </c>
      <c r="V59" s="472"/>
      <c r="W59" s="2"/>
      <c r="X59" s="208"/>
      <c r="Y59" s="208"/>
      <c r="Z59" s="3"/>
      <c r="AB59" s="9"/>
      <c r="AC59" s="9"/>
      <c r="AD59" s="5"/>
      <c r="AE59" s="5"/>
      <c r="AF59" s="5"/>
      <c r="AG59" s="5"/>
      <c r="AH59" s="5"/>
    </row>
    <row r="60" spans="20:34" ht="15.6">
      <c r="T60" s="122" t="s">
        <v>355</v>
      </c>
      <c r="U60" s="5"/>
      <c r="V60" s="148"/>
      <c r="W60" s="155" t="s">
        <v>428</v>
      </c>
      <c r="X60" s="148"/>
      <c r="Y60" s="148"/>
      <c r="Z60" s="6"/>
      <c r="AB60" s="9"/>
      <c r="AC60" s="9"/>
      <c r="AD60" s="96"/>
      <c r="AE60" s="5"/>
      <c r="AF60" s="5"/>
      <c r="AG60" s="5"/>
      <c r="AH60" s="5"/>
    </row>
    <row r="61" spans="20:34" ht="15.6">
      <c r="T61" s="4"/>
      <c r="U61" s="5"/>
      <c r="V61" s="5"/>
      <c r="W61" s="5"/>
      <c r="X61" s="148"/>
      <c r="Y61" s="148"/>
      <c r="Z61" s="6"/>
      <c r="AB61" s="5"/>
      <c r="AC61" s="5"/>
      <c r="AD61" s="5"/>
      <c r="AE61" s="5"/>
      <c r="AF61" s="5"/>
      <c r="AG61" s="5"/>
      <c r="AH61" s="5"/>
    </row>
    <row r="62" spans="20:34" ht="15.6">
      <c r="T62" s="4" t="s">
        <v>585</v>
      </c>
      <c r="U62" s="9"/>
      <c r="V62" s="5"/>
      <c r="W62" s="5"/>
      <c r="X62" s="148"/>
      <c r="Y62" s="148"/>
      <c r="Z62" s="6"/>
      <c r="AB62" s="9"/>
      <c r="AC62" s="9"/>
      <c r="AD62" s="9"/>
      <c r="AE62" s="9"/>
      <c r="AF62" s="9"/>
      <c r="AG62" s="9"/>
      <c r="AH62" s="9"/>
    </row>
    <row r="63" spans="20:34" ht="53.4" customHeight="1">
      <c r="T63" s="88" t="s">
        <v>287</v>
      </c>
      <c r="U63" s="94" t="s">
        <v>135</v>
      </c>
      <c r="V63" s="377"/>
      <c r="W63" s="377"/>
      <c r="X63" s="377"/>
      <c r="Y63" s="377"/>
      <c r="Z63" s="465"/>
      <c r="AB63" s="9"/>
      <c r="AC63" s="9"/>
      <c r="AD63" s="9"/>
      <c r="AE63" s="5"/>
      <c r="AF63" s="5"/>
      <c r="AG63" s="5"/>
      <c r="AH63" s="5"/>
    </row>
    <row r="64" spans="20:34" ht="15.6">
      <c r="T64" s="135" t="s">
        <v>287</v>
      </c>
      <c r="U64" s="182" t="s">
        <v>135</v>
      </c>
      <c r="V64" s="120">
        <f>(Database!$C$34*(($E$21+273.15)-($W$29+273.15)))+(((Database!$D$34)*(($E$21+273.15)^2-($W$29+273.15)^2))/2)+((Database!$E$34*(($E$21+273.15)^3-($W$29+273.15)^3))/3)+((Database!$F$34*(($E$21+273.15)^4-($W$29+273.15)^4))/4)+((Database!$G$34)*(($E$21+273.15)^(5)-($W$29+273.15)^5))/5</f>
        <v>24080.055081402144</v>
      </c>
      <c r="W64" s="11" t="s">
        <v>279</v>
      </c>
      <c r="X64" s="204"/>
      <c r="Y64" s="204"/>
      <c r="Z64" s="12"/>
      <c r="AB64" s="5"/>
      <c r="AC64" s="5"/>
      <c r="AD64" s="5"/>
      <c r="AE64" s="5"/>
      <c r="AF64" s="5"/>
      <c r="AG64" s="5"/>
      <c r="AH64" s="5"/>
    </row>
    <row r="65" spans="20:34" ht="15.6">
      <c r="T65" s="148"/>
      <c r="U65" s="148"/>
      <c r="V65" s="148"/>
      <c r="W65" s="148"/>
      <c r="X65" s="148"/>
      <c r="Y65" s="148"/>
      <c r="Z65" s="148"/>
      <c r="AB65" s="5"/>
      <c r="AC65" s="5"/>
      <c r="AD65" s="5"/>
      <c r="AE65" s="5"/>
      <c r="AF65" s="5"/>
      <c r="AG65" s="5"/>
      <c r="AH65" s="5"/>
    </row>
    <row r="66" spans="20:34" ht="15.6">
      <c r="T66" s="1"/>
      <c r="U66" s="2"/>
      <c r="V66" s="91" t="s">
        <v>288</v>
      </c>
      <c r="W66" s="2"/>
      <c r="X66" s="2"/>
      <c r="Y66" s="2"/>
      <c r="Z66" s="3"/>
      <c r="AB66" s="5"/>
      <c r="AC66" s="5"/>
      <c r="AD66" s="9"/>
      <c r="AE66" s="5"/>
      <c r="AF66" s="5"/>
      <c r="AG66" s="5"/>
      <c r="AH66" s="5"/>
    </row>
    <row r="67" spans="20:34" ht="15.6">
      <c r="T67" s="116" t="s">
        <v>281</v>
      </c>
      <c r="U67" s="5"/>
      <c r="V67" s="5"/>
      <c r="W67" s="5"/>
      <c r="X67" s="109" t="s">
        <v>470</v>
      </c>
      <c r="Y67" s="5"/>
      <c r="Z67" s="6"/>
      <c r="AB67" s="115"/>
      <c r="AC67" s="5"/>
      <c r="AD67" s="5"/>
      <c r="AE67" s="5"/>
      <c r="AF67" s="115"/>
      <c r="AG67" s="5"/>
      <c r="AH67" s="5"/>
    </row>
    <row r="68" spans="20:34" ht="15.6">
      <c r="T68" s="156" t="s">
        <v>389</v>
      </c>
      <c r="U68" s="5"/>
      <c r="V68" s="5"/>
      <c r="W68" s="5"/>
      <c r="X68" s="64" t="s">
        <v>390</v>
      </c>
      <c r="Y68" s="5"/>
      <c r="Z68" s="6"/>
      <c r="AB68" s="5"/>
      <c r="AC68" s="5"/>
      <c r="AD68" s="5"/>
      <c r="AE68" s="5"/>
      <c r="AF68" s="5"/>
      <c r="AG68" s="5"/>
      <c r="AH68" s="5"/>
    </row>
    <row r="69" spans="20:34" ht="15.6">
      <c r="T69" s="172"/>
      <c r="U69" s="5"/>
      <c r="V69" s="5"/>
      <c r="W69" s="5"/>
      <c r="X69" s="148"/>
      <c r="Y69" s="5"/>
      <c r="Z69" s="6"/>
      <c r="AB69" s="9"/>
      <c r="AC69" s="5"/>
      <c r="AD69" s="5"/>
      <c r="AE69" s="5"/>
      <c r="AF69" s="9"/>
      <c r="AG69" s="5"/>
      <c r="AH69" s="5"/>
    </row>
    <row r="70" spans="20:34" ht="15.6">
      <c r="T70" s="4"/>
      <c r="U70" s="9" t="s">
        <v>341</v>
      </c>
      <c r="V70" s="9" t="s">
        <v>391</v>
      </c>
      <c r="W70" s="9" t="s">
        <v>342</v>
      </c>
      <c r="X70" s="5"/>
      <c r="Y70" s="5"/>
      <c r="Z70" s="6"/>
      <c r="AB70" s="5"/>
      <c r="AC70" s="115"/>
      <c r="AD70" s="5"/>
      <c r="AE70" s="115"/>
      <c r="AF70" s="5"/>
      <c r="AG70" s="5"/>
      <c r="AH70" s="5"/>
    </row>
    <row r="71" spans="20:34" ht="15.6">
      <c r="T71" s="4"/>
      <c r="U71" s="5"/>
      <c r="V71" s="148"/>
      <c r="W71" s="5"/>
      <c r="X71" s="5"/>
      <c r="Y71" s="5"/>
      <c r="Z71" s="6"/>
      <c r="AB71" s="5"/>
      <c r="AC71" s="5"/>
      <c r="AD71" s="9"/>
      <c r="AE71" s="5"/>
      <c r="AF71" s="5"/>
      <c r="AG71" s="5"/>
      <c r="AH71" s="5"/>
    </row>
    <row r="72" spans="20:34" ht="15.6">
      <c r="T72" s="181" t="s">
        <v>576</v>
      </c>
      <c r="U72" s="21"/>
      <c r="V72" s="5"/>
      <c r="W72" s="148"/>
      <c r="X72" s="5"/>
      <c r="Y72" s="5"/>
      <c r="Z72" s="6"/>
      <c r="AB72" s="5"/>
      <c r="AC72" s="5"/>
      <c r="AD72" s="5"/>
      <c r="AE72" s="5"/>
      <c r="AF72" s="5"/>
      <c r="AG72" s="5"/>
      <c r="AH72" s="5"/>
    </row>
    <row r="73" spans="20:34" ht="49.8" customHeight="1">
      <c r="T73" s="88" t="s">
        <v>389</v>
      </c>
      <c r="U73" s="94" t="s">
        <v>135</v>
      </c>
      <c r="V73" s="377"/>
      <c r="W73" s="377"/>
      <c r="X73" s="377"/>
      <c r="Y73" s="377"/>
      <c r="Z73" s="465"/>
      <c r="AB73" s="9"/>
      <c r="AC73" s="9"/>
      <c r="AD73" s="5"/>
      <c r="AE73" s="5"/>
      <c r="AF73" s="5"/>
      <c r="AG73" s="5"/>
      <c r="AH73" s="5"/>
    </row>
    <row r="74" spans="20:34" ht="15.6">
      <c r="T74" s="88" t="s">
        <v>389</v>
      </c>
      <c r="U74" s="94" t="s">
        <v>135</v>
      </c>
      <c r="V74" s="96">
        <f>(Database!$C$32*((Database!$H$11)-($W$29+273.15)))+(((Database!$D$32)*((Database!$H$11)^2-($W$29+273.15)^2))/2)+((Database!$E$32*((Database!$H$11)^3-($W$29+273.15)^3))/3)+((Database!$F$32*((Database!$H$11)^4-($W$29+273.15)^4))/4)+((Database!$G$32)*((Database!$H$11)^(5)-($W$29+273.15)^5))/5</f>
        <v>-695.48620406653799</v>
      </c>
      <c r="W74" s="5" t="s">
        <v>279</v>
      </c>
      <c r="X74" s="5"/>
      <c r="Y74" s="5"/>
      <c r="Z74" s="6"/>
      <c r="AB74" s="9"/>
      <c r="AC74" s="9"/>
      <c r="AD74" s="129"/>
      <c r="AE74" s="5"/>
      <c r="AF74" s="5"/>
      <c r="AG74" s="5"/>
      <c r="AH74" s="5"/>
    </row>
    <row r="75" spans="20:34" ht="15.6">
      <c r="T75" s="181"/>
      <c r="U75" s="168"/>
      <c r="V75" s="148"/>
      <c r="W75" s="5"/>
      <c r="X75" s="5"/>
      <c r="Y75" s="5"/>
      <c r="Z75" s="6"/>
      <c r="AB75" s="5"/>
      <c r="AC75" s="9"/>
      <c r="AD75" s="5"/>
      <c r="AE75" s="5"/>
      <c r="AF75" s="5"/>
      <c r="AG75" s="5"/>
      <c r="AH75" s="5"/>
    </row>
    <row r="76" spans="20:34" ht="15.6">
      <c r="T76" s="181" t="s">
        <v>344</v>
      </c>
      <c r="U76" s="21"/>
      <c r="V76" s="5"/>
      <c r="W76" s="5"/>
      <c r="X76" s="5"/>
      <c r="Y76" s="5"/>
      <c r="Z76" s="6"/>
      <c r="AB76" s="5"/>
      <c r="AC76" s="9"/>
      <c r="AD76" s="5"/>
      <c r="AE76" s="5"/>
      <c r="AF76" s="5"/>
      <c r="AG76" s="5"/>
      <c r="AH76" s="5"/>
    </row>
    <row r="77" spans="20:34" ht="15.6">
      <c r="T77" s="88" t="s">
        <v>391</v>
      </c>
      <c r="U77" s="94" t="s">
        <v>135</v>
      </c>
      <c r="V77" s="94" t="s">
        <v>551</v>
      </c>
      <c r="W77" s="5"/>
      <c r="X77" s="5"/>
      <c r="Y77" s="5"/>
      <c r="Z77" s="6"/>
      <c r="AB77" s="9"/>
      <c r="AC77" s="9"/>
      <c r="AD77" s="5"/>
      <c r="AE77" s="5"/>
      <c r="AF77" s="5"/>
      <c r="AG77" s="5"/>
      <c r="AH77" s="5"/>
    </row>
    <row r="78" spans="20:34" ht="15.6">
      <c r="T78" s="88" t="s">
        <v>391</v>
      </c>
      <c r="U78" s="94" t="s">
        <v>135</v>
      </c>
      <c r="V78" s="9">
        <f>Database!$I$21*1000*-1</f>
        <v>-25700</v>
      </c>
      <c r="W78" s="5" t="s">
        <v>279</v>
      </c>
      <c r="X78" s="5"/>
      <c r="Y78" s="5"/>
      <c r="Z78" s="6"/>
      <c r="AB78" s="9"/>
      <c r="AC78" s="9"/>
      <c r="AD78" s="9"/>
      <c r="AE78" s="5"/>
      <c r="AF78" s="5"/>
      <c r="AG78" s="5"/>
      <c r="AH78" s="5"/>
    </row>
    <row r="79" spans="20:34" ht="15.6">
      <c r="T79" s="181"/>
      <c r="U79" s="21"/>
      <c r="V79" s="5"/>
      <c r="W79" s="5"/>
      <c r="X79" s="5"/>
      <c r="Y79" s="5"/>
      <c r="Z79" s="6"/>
      <c r="AB79" s="5"/>
      <c r="AC79" s="9"/>
      <c r="AD79" s="5"/>
      <c r="AE79" s="5"/>
      <c r="AF79" s="5"/>
      <c r="AG79" s="5"/>
      <c r="AH79" s="5"/>
    </row>
    <row r="80" spans="20:34" ht="15.6">
      <c r="T80" s="181" t="s">
        <v>589</v>
      </c>
      <c r="U80" s="153"/>
      <c r="V80" s="5"/>
      <c r="W80" s="5"/>
      <c r="X80" s="5"/>
      <c r="Y80" s="5"/>
      <c r="Z80" s="6"/>
      <c r="AB80" s="5"/>
      <c r="AC80" s="9"/>
      <c r="AD80" s="5"/>
      <c r="AE80" s="5"/>
      <c r="AF80" s="5"/>
      <c r="AG80" s="5"/>
      <c r="AH80" s="5"/>
    </row>
    <row r="81" spans="20:34" ht="52.2" customHeight="1">
      <c r="T81" s="88" t="s">
        <v>390</v>
      </c>
      <c r="U81" s="94" t="s">
        <v>135</v>
      </c>
      <c r="V81" s="377"/>
      <c r="W81" s="377"/>
      <c r="X81" s="377"/>
      <c r="Y81" s="377"/>
      <c r="Z81" s="465"/>
      <c r="AB81" s="9"/>
      <c r="AC81" s="9"/>
      <c r="AD81" s="5"/>
      <c r="AE81" s="5"/>
      <c r="AF81" s="5"/>
      <c r="AG81" s="5"/>
      <c r="AH81" s="5"/>
    </row>
    <row r="82" spans="20:34" ht="15.6">
      <c r="T82" s="88" t="s">
        <v>390</v>
      </c>
      <c r="U82" s="94" t="s">
        <v>135</v>
      </c>
      <c r="V82" s="129">
        <f>Database!$C$44*(($N$21+273.15)-(Database!$H$11))+((Database!$D$44*(($N$21+273.15)^2-(Database!$H$11)^2))/2)+((Database!$E$44*(($N$21+273.15)^3-(Database!$H$11)^3))/3)+((Database!$F$44*(($N$21+273.15)^4-(Database!$H$11)^4))/4)</f>
        <v>-411.661678124388</v>
      </c>
      <c r="W82" s="5" t="s">
        <v>279</v>
      </c>
      <c r="X82" s="5"/>
      <c r="Y82" s="5"/>
      <c r="Z82" s="6"/>
      <c r="AB82" s="9"/>
      <c r="AC82" s="9"/>
      <c r="AD82" s="96"/>
      <c r="AE82" s="5"/>
      <c r="AF82" s="5"/>
      <c r="AG82" s="5"/>
      <c r="AH82" s="5"/>
    </row>
    <row r="83" spans="20:34" ht="15.6">
      <c r="T83" s="181"/>
      <c r="U83" s="153"/>
      <c r="V83" s="5"/>
      <c r="W83" s="5"/>
      <c r="X83" s="5"/>
      <c r="Y83" s="5"/>
      <c r="Z83" s="6"/>
      <c r="AB83" s="5"/>
      <c r="AC83" s="5"/>
      <c r="AD83" s="5"/>
      <c r="AE83" s="5"/>
      <c r="AF83" s="5"/>
      <c r="AG83" s="5"/>
      <c r="AH83" s="5"/>
    </row>
    <row r="84" spans="20:34" ht="15.6">
      <c r="T84" s="88" t="s">
        <v>288</v>
      </c>
      <c r="U84" s="94" t="s">
        <v>135</v>
      </c>
      <c r="V84" s="9" t="s">
        <v>389</v>
      </c>
      <c r="W84" s="117" t="s">
        <v>284</v>
      </c>
      <c r="X84" s="9" t="s">
        <v>391</v>
      </c>
      <c r="Y84" s="117" t="s">
        <v>284</v>
      </c>
      <c r="Z84" s="121" t="s">
        <v>390</v>
      </c>
      <c r="AB84" s="9"/>
      <c r="AC84" s="9"/>
      <c r="AD84" s="9"/>
      <c r="AE84" s="9"/>
      <c r="AF84" s="9"/>
      <c r="AG84" s="9"/>
      <c r="AH84" s="9"/>
    </row>
    <row r="85" spans="20:34" ht="15.6">
      <c r="T85" s="135" t="s">
        <v>288</v>
      </c>
      <c r="U85" s="182" t="s">
        <v>135</v>
      </c>
      <c r="V85" s="119">
        <f>V82+V78+V74</f>
        <v>-26807.147882190926</v>
      </c>
      <c r="W85" s="11" t="s">
        <v>279</v>
      </c>
      <c r="X85" s="11"/>
      <c r="Y85" s="11"/>
      <c r="Z85" s="12"/>
      <c r="AB85" s="9"/>
      <c r="AC85" s="9"/>
      <c r="AD85" s="9"/>
      <c r="AE85" s="5"/>
      <c r="AF85" s="5"/>
      <c r="AG85" s="5"/>
      <c r="AH85" s="5"/>
    </row>
    <row r="86" spans="20:34" ht="15.6">
      <c r="T86" s="148"/>
      <c r="U86" s="148"/>
      <c r="V86" s="148"/>
      <c r="W86" s="148"/>
      <c r="X86" s="148"/>
      <c r="Y86" s="148"/>
      <c r="Z86" s="148"/>
      <c r="AB86" s="5"/>
      <c r="AC86" s="5"/>
      <c r="AD86" s="5"/>
      <c r="AE86" s="5"/>
      <c r="AF86" s="5"/>
      <c r="AG86" s="5"/>
      <c r="AH86" s="5"/>
    </row>
    <row r="87" spans="20:34" ht="15.6">
      <c r="T87" s="1"/>
      <c r="U87" s="2"/>
      <c r="V87" s="91" t="s">
        <v>289</v>
      </c>
      <c r="W87" s="2"/>
      <c r="X87" s="2"/>
      <c r="Y87" s="2"/>
      <c r="Z87" s="3"/>
      <c r="AB87" s="5"/>
      <c r="AC87" s="5"/>
      <c r="AD87" s="9"/>
      <c r="AE87" s="5"/>
      <c r="AF87" s="5"/>
      <c r="AG87" s="5"/>
      <c r="AH87" s="5"/>
    </row>
    <row r="88" spans="20:34" ht="15.6">
      <c r="T88" s="116" t="s">
        <v>346</v>
      </c>
      <c r="U88" s="5"/>
      <c r="V88" s="5"/>
      <c r="W88" s="5"/>
      <c r="X88" s="109" t="s">
        <v>471</v>
      </c>
      <c r="Y88" s="5"/>
      <c r="Z88" s="6"/>
      <c r="AB88" s="115"/>
      <c r="AC88" s="5"/>
      <c r="AD88" s="5"/>
      <c r="AE88" s="5"/>
      <c r="AF88" s="115"/>
      <c r="AG88" s="5"/>
      <c r="AH88" s="5"/>
    </row>
    <row r="89" spans="20:34" ht="15.6">
      <c r="T89" s="156" t="s">
        <v>392</v>
      </c>
      <c r="U89" s="5"/>
      <c r="V89" s="5"/>
      <c r="W89" s="5"/>
      <c r="X89" s="64" t="s">
        <v>393</v>
      </c>
      <c r="Y89" s="5"/>
      <c r="Z89" s="6"/>
      <c r="AB89" s="5"/>
      <c r="AC89" s="5"/>
      <c r="AD89" s="5"/>
      <c r="AE89" s="5"/>
      <c r="AF89" s="5"/>
      <c r="AG89" s="5"/>
      <c r="AH89" s="5"/>
    </row>
    <row r="90" spans="20:34" ht="15.6">
      <c r="T90" s="172"/>
      <c r="U90" s="5"/>
      <c r="V90" s="5"/>
      <c r="W90" s="5"/>
      <c r="X90" s="148"/>
      <c r="Y90" s="5"/>
      <c r="Z90" s="6"/>
      <c r="AB90" s="9"/>
      <c r="AC90" s="5"/>
      <c r="AD90" s="5"/>
      <c r="AE90" s="5"/>
      <c r="AF90" s="9"/>
      <c r="AG90" s="5"/>
      <c r="AH90" s="5"/>
    </row>
    <row r="91" spans="20:34" ht="15.6">
      <c r="T91" s="4"/>
      <c r="U91" s="9" t="s">
        <v>350</v>
      </c>
      <c r="V91" s="9" t="s">
        <v>394</v>
      </c>
      <c r="W91" s="9" t="s">
        <v>351</v>
      </c>
      <c r="X91" s="5"/>
      <c r="Y91" s="5"/>
      <c r="Z91" s="6"/>
      <c r="AB91" s="5"/>
      <c r="AC91" s="115"/>
      <c r="AD91" s="5"/>
      <c r="AE91" s="115"/>
      <c r="AF91" s="5"/>
      <c r="AG91" s="5"/>
      <c r="AH91" s="5"/>
    </row>
    <row r="92" spans="20:34" ht="15.6">
      <c r="T92" s="4"/>
      <c r="U92" s="5"/>
      <c r="V92" s="148"/>
      <c r="W92" s="5"/>
      <c r="X92" s="5"/>
      <c r="Y92" s="5"/>
      <c r="Z92" s="6"/>
      <c r="AB92" s="5"/>
      <c r="AC92" s="5"/>
      <c r="AD92" s="9"/>
      <c r="AE92" s="5"/>
      <c r="AF92" s="5"/>
      <c r="AG92" s="5"/>
      <c r="AH92" s="5"/>
    </row>
    <row r="93" spans="20:34" ht="15.6">
      <c r="T93" s="4" t="s">
        <v>578</v>
      </c>
      <c r="U93" s="9"/>
      <c r="V93" s="5"/>
      <c r="W93" s="148"/>
      <c r="X93" s="5"/>
      <c r="Y93" s="5"/>
      <c r="Z93" s="6"/>
      <c r="AB93" s="5"/>
      <c r="AC93" s="5"/>
      <c r="AD93" s="5"/>
      <c r="AE93" s="5"/>
      <c r="AF93" s="5"/>
      <c r="AG93" s="5"/>
      <c r="AH93" s="5"/>
    </row>
    <row r="94" spans="20:34" ht="51.6" customHeight="1">
      <c r="T94" s="88" t="s">
        <v>392</v>
      </c>
      <c r="U94" s="94" t="s">
        <v>135</v>
      </c>
      <c r="V94" s="377"/>
      <c r="W94" s="377"/>
      <c r="X94" s="377"/>
      <c r="Y94" s="377"/>
      <c r="Z94" s="465"/>
      <c r="AB94" s="9"/>
      <c r="AC94" s="9"/>
      <c r="AD94" s="5"/>
      <c r="AE94" s="5"/>
      <c r="AF94" s="5"/>
      <c r="AG94" s="5"/>
      <c r="AH94" s="5"/>
    </row>
    <row r="95" spans="20:34" ht="15.6">
      <c r="T95" s="88" t="s">
        <v>392</v>
      </c>
      <c r="U95" s="94" t="s">
        <v>135</v>
      </c>
      <c r="V95" s="96">
        <f>(Database!$C$33*((Database!$H$12)-($W$29+273.15)))+(((Database!$D$33)*((Database!$H$12)^2-($W$29+273.15)^2))/2)+((Database!$E$33*((Database!$H$12)^3-($W$29+273.15)^3))/3)+((Database!$F$33*((Database!$H$12)^4-($W$29+273.15)^4))/4)+((Database!$G$33)*((Database!$H$12)^(5)-($W$29+273.15)^5))/5</f>
        <v>14587.315366913117</v>
      </c>
      <c r="W95" s="148"/>
      <c r="X95" s="5"/>
      <c r="Y95" s="5"/>
      <c r="Z95" s="6"/>
      <c r="AB95" s="9"/>
      <c r="AC95" s="9"/>
      <c r="AD95" s="129"/>
      <c r="AE95" s="5"/>
      <c r="AF95" s="5"/>
      <c r="AG95" s="5"/>
      <c r="AH95" s="5"/>
    </row>
    <row r="96" spans="20:34" ht="15.6">
      <c r="T96" s="181"/>
      <c r="U96" s="168"/>
      <c r="V96" s="148"/>
      <c r="W96" s="5"/>
      <c r="X96" s="5"/>
      <c r="Y96" s="5"/>
      <c r="Z96" s="6"/>
      <c r="AB96" s="5"/>
      <c r="AC96" s="9"/>
      <c r="AD96" s="5"/>
      <c r="AE96" s="5"/>
      <c r="AF96" s="5"/>
      <c r="AG96" s="5"/>
      <c r="AH96" s="5"/>
    </row>
    <row r="97" spans="20:34" ht="15.6">
      <c r="T97" s="181" t="s">
        <v>353</v>
      </c>
      <c r="U97" s="21"/>
      <c r="V97" s="5"/>
      <c r="W97" s="5"/>
      <c r="X97" s="5"/>
      <c r="Y97" s="5"/>
      <c r="Z97" s="6"/>
      <c r="AB97" s="5"/>
      <c r="AC97" s="9"/>
      <c r="AD97" s="5"/>
      <c r="AE97" s="5"/>
      <c r="AF97" s="5"/>
      <c r="AG97" s="5"/>
      <c r="AH97" s="5"/>
    </row>
    <row r="98" spans="20:34" ht="15.6">
      <c r="T98" s="88" t="s">
        <v>394</v>
      </c>
      <c r="U98" s="94" t="s">
        <v>135</v>
      </c>
      <c r="V98" s="94" t="s">
        <v>552</v>
      </c>
      <c r="W98" s="5"/>
      <c r="X98" s="5"/>
      <c r="Y98" s="5"/>
      <c r="Z98" s="6"/>
      <c r="AB98" s="9"/>
      <c r="AC98" s="9"/>
      <c r="AD98" s="5"/>
      <c r="AE98" s="5"/>
      <c r="AF98" s="5"/>
      <c r="AG98" s="5"/>
      <c r="AH98" s="5"/>
    </row>
    <row r="99" spans="20:34" ht="15.6">
      <c r="T99" s="88" t="s">
        <v>394</v>
      </c>
      <c r="U99" s="94" t="s">
        <v>135</v>
      </c>
      <c r="V99" s="9">
        <f>Database!$I$22*1000*-1</f>
        <v>-51530</v>
      </c>
      <c r="W99" s="5" t="s">
        <v>279</v>
      </c>
      <c r="X99" s="5"/>
      <c r="Y99" s="5"/>
      <c r="Z99" s="6"/>
      <c r="AB99" s="9"/>
      <c r="AC99" s="9"/>
      <c r="AD99" s="9"/>
      <c r="AE99" s="5"/>
      <c r="AF99" s="5"/>
      <c r="AG99" s="5"/>
      <c r="AH99" s="5"/>
    </row>
    <row r="100" spans="20:34" ht="15.6">
      <c r="T100" s="181"/>
      <c r="U100" s="21"/>
      <c r="V100" s="5"/>
      <c r="W100" s="5"/>
      <c r="X100" s="5"/>
      <c r="Y100" s="5"/>
      <c r="Z100" s="6"/>
      <c r="AB100" s="5"/>
      <c r="AC100" s="9"/>
      <c r="AD100" s="5"/>
      <c r="AE100" s="5"/>
      <c r="AF100" s="5"/>
      <c r="AG100" s="5"/>
      <c r="AH100" s="5"/>
    </row>
    <row r="101" spans="20:34" ht="15.6">
      <c r="T101" s="181" t="s">
        <v>589</v>
      </c>
      <c r="U101" s="153"/>
      <c r="V101" s="5"/>
      <c r="W101" s="5"/>
      <c r="X101" s="5"/>
      <c r="Y101" s="5"/>
      <c r="Z101" s="6"/>
      <c r="AB101" s="5"/>
      <c r="AC101" s="9"/>
      <c r="AD101" s="5"/>
      <c r="AE101" s="5"/>
      <c r="AF101" s="5"/>
      <c r="AG101" s="5"/>
      <c r="AH101" s="5"/>
    </row>
    <row r="102" spans="20:34" ht="54.6" customHeight="1">
      <c r="T102" s="88" t="s">
        <v>393</v>
      </c>
      <c r="U102" s="94" t="s">
        <v>135</v>
      </c>
      <c r="V102" s="377"/>
      <c r="W102" s="377"/>
      <c r="X102" s="377"/>
      <c r="Y102" s="377"/>
      <c r="Z102" s="465"/>
      <c r="AB102" s="9"/>
      <c r="AC102" s="9"/>
      <c r="AD102" s="5"/>
      <c r="AE102" s="5"/>
      <c r="AF102" s="5"/>
      <c r="AG102" s="5"/>
      <c r="AH102" s="5"/>
    </row>
    <row r="103" spans="20:34" ht="15.6">
      <c r="T103" s="88" t="s">
        <v>393</v>
      </c>
      <c r="U103" s="94" t="s">
        <v>135</v>
      </c>
      <c r="V103" s="129">
        <f>Database!$C$45*(($N$21+273.15)-(Database!$H$12))+((Database!$D$45*(($N$21+273.15)^2-(Database!$H$12)^2))/2)+((Database!$E$45*(($N$21+273.15)^3-(Database!$H$12)^3))/3)+((Database!$F$45*(($N$21+273.15)^4-(Database!$H$12)^4))/4)</f>
        <v>-33788.612870734447</v>
      </c>
      <c r="W103" s="5" t="s">
        <v>279</v>
      </c>
      <c r="X103" s="5"/>
      <c r="Y103" s="5"/>
      <c r="Z103" s="6"/>
      <c r="AB103" s="9"/>
      <c r="AC103" s="9"/>
      <c r="AD103" s="96"/>
      <c r="AE103" s="5"/>
      <c r="AF103" s="5"/>
      <c r="AG103" s="5"/>
      <c r="AH103" s="5"/>
    </row>
    <row r="104" spans="20:34" ht="15.6">
      <c r="T104" s="181"/>
      <c r="U104" s="153"/>
      <c r="V104" s="5"/>
      <c r="W104" s="5"/>
      <c r="X104" s="5"/>
      <c r="Y104" s="5"/>
      <c r="Z104" s="6"/>
      <c r="AB104" s="5"/>
      <c r="AC104" s="5"/>
      <c r="AD104" s="5"/>
      <c r="AE104" s="5"/>
      <c r="AF104" s="5"/>
      <c r="AG104" s="5"/>
      <c r="AH104" s="5"/>
    </row>
    <row r="105" spans="20:34" ht="15.6">
      <c r="T105" s="88" t="s">
        <v>289</v>
      </c>
      <c r="U105" s="94" t="s">
        <v>135</v>
      </c>
      <c r="V105" s="9" t="s">
        <v>392</v>
      </c>
      <c r="W105" s="117" t="s">
        <v>284</v>
      </c>
      <c r="X105" s="9" t="s">
        <v>394</v>
      </c>
      <c r="Y105" s="117" t="s">
        <v>284</v>
      </c>
      <c r="Z105" s="121" t="s">
        <v>393</v>
      </c>
      <c r="AB105" s="9"/>
      <c r="AC105" s="9"/>
      <c r="AD105" s="9"/>
      <c r="AE105" s="9"/>
      <c r="AF105" s="9"/>
      <c r="AG105" s="9"/>
      <c r="AH105" s="9"/>
    </row>
    <row r="106" spans="20:34" ht="15.6">
      <c r="T106" s="135" t="s">
        <v>289</v>
      </c>
      <c r="U106" s="182" t="s">
        <v>135</v>
      </c>
      <c r="V106" s="119">
        <f>V103+V99+V95</f>
        <v>-70731.297503821334</v>
      </c>
      <c r="W106" s="11" t="s">
        <v>279</v>
      </c>
      <c r="X106" s="11"/>
      <c r="Y106" s="11"/>
      <c r="Z106" s="12"/>
      <c r="AB106" s="9"/>
      <c r="AC106" s="9"/>
      <c r="AD106" s="9"/>
      <c r="AE106" s="5"/>
      <c r="AF106" s="5"/>
      <c r="AG106" s="5"/>
      <c r="AH106" s="5"/>
    </row>
    <row r="107" spans="20:34" ht="15.75" customHeight="1">
      <c r="T107" s="148"/>
      <c r="U107" s="148"/>
      <c r="V107" s="148"/>
      <c r="W107" s="148"/>
      <c r="X107" s="148"/>
      <c r="Y107" s="148"/>
      <c r="Z107" s="148"/>
    </row>
    <row r="108" spans="20:34" ht="15.6">
      <c r="T108" s="1"/>
      <c r="U108" s="2"/>
      <c r="V108" s="91" t="s">
        <v>290</v>
      </c>
      <c r="W108" s="2"/>
      <c r="X108" s="2"/>
      <c r="Y108" s="2"/>
      <c r="Z108" s="3"/>
      <c r="AB108" s="5"/>
      <c r="AC108" s="9"/>
      <c r="AD108" s="5"/>
      <c r="AE108" s="5"/>
      <c r="AF108" s="5"/>
    </row>
    <row r="109" spans="20:34" ht="15.6">
      <c r="T109" s="116" t="s">
        <v>355</v>
      </c>
      <c r="U109" s="5"/>
      <c r="V109" s="5"/>
      <c r="W109" s="5"/>
      <c r="X109" s="109" t="s">
        <v>472</v>
      </c>
      <c r="Y109" s="5"/>
      <c r="Z109" s="6"/>
      <c r="AB109" s="9"/>
      <c r="AC109" s="9"/>
      <c r="AD109" s="9"/>
      <c r="AE109" s="5"/>
      <c r="AF109" s="5"/>
    </row>
    <row r="110" spans="20:34" ht="15.6">
      <c r="T110" s="156" t="s">
        <v>422</v>
      </c>
      <c r="U110" s="5"/>
      <c r="V110" s="5"/>
      <c r="W110" s="5"/>
      <c r="X110" s="64" t="s">
        <v>423</v>
      </c>
      <c r="Y110" s="5"/>
      <c r="Z110" s="6"/>
      <c r="AB110" s="5"/>
      <c r="AC110" s="9"/>
      <c r="AD110" s="5"/>
      <c r="AE110" s="5"/>
      <c r="AF110" s="5"/>
    </row>
    <row r="111" spans="20:34" ht="15.6">
      <c r="T111" s="172"/>
      <c r="U111" s="5"/>
      <c r="V111" s="5"/>
      <c r="W111" s="5"/>
      <c r="X111" s="148"/>
      <c r="Y111" s="5"/>
      <c r="Z111" s="6"/>
      <c r="AB111" s="9"/>
      <c r="AC111" s="9"/>
      <c r="AD111" s="5"/>
      <c r="AE111" s="5"/>
      <c r="AF111" s="5"/>
    </row>
    <row r="112" spans="20:34" ht="15.6">
      <c r="T112" s="4"/>
      <c r="U112" s="9" t="s">
        <v>359</v>
      </c>
      <c r="V112" s="9" t="s">
        <v>424</v>
      </c>
      <c r="W112" s="9" t="s">
        <v>360</v>
      </c>
      <c r="X112" s="5"/>
      <c r="Y112" s="5"/>
      <c r="Z112" s="6"/>
      <c r="AB112" s="9"/>
      <c r="AC112" s="9"/>
      <c r="AD112" s="129"/>
      <c r="AE112" s="5"/>
      <c r="AF112" s="5"/>
    </row>
    <row r="113" spans="20:32" ht="15.6">
      <c r="T113" s="4"/>
      <c r="U113" s="5"/>
      <c r="V113" s="148"/>
      <c r="W113" s="5"/>
      <c r="X113" s="5"/>
      <c r="Y113" s="5"/>
      <c r="Z113" s="6"/>
      <c r="AB113" s="5"/>
      <c r="AC113" s="5"/>
      <c r="AD113" s="5"/>
      <c r="AE113" s="5"/>
      <c r="AF113" s="5"/>
    </row>
    <row r="114" spans="20:32" ht="15.6">
      <c r="T114" s="4" t="s">
        <v>579</v>
      </c>
      <c r="U114" s="9"/>
      <c r="V114" s="5"/>
      <c r="W114" s="148"/>
      <c r="X114" s="5"/>
      <c r="Y114" s="5"/>
      <c r="Z114" s="6"/>
      <c r="AB114" s="5"/>
      <c r="AC114" s="5"/>
      <c r="AD114" s="5"/>
      <c r="AE114" s="5"/>
      <c r="AF114" s="5"/>
    </row>
    <row r="115" spans="20:32" ht="51.6" customHeight="1">
      <c r="T115" s="88" t="s">
        <v>422</v>
      </c>
      <c r="U115" s="94" t="s">
        <v>135</v>
      </c>
      <c r="V115" s="377"/>
      <c r="W115" s="377"/>
      <c r="X115" s="377"/>
      <c r="Y115" s="377"/>
      <c r="Z115" s="465"/>
      <c r="AB115" s="5"/>
      <c r="AC115" s="9"/>
      <c r="AD115" s="5"/>
      <c r="AE115" s="5"/>
      <c r="AF115" s="5"/>
    </row>
    <row r="116" spans="20:32" ht="15.6">
      <c r="T116" s="88" t="s">
        <v>422</v>
      </c>
      <c r="U116" s="94" t="s">
        <v>135</v>
      </c>
      <c r="V116" s="96">
        <f>(Database!$C$34*((Database!$H$13)-($W$29+273.15)))+(((Database!$D$34)*((Database!$H$13)^2-($W$29+273.15)^2))/2)+((Database!$E$34*((Database!$H$13)^3-($W$29+273.15)^3))/3)+((Database!$F$34*((Database!$H$13)^4-($W$29+273.15)^4))/4)+((Database!$G$34)*((Database!$H$13)^(5)-($W$29+273.15)^5))/5</f>
        <v>44168.085339864891</v>
      </c>
      <c r="W116" s="5" t="s">
        <v>279</v>
      </c>
      <c r="X116" s="5"/>
      <c r="Y116" s="5"/>
      <c r="Z116" s="6"/>
      <c r="AB116" s="115"/>
      <c r="AC116" s="9"/>
      <c r="AD116" s="115"/>
      <c r="AE116" s="5"/>
      <c r="AF116" s="5"/>
    </row>
    <row r="117" spans="20:32" ht="15.6">
      <c r="T117" s="181"/>
      <c r="U117" s="168"/>
      <c r="V117" s="148"/>
      <c r="W117" s="5"/>
      <c r="X117" s="5"/>
      <c r="Y117" s="5"/>
      <c r="Z117" s="6"/>
      <c r="AB117" s="5"/>
      <c r="AC117" s="9"/>
      <c r="AD117" s="5"/>
      <c r="AE117" s="5"/>
      <c r="AF117" s="5"/>
    </row>
    <row r="118" spans="20:32" ht="15.6">
      <c r="T118" s="181" t="s">
        <v>362</v>
      </c>
      <c r="U118" s="21"/>
      <c r="V118" s="5"/>
      <c r="W118" s="5"/>
      <c r="X118" s="5"/>
      <c r="Y118" s="5"/>
      <c r="Z118" s="6"/>
      <c r="AB118" s="9"/>
      <c r="AC118" s="9"/>
      <c r="AD118" s="5"/>
      <c r="AE118" s="5"/>
      <c r="AF118" s="5"/>
    </row>
    <row r="119" spans="20:32" ht="15.6">
      <c r="T119" s="88" t="s">
        <v>424</v>
      </c>
      <c r="U119" s="94" t="s">
        <v>135</v>
      </c>
      <c r="V119" s="94" t="s">
        <v>553</v>
      </c>
      <c r="W119" s="5"/>
      <c r="X119" s="5"/>
      <c r="Y119" s="5"/>
      <c r="Z119" s="6"/>
      <c r="AB119" s="9"/>
      <c r="AC119" s="9"/>
      <c r="AD119" s="129"/>
      <c r="AE119" s="5"/>
      <c r="AF119" s="5"/>
    </row>
    <row r="120" spans="20:32" ht="15.6">
      <c r="T120" s="88" t="s">
        <v>424</v>
      </c>
      <c r="U120" s="94" t="s">
        <v>135</v>
      </c>
      <c r="V120" s="9">
        <f>Database!$I$23*1000*-1</f>
        <v>-64459.999999999993</v>
      </c>
      <c r="W120" s="5" t="s">
        <v>279</v>
      </c>
      <c r="X120" s="5"/>
      <c r="Y120" s="5"/>
      <c r="Z120" s="6"/>
      <c r="AB120" s="5"/>
      <c r="AC120" s="9"/>
      <c r="AD120" s="5"/>
      <c r="AE120" s="5"/>
      <c r="AF120" s="5"/>
    </row>
    <row r="121" spans="20:32" ht="15.6">
      <c r="T121" s="181"/>
      <c r="U121" s="21"/>
      <c r="V121" s="5"/>
      <c r="W121" s="5"/>
      <c r="X121" s="5"/>
      <c r="Y121" s="5"/>
      <c r="Z121" s="6"/>
      <c r="AB121" s="5"/>
      <c r="AC121" s="9"/>
      <c r="AD121" s="5"/>
      <c r="AE121" s="5"/>
      <c r="AF121" s="5"/>
    </row>
    <row r="122" spans="20:32" ht="15.6">
      <c r="T122" s="181" t="s">
        <v>589</v>
      </c>
      <c r="U122" s="153"/>
      <c r="V122" s="5"/>
      <c r="W122" s="5"/>
      <c r="X122" s="5"/>
      <c r="Y122" s="5"/>
      <c r="Z122" s="6"/>
      <c r="AB122" s="5"/>
      <c r="AC122" s="9"/>
      <c r="AD122" s="5"/>
      <c r="AE122" s="5"/>
      <c r="AF122" s="5"/>
    </row>
    <row r="123" spans="20:32" ht="49.2" customHeight="1">
      <c r="T123" s="88" t="s">
        <v>423</v>
      </c>
      <c r="U123" s="94" t="s">
        <v>135</v>
      </c>
      <c r="V123" s="377"/>
      <c r="W123" s="377"/>
      <c r="X123" s="377"/>
      <c r="Y123" s="377"/>
      <c r="Z123" s="465"/>
      <c r="AB123" s="115"/>
      <c r="AC123" s="9"/>
      <c r="AD123" s="115"/>
      <c r="AE123" s="5"/>
      <c r="AF123" s="5"/>
    </row>
    <row r="124" spans="20:32" ht="15.6">
      <c r="T124" s="88" t="s">
        <v>423</v>
      </c>
      <c r="U124" s="94" t="s">
        <v>135</v>
      </c>
      <c r="V124" s="129">
        <f>Database!$C$46*(($N$21+273.15)-(Database!$H$13))+((Database!$D$46*(($N$21+273.15)^2-(Database!$H$13)^2))/2)+((Database!$E$46*(($N$21+273.15)^3-(Database!$H$13)^3))/3)+((Database!$F$46*(($N$21+273.15)^4-(Database!$H$13)^4))/4)</f>
        <v>-68158.77530188841</v>
      </c>
      <c r="W124" s="5" t="s">
        <v>279</v>
      </c>
      <c r="X124" s="5"/>
      <c r="Y124" s="5"/>
      <c r="Z124" s="6"/>
      <c r="AB124" s="5"/>
      <c r="AC124" s="9"/>
      <c r="AD124" s="5"/>
      <c r="AE124" s="5"/>
      <c r="AF124" s="5"/>
    </row>
    <row r="125" spans="20:32" ht="15.6">
      <c r="T125" s="181"/>
      <c r="U125" s="153"/>
      <c r="V125" s="5"/>
      <c r="W125" s="5"/>
      <c r="X125" s="5"/>
      <c r="Y125" s="5"/>
      <c r="Z125" s="6"/>
      <c r="AB125" s="9"/>
      <c r="AC125" s="9"/>
      <c r="AD125" s="5"/>
      <c r="AE125" s="5"/>
      <c r="AF125" s="5"/>
    </row>
    <row r="126" spans="20:32" ht="15.6">
      <c r="T126" s="88" t="s">
        <v>290</v>
      </c>
      <c r="U126" s="94" t="s">
        <v>135</v>
      </c>
      <c r="V126" s="9" t="s">
        <v>422</v>
      </c>
      <c r="W126" s="117" t="s">
        <v>284</v>
      </c>
      <c r="X126" s="9" t="s">
        <v>424</v>
      </c>
      <c r="Y126" s="117" t="s">
        <v>284</v>
      </c>
      <c r="Z126" s="121" t="s">
        <v>423</v>
      </c>
      <c r="AB126" s="9"/>
      <c r="AC126" s="9"/>
      <c r="AD126" s="129"/>
      <c r="AE126" s="5"/>
      <c r="AF126" s="5"/>
    </row>
    <row r="127" spans="20:32" ht="15.6">
      <c r="T127" s="135" t="s">
        <v>290</v>
      </c>
      <c r="U127" s="182" t="s">
        <v>135</v>
      </c>
      <c r="V127" s="119">
        <f>V124+V120+V116</f>
        <v>-88450.68996202352</v>
      </c>
      <c r="W127" s="11" t="s">
        <v>279</v>
      </c>
      <c r="X127" s="11"/>
      <c r="Y127" s="11"/>
      <c r="Z127" s="12"/>
    </row>
    <row r="128" spans="20:32" ht="15.75" customHeight="1">
      <c r="T128" s="148"/>
      <c r="U128" s="148"/>
      <c r="V128" s="148"/>
      <c r="W128" s="148"/>
      <c r="X128" s="148"/>
      <c r="Y128" s="148"/>
      <c r="Z128" s="148"/>
    </row>
    <row r="129" spans="20:26" ht="15.75" customHeight="1">
      <c r="T129" s="148"/>
      <c r="U129" s="148"/>
      <c r="V129" s="148"/>
      <c r="W129" s="148"/>
      <c r="X129" s="148"/>
      <c r="Y129" s="148"/>
      <c r="Z129" s="148"/>
    </row>
    <row r="130" spans="20:26" ht="15.75" customHeight="1">
      <c r="T130" s="148"/>
      <c r="U130" s="148"/>
      <c r="V130" s="148"/>
      <c r="W130" s="148"/>
      <c r="X130" s="148"/>
      <c r="Y130" s="148"/>
      <c r="Z130" s="148"/>
    </row>
    <row r="131" spans="20:26" ht="15.6">
      <c r="T131" s="5"/>
      <c r="U131" s="5"/>
      <c r="V131" s="5"/>
      <c r="W131" s="5"/>
      <c r="X131" s="148"/>
      <c r="Y131" s="148"/>
      <c r="Z131" s="148"/>
    </row>
    <row r="132" spans="20:26" ht="15.6">
      <c r="T132" s="9"/>
      <c r="U132" s="9"/>
      <c r="V132" s="5"/>
      <c r="W132" s="5"/>
      <c r="X132" s="148"/>
      <c r="Y132" s="148"/>
      <c r="Z132" s="148"/>
    </row>
    <row r="133" spans="20:26" ht="15.6">
      <c r="T133" s="9"/>
      <c r="U133" s="9"/>
      <c r="V133" s="5"/>
      <c r="W133" s="5"/>
    </row>
  </sheetData>
  <mergeCells count="46">
    <mergeCell ref="C23:D23"/>
    <mergeCell ref="L23:M23"/>
    <mergeCell ref="U59:V59"/>
    <mergeCell ref="U52:V52"/>
    <mergeCell ref="U45:V45"/>
    <mergeCell ref="U29:V29"/>
    <mergeCell ref="T30:T31"/>
    <mergeCell ref="U30:V30"/>
    <mergeCell ref="V123:Z123"/>
    <mergeCell ref="V115:Z115"/>
    <mergeCell ref="V102:Z102"/>
    <mergeCell ref="V94:Z94"/>
    <mergeCell ref="V81:Z81"/>
    <mergeCell ref="T5:V5"/>
    <mergeCell ref="T6:V6"/>
    <mergeCell ref="T7:V7"/>
    <mergeCell ref="T9:U9"/>
    <mergeCell ref="V73:Z73"/>
    <mergeCell ref="V49:Z49"/>
    <mergeCell ref="V56:Z56"/>
    <mergeCell ref="V63:Z63"/>
    <mergeCell ref="W42:X42"/>
    <mergeCell ref="Y42:Z42"/>
    <mergeCell ref="U42:V42"/>
    <mergeCell ref="W30:X30"/>
    <mergeCell ref="Y30:Z30"/>
    <mergeCell ref="T13:U13"/>
    <mergeCell ref="T17:U17"/>
    <mergeCell ref="C5:E5"/>
    <mergeCell ref="L5:N5"/>
    <mergeCell ref="C21:D21"/>
    <mergeCell ref="C22:D22"/>
    <mergeCell ref="C12:E12"/>
    <mergeCell ref="L12:N12"/>
    <mergeCell ref="C19:D19"/>
    <mergeCell ref="L19:M19"/>
    <mergeCell ref="C20:D20"/>
    <mergeCell ref="L20:M20"/>
    <mergeCell ref="L21:M21"/>
    <mergeCell ref="L22:M22"/>
    <mergeCell ref="C3:D3"/>
    <mergeCell ref="L3:M3"/>
    <mergeCell ref="T3:X3"/>
    <mergeCell ref="C4:D4"/>
    <mergeCell ref="L4:M4"/>
    <mergeCell ref="T4:V4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0:AJ260"/>
  <sheetViews>
    <sheetView topLeftCell="M14" zoomScale="90" zoomScaleNormal="90" workbookViewId="0">
      <selection activeCell="W23" sqref="W23"/>
    </sheetView>
  </sheetViews>
  <sheetFormatPr defaultColWidth="12.6640625" defaultRowHeight="15.75" customHeight="1"/>
  <cols>
    <col min="4" max="4" width="16.77734375" customWidth="1"/>
    <col min="5" max="5" width="16.6640625" customWidth="1"/>
    <col min="7" max="7" width="16" customWidth="1"/>
    <col min="8" max="8" width="14.6640625" bestFit="1" customWidth="1"/>
    <col min="12" max="12" width="16.44140625" customWidth="1"/>
    <col min="13" max="13" width="15.77734375" bestFit="1" customWidth="1"/>
    <col min="14" max="14" width="16.109375" customWidth="1"/>
    <col min="15" max="15" width="16.44140625" customWidth="1"/>
    <col min="16" max="16" width="17.5546875" customWidth="1"/>
    <col min="17" max="17" width="26.44140625" customWidth="1"/>
    <col min="19" max="19" width="26" customWidth="1"/>
    <col min="20" max="20" width="17.5546875" customWidth="1"/>
    <col min="21" max="21" width="14.33203125" customWidth="1"/>
    <col min="22" max="22" width="16.77734375" customWidth="1"/>
    <col min="23" max="23" width="18.44140625" customWidth="1"/>
    <col min="24" max="24" width="17.77734375" customWidth="1"/>
    <col min="25" max="25" width="21.44140625" customWidth="1"/>
    <col min="26" max="26" width="16.109375" customWidth="1"/>
    <col min="27" max="27" width="18.33203125" customWidth="1"/>
    <col min="28" max="36" width="22.44140625" customWidth="1"/>
  </cols>
  <sheetData>
    <row r="10" spans="1:36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5" t="s">
        <v>6</v>
      </c>
      <c r="Q12" s="15" t="s">
        <v>7</v>
      </c>
      <c r="R12" s="5"/>
      <c r="S12" s="80" t="s">
        <v>432</v>
      </c>
      <c r="T12" s="133"/>
      <c r="U12" s="133"/>
      <c r="V12" s="133"/>
      <c r="W12" s="133"/>
      <c r="X12" s="133"/>
      <c r="Y12" s="137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407" t="s">
        <v>79</v>
      </c>
      <c r="L13" s="389"/>
      <c r="M13" s="20">
        <f>M21*Q18</f>
        <v>19423.573657660298</v>
      </c>
      <c r="N13" s="5"/>
      <c r="O13" s="5"/>
      <c r="P13" s="19" t="s">
        <v>30</v>
      </c>
      <c r="Q13" s="20">
        <f>17.031</f>
        <v>17.030999999999999</v>
      </c>
      <c r="R13" s="5"/>
      <c r="S13" s="478" t="s">
        <v>201</v>
      </c>
      <c r="T13" s="391"/>
      <c r="U13" s="389"/>
      <c r="V13" s="22">
        <v>6</v>
      </c>
      <c r="W13" s="479" t="s">
        <v>473</v>
      </c>
      <c r="X13" s="391"/>
      <c r="Y13" s="389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</row>
    <row r="14" spans="1:36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407" t="s">
        <v>80</v>
      </c>
      <c r="L14" s="389"/>
      <c r="M14" s="33">
        <f>SUM(M16:M21)</f>
        <v>312.93013787111806</v>
      </c>
      <c r="N14" s="5"/>
      <c r="O14" s="5"/>
      <c r="P14" s="19" t="s">
        <v>48</v>
      </c>
      <c r="Q14" s="20">
        <v>44.052999999999997</v>
      </c>
      <c r="R14" s="5"/>
      <c r="S14" s="478" t="s">
        <v>434</v>
      </c>
      <c r="T14" s="391"/>
      <c r="U14" s="389"/>
      <c r="V14" s="135">
        <v>-4</v>
      </c>
      <c r="W14" s="484" t="s">
        <v>603</v>
      </c>
      <c r="X14" s="481"/>
      <c r="Y14" s="439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</row>
    <row r="15" spans="1:36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401" t="s">
        <v>66</v>
      </c>
      <c r="L15" s="391"/>
      <c r="M15" s="389"/>
      <c r="N15" s="5"/>
      <c r="O15" s="5"/>
      <c r="P15" s="19" t="s">
        <v>59</v>
      </c>
      <c r="Q15" s="20">
        <v>61.082999999999998</v>
      </c>
      <c r="R15" s="5"/>
      <c r="S15" s="450" t="s">
        <v>209</v>
      </c>
      <c r="T15" s="481"/>
      <c r="U15" s="481"/>
      <c r="V15" s="453">
        <v>-2</v>
      </c>
      <c r="W15" s="484" t="s">
        <v>474</v>
      </c>
      <c r="X15" s="481"/>
      <c r="Y15" s="439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</row>
    <row r="16" spans="1:36" ht="15.75" customHeight="1">
      <c r="A16" s="5"/>
      <c r="B16" s="5"/>
      <c r="C16" s="407" t="s">
        <v>79</v>
      </c>
      <c r="D16" s="389"/>
      <c r="E16" s="33">
        <f>E20*Q14+E21*Q15+E22*Q16</f>
        <v>11588.624623874779</v>
      </c>
      <c r="F16" s="5"/>
      <c r="G16" s="5"/>
      <c r="H16" s="5"/>
      <c r="I16" s="5"/>
      <c r="J16" s="5"/>
      <c r="K16" s="34" t="s">
        <v>67</v>
      </c>
      <c r="L16" s="35"/>
      <c r="M16" s="35"/>
      <c r="N16" s="5"/>
      <c r="O16" s="5"/>
      <c r="P16" s="19" t="s">
        <v>61</v>
      </c>
      <c r="Q16" s="20">
        <v>105.136</v>
      </c>
      <c r="R16" s="5"/>
      <c r="S16" s="452"/>
      <c r="T16" s="405"/>
      <c r="U16" s="405"/>
      <c r="V16" s="452"/>
      <c r="W16" s="486" t="s">
        <v>475</v>
      </c>
      <c r="X16" s="487"/>
      <c r="Y16" s="488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</row>
    <row r="17" spans="1:36" ht="15.75" customHeight="1">
      <c r="A17" s="5"/>
      <c r="B17" s="5"/>
      <c r="C17" s="407" t="s">
        <v>80</v>
      </c>
      <c r="D17" s="389"/>
      <c r="E17" s="33">
        <f>SUM(E19:E24)</f>
        <v>208.62009191407873</v>
      </c>
      <c r="F17" s="5"/>
      <c r="G17" s="5"/>
      <c r="H17" s="5"/>
      <c r="I17" s="5"/>
      <c r="J17" s="5"/>
      <c r="K17" s="34" t="s">
        <v>68</v>
      </c>
      <c r="L17" s="43"/>
      <c r="M17" s="35"/>
      <c r="N17" s="5"/>
      <c r="O17" s="5"/>
      <c r="P17" s="19" t="s">
        <v>63</v>
      </c>
      <c r="Q17" s="20">
        <v>149.18799999999999</v>
      </c>
      <c r="R17" s="5"/>
      <c r="S17" s="480"/>
      <c r="T17" s="405"/>
      <c r="U17" s="405"/>
      <c r="V17" s="126">
        <f>SUM(V13:V15)</f>
        <v>0</v>
      </c>
      <c r="W17" s="11" t="s">
        <v>438</v>
      </c>
      <c r="X17" s="11"/>
      <c r="Y17" s="11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 spans="1:36" ht="15.75" customHeight="1">
      <c r="A18" s="5"/>
      <c r="B18" s="5"/>
      <c r="C18" s="401" t="s">
        <v>66</v>
      </c>
      <c r="D18" s="391"/>
      <c r="E18" s="389"/>
      <c r="F18" s="5"/>
      <c r="G18" s="5"/>
      <c r="H18" s="5"/>
      <c r="I18" s="5"/>
      <c r="J18" s="5"/>
      <c r="K18" s="34" t="s">
        <v>69</v>
      </c>
      <c r="L18" s="35"/>
      <c r="M18" s="35"/>
      <c r="N18" s="5"/>
      <c r="O18" s="5"/>
      <c r="P18" s="19" t="s">
        <v>65</v>
      </c>
      <c r="Q18" s="24">
        <v>62.07</v>
      </c>
      <c r="R18" s="5"/>
    </row>
    <row r="19" spans="1:36" ht="15.75" customHeight="1">
      <c r="A19" s="5"/>
      <c r="B19" s="5"/>
      <c r="C19" s="34" t="s">
        <v>67</v>
      </c>
      <c r="D19" s="35"/>
      <c r="E19" s="35"/>
      <c r="F19" s="5"/>
      <c r="G19" s="5"/>
      <c r="H19" s="5"/>
      <c r="I19" s="5"/>
      <c r="J19" s="5"/>
      <c r="K19" s="34" t="s">
        <v>70</v>
      </c>
      <c r="L19" s="35"/>
      <c r="M19" s="35"/>
      <c r="N19" s="5"/>
      <c r="O19" s="5"/>
      <c r="R19" s="5"/>
      <c r="S19" s="11" t="s">
        <v>216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 ht="15.75" customHeight="1">
      <c r="A20" s="5"/>
      <c r="B20" s="5"/>
      <c r="C20" s="34" t="s">
        <v>68</v>
      </c>
      <c r="D20" s="53" t="s">
        <v>463</v>
      </c>
      <c r="E20" s="41">
        <f>'Cooler 2'!N7</f>
        <v>68.071127363343578</v>
      </c>
      <c r="F20" s="5"/>
      <c r="G20" s="5"/>
      <c r="H20" s="5"/>
      <c r="I20" s="5"/>
      <c r="J20" s="5"/>
      <c r="K20" s="34" t="s">
        <v>71</v>
      </c>
      <c r="L20" s="35"/>
      <c r="M20" s="35"/>
      <c r="N20" s="5"/>
      <c r="O20" s="5"/>
      <c r="P20" s="5"/>
      <c r="Q20" s="5"/>
      <c r="R20" s="5"/>
      <c r="S20" s="5" t="s">
        <v>476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 ht="15.75" customHeight="1">
      <c r="A21" s="5"/>
      <c r="B21" s="5"/>
      <c r="C21" s="34" t="s">
        <v>69</v>
      </c>
      <c r="D21" s="53" t="s">
        <v>464</v>
      </c>
      <c r="E21" s="41">
        <f>'Cooler 2'!N8</f>
        <v>140.44148382331934</v>
      </c>
      <c r="F21" s="5"/>
      <c r="G21" s="5"/>
      <c r="H21" s="5"/>
      <c r="I21" s="5"/>
      <c r="J21" s="5"/>
      <c r="K21" s="34" t="s">
        <v>72</v>
      </c>
      <c r="L21" s="40" t="s">
        <v>95</v>
      </c>
      <c r="M21" s="36">
        <f>U22</f>
        <v>312.93013787111806</v>
      </c>
      <c r="N21" s="5"/>
      <c r="O21" s="5"/>
      <c r="P21" s="5"/>
      <c r="Q21" s="5"/>
      <c r="R21" s="5"/>
      <c r="S21" s="9" t="s">
        <v>95</v>
      </c>
      <c r="T21" s="117" t="s">
        <v>135</v>
      </c>
      <c r="U21" s="9" t="s">
        <v>607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ht="15.75" customHeight="1">
      <c r="A22" s="5"/>
      <c r="B22" s="5"/>
      <c r="C22" s="34" t="s">
        <v>70</v>
      </c>
      <c r="D22" s="53" t="s">
        <v>465</v>
      </c>
      <c r="E22" s="41">
        <f>'Cooler 2'!N9</f>
        <v>0.10748072741580565</v>
      </c>
      <c r="F22" s="5"/>
      <c r="G22" s="5"/>
      <c r="H22" s="5"/>
      <c r="I22" s="5"/>
      <c r="J22" s="5"/>
      <c r="K22" s="404" t="s">
        <v>85</v>
      </c>
      <c r="L22" s="405"/>
      <c r="M22" s="398"/>
      <c r="N22" s="5"/>
      <c r="O22" s="5"/>
      <c r="P22" s="5"/>
      <c r="R22" s="5"/>
      <c r="S22" s="9" t="s">
        <v>95</v>
      </c>
      <c r="T22" s="117" t="s">
        <v>135</v>
      </c>
      <c r="U22" s="96">
        <f>1.5*E17</f>
        <v>312.93013787111806</v>
      </c>
      <c r="V22" s="5" t="s">
        <v>477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" ht="15.75" customHeight="1">
      <c r="A23" s="5"/>
      <c r="B23" s="5"/>
      <c r="C23" s="34" t="s">
        <v>71</v>
      </c>
      <c r="D23" s="35"/>
      <c r="E23" s="35"/>
      <c r="F23" s="5"/>
      <c r="G23" s="5"/>
      <c r="H23" s="5"/>
      <c r="I23" s="5"/>
      <c r="J23" s="5"/>
      <c r="K23" s="34" t="s">
        <v>67</v>
      </c>
      <c r="L23" s="35"/>
      <c r="M23" s="4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" ht="15.75" customHeight="1">
      <c r="A24" s="5"/>
      <c r="B24" s="5"/>
      <c r="C24" s="34" t="s">
        <v>72</v>
      </c>
      <c r="D24" s="35"/>
      <c r="E24" s="35"/>
      <c r="F24" s="5"/>
      <c r="G24" s="5"/>
      <c r="H24" s="5"/>
      <c r="I24" s="5"/>
      <c r="J24" s="5"/>
      <c r="K24" s="34" t="s">
        <v>68</v>
      </c>
      <c r="L24" s="35"/>
      <c r="M24" s="35"/>
      <c r="N24" s="5"/>
      <c r="O24" s="5"/>
      <c r="P24" s="5"/>
      <c r="Q24" s="5"/>
      <c r="R24" s="5"/>
      <c r="S24" s="11" t="s">
        <v>446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" ht="15.75" customHeight="1">
      <c r="A25" s="5"/>
      <c r="B25" s="5"/>
      <c r="C25" s="404" t="s">
        <v>85</v>
      </c>
      <c r="D25" s="405"/>
      <c r="E25" s="398"/>
      <c r="F25" s="5"/>
      <c r="G25" s="5"/>
      <c r="H25" s="5"/>
      <c r="I25" s="5"/>
      <c r="J25" s="5"/>
      <c r="K25" s="34" t="s">
        <v>69</v>
      </c>
      <c r="L25" s="35"/>
      <c r="M25" s="35"/>
      <c r="N25" s="5"/>
      <c r="O25" s="5"/>
      <c r="P25" s="5"/>
      <c r="Q25" s="5"/>
      <c r="R25" s="5"/>
      <c r="S25" s="463" t="s">
        <v>478</v>
      </c>
      <c r="T25" s="376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" ht="15.75" customHeight="1">
      <c r="A26" s="5"/>
      <c r="B26" s="5"/>
      <c r="C26" s="34" t="s">
        <v>67</v>
      </c>
      <c r="D26" s="35"/>
      <c r="E26" s="46"/>
      <c r="F26" s="5"/>
      <c r="G26" s="5"/>
      <c r="H26" s="5"/>
      <c r="I26" s="5"/>
      <c r="J26" s="5"/>
      <c r="K26" s="34" t="s">
        <v>70</v>
      </c>
      <c r="L26" s="35"/>
      <c r="M26" s="35"/>
      <c r="N26" s="5"/>
      <c r="O26" s="5"/>
      <c r="P26" s="5"/>
      <c r="R26" s="5"/>
      <c r="S26" s="9" t="s">
        <v>113</v>
      </c>
      <c r="T26" s="117" t="s">
        <v>135</v>
      </c>
      <c r="U26" s="9" t="s">
        <v>479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 ht="15.75" customHeight="1">
      <c r="A27" s="5"/>
      <c r="B27" s="5"/>
      <c r="C27" s="34" t="s">
        <v>68</v>
      </c>
      <c r="D27" s="35"/>
      <c r="E27" s="41">
        <f t="shared" ref="E27:E29" si="0">E20/$E$17</f>
        <v>0.32629228919800796</v>
      </c>
      <c r="F27" s="5"/>
      <c r="G27" s="5"/>
      <c r="H27" s="5"/>
      <c r="I27" s="5"/>
      <c r="J27" s="5"/>
      <c r="K27" s="34" t="s">
        <v>71</v>
      </c>
      <c r="L27" s="35"/>
      <c r="M27" s="35"/>
      <c r="N27" s="5"/>
      <c r="O27" s="5"/>
      <c r="P27" s="5"/>
      <c r="Q27" s="5"/>
      <c r="R27" s="5"/>
      <c r="S27" s="9" t="s">
        <v>113</v>
      </c>
      <c r="T27" s="117" t="s">
        <v>135</v>
      </c>
      <c r="U27" s="96">
        <f>98%*E20</f>
        <v>66.709704816076709</v>
      </c>
      <c r="V27" s="5" t="s">
        <v>148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1:36" ht="15.75" customHeight="1">
      <c r="A28" s="5"/>
      <c r="B28" s="5"/>
      <c r="C28" s="34" t="s">
        <v>69</v>
      </c>
      <c r="D28" s="35"/>
      <c r="E28" s="41">
        <f t="shared" si="0"/>
        <v>0.67319251245062672</v>
      </c>
      <c r="F28" s="5"/>
      <c r="G28" s="5"/>
      <c r="H28" s="5"/>
      <c r="I28" s="5"/>
      <c r="J28" s="5"/>
      <c r="K28" s="34" t="s">
        <v>72</v>
      </c>
      <c r="L28" s="35"/>
      <c r="M28" s="36">
        <f>M21/$M$14</f>
        <v>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ht="15.75" customHeight="1">
      <c r="A29" s="5"/>
      <c r="B29" s="5"/>
      <c r="C29" s="34" t="s">
        <v>70</v>
      </c>
      <c r="D29" s="35"/>
      <c r="E29" s="41">
        <f t="shared" si="0"/>
        <v>5.1519835136527577E-4</v>
      </c>
      <c r="F29" s="5"/>
      <c r="G29" s="5"/>
      <c r="H29" s="5"/>
      <c r="I29" s="5"/>
      <c r="J29" s="5"/>
      <c r="K29" s="406" t="s">
        <v>99</v>
      </c>
      <c r="L29" s="389"/>
      <c r="M29" s="50">
        <v>0</v>
      </c>
      <c r="N29" s="5"/>
      <c r="O29" s="5"/>
      <c r="P29" s="5"/>
      <c r="Q29" s="5"/>
      <c r="R29" s="5"/>
      <c r="S29" s="480" t="s">
        <v>480</v>
      </c>
      <c r="T29" s="40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" ht="15.75" customHeight="1">
      <c r="A30" s="5"/>
      <c r="B30" s="5"/>
      <c r="C30" s="34" t="s">
        <v>71</v>
      </c>
      <c r="D30" s="35"/>
      <c r="E30" s="35"/>
      <c r="F30" s="5"/>
      <c r="G30" s="5"/>
      <c r="H30" s="5"/>
      <c r="I30" s="5"/>
      <c r="J30" s="5"/>
      <c r="K30" s="397" t="s">
        <v>92</v>
      </c>
      <c r="L30" s="398"/>
      <c r="M30" s="40">
        <f>SUM(M23:M28)</f>
        <v>1</v>
      </c>
      <c r="N30" s="5"/>
      <c r="O30" s="5"/>
      <c r="P30" s="5"/>
      <c r="R30" s="5"/>
      <c r="S30" s="9" t="s">
        <v>463</v>
      </c>
      <c r="T30" s="117" t="s">
        <v>135</v>
      </c>
      <c r="U30" s="95" t="s">
        <v>113</v>
      </c>
      <c r="V30" s="117" t="s">
        <v>284</v>
      </c>
      <c r="W30" s="95" t="s">
        <v>108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ht="15.75" customHeight="1">
      <c r="A31" s="5"/>
      <c r="B31" s="5"/>
      <c r="C31" s="34" t="s">
        <v>72</v>
      </c>
      <c r="D31" s="35"/>
      <c r="E31" s="35"/>
      <c r="F31" s="5"/>
      <c r="G31" s="5"/>
      <c r="H31" s="5"/>
      <c r="I31" s="5"/>
      <c r="J31" s="5"/>
      <c r="K31" s="397" t="s">
        <v>75</v>
      </c>
      <c r="L31" s="398"/>
      <c r="M31" s="40">
        <v>6</v>
      </c>
      <c r="N31" s="5"/>
      <c r="O31" s="5"/>
      <c r="P31" s="5"/>
      <c r="Q31" s="5"/>
      <c r="R31" s="5"/>
      <c r="S31" s="95" t="s">
        <v>108</v>
      </c>
      <c r="T31" s="117" t="s">
        <v>135</v>
      </c>
      <c r="U31" s="9" t="s">
        <v>481</v>
      </c>
      <c r="V31" s="9"/>
      <c r="W31" s="9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ht="15.75" customHeight="1">
      <c r="A32" s="5"/>
      <c r="B32" s="5"/>
      <c r="C32" s="406" t="s">
        <v>99</v>
      </c>
      <c r="D32" s="389"/>
      <c r="E32" s="50">
        <v>0</v>
      </c>
      <c r="F32" s="5"/>
      <c r="G32" s="5"/>
      <c r="H32" s="5"/>
      <c r="I32" s="5"/>
      <c r="J32" s="5"/>
      <c r="K32" s="396" t="s">
        <v>76</v>
      </c>
      <c r="L32" s="389"/>
      <c r="M32" s="45">
        <v>1</v>
      </c>
      <c r="N32" s="5"/>
      <c r="O32" s="5"/>
      <c r="P32" s="5"/>
      <c r="Q32" s="5"/>
      <c r="R32" s="5"/>
      <c r="S32" s="95" t="s">
        <v>108</v>
      </c>
      <c r="T32" s="117" t="s">
        <v>135</v>
      </c>
      <c r="U32" s="96">
        <f>E20-U27</f>
        <v>1.3614225472668693</v>
      </c>
      <c r="V32" s="64" t="s">
        <v>148</v>
      </c>
      <c r="W32" s="9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 ht="15.75" customHeight="1">
      <c r="A33" s="5"/>
      <c r="B33" s="5"/>
      <c r="C33" s="397" t="s">
        <v>92</v>
      </c>
      <c r="D33" s="398"/>
      <c r="E33" s="40">
        <f>SUM(E26:E31)</f>
        <v>0.99999999999999989</v>
      </c>
      <c r="F33" s="5"/>
      <c r="G33" s="5"/>
      <c r="H33" s="5"/>
      <c r="J33" s="56" t="s">
        <v>86</v>
      </c>
      <c r="K33" s="400" t="s">
        <v>548</v>
      </c>
      <c r="L33" s="400"/>
      <c r="M33" s="216">
        <f>V68</f>
        <v>-22289383.776380934</v>
      </c>
      <c r="N33" s="5"/>
      <c r="O33" s="5"/>
      <c r="P33" s="5"/>
      <c r="Q33" s="5"/>
      <c r="R33" s="5"/>
      <c r="S33" s="5"/>
      <c r="T33" s="5"/>
      <c r="U33" s="5"/>
      <c r="V33" s="64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ht="15.75" customHeight="1">
      <c r="A34" s="5"/>
      <c r="B34" s="5"/>
      <c r="C34" s="397" t="s">
        <v>75</v>
      </c>
      <c r="D34" s="398"/>
      <c r="E34" s="40">
        <v>6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483" t="s">
        <v>482</v>
      </c>
      <c r="T34" s="405"/>
      <c r="U34" s="9"/>
      <c r="V34" s="64"/>
      <c r="W34" s="9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ht="15.75" customHeight="1">
      <c r="A35" s="5"/>
      <c r="B35" s="5"/>
      <c r="C35" s="396" t="s">
        <v>76</v>
      </c>
      <c r="D35" s="389"/>
      <c r="E35" s="45">
        <v>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R35" s="5"/>
      <c r="S35" s="9" t="s">
        <v>464</v>
      </c>
      <c r="T35" s="117" t="s">
        <v>135</v>
      </c>
      <c r="U35" s="95" t="s">
        <v>110</v>
      </c>
      <c r="V35" s="64"/>
      <c r="W35" s="113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ht="15.6">
      <c r="A36" s="5"/>
      <c r="B36" s="5"/>
      <c r="C36" s="400" t="s">
        <v>548</v>
      </c>
      <c r="D36" s="400"/>
      <c r="E36" s="216">
        <f>T68</f>
        <v>-11767907.896419466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95" t="s">
        <v>110</v>
      </c>
      <c r="T36" s="117" t="s">
        <v>135</v>
      </c>
      <c r="U36" s="96">
        <f>E21</f>
        <v>140.44148382331934</v>
      </c>
      <c r="V36" s="64" t="s">
        <v>240</v>
      </c>
      <c r="W36" s="9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 ht="15.6">
      <c r="A37" s="5"/>
      <c r="B37" s="5"/>
      <c r="C37" s="5"/>
      <c r="D37" s="5"/>
      <c r="E37" s="5"/>
      <c r="F37" s="5"/>
      <c r="H37" s="5"/>
      <c r="I37" s="5"/>
      <c r="J37" s="5"/>
      <c r="K37" s="5"/>
      <c r="L37" s="5"/>
      <c r="M37" s="5"/>
      <c r="N37" s="5"/>
      <c r="O37" s="5"/>
      <c r="Q37" s="5"/>
      <c r="R37" s="5"/>
      <c r="S37" s="95"/>
      <c r="T37" s="9"/>
      <c r="U37" s="9"/>
      <c r="V37" s="64"/>
      <c r="W37" s="9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 ht="15.6">
      <c r="A38" s="5"/>
      <c r="B38" s="38" t="s">
        <v>103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6" t="s">
        <v>104</v>
      </c>
      <c r="Q38" s="5"/>
      <c r="R38" s="5"/>
      <c r="S38" s="9"/>
      <c r="T38" s="9"/>
      <c r="U38" s="9"/>
      <c r="V38" s="64"/>
      <c r="W38" s="9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 ht="15.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483" t="s">
        <v>483</v>
      </c>
      <c r="T39" s="405"/>
      <c r="U39" s="9"/>
      <c r="V39" s="64"/>
      <c r="W39" s="9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spans="1:36" ht="15.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R40" s="5"/>
      <c r="S40" s="9" t="s">
        <v>465</v>
      </c>
      <c r="T40" s="117" t="s">
        <v>135</v>
      </c>
      <c r="U40" s="95" t="s">
        <v>111</v>
      </c>
      <c r="V40" s="64"/>
      <c r="W40" s="9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36" ht="15.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M41" s="407" t="s">
        <v>79</v>
      </c>
      <c r="N41" s="389"/>
      <c r="O41" s="20">
        <f>O45*Q14+O46*Q15+O47*Q16+O49*Q18</f>
        <v>28073.435655272449</v>
      </c>
      <c r="P41" s="5"/>
      <c r="Q41" s="5"/>
      <c r="R41" s="5"/>
      <c r="S41" s="95" t="s">
        <v>111</v>
      </c>
      <c r="T41" s="117" t="s">
        <v>135</v>
      </c>
      <c r="U41" s="96">
        <f>E22</f>
        <v>0.10748072741580565</v>
      </c>
      <c r="V41" s="64" t="s">
        <v>240</v>
      </c>
      <c r="W41" s="9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1:36" ht="15.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M42" s="407" t="s">
        <v>80</v>
      </c>
      <c r="N42" s="389"/>
      <c r="O42" s="33">
        <f>SUM(O44:O49)</f>
        <v>454.84052496912011</v>
      </c>
      <c r="S42" s="95"/>
      <c r="T42" s="9"/>
      <c r="U42" s="9"/>
      <c r="V42" s="64"/>
      <c r="W42" s="9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spans="1:36" ht="15.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M43" s="401" t="s">
        <v>66</v>
      </c>
      <c r="N43" s="391"/>
      <c r="O43" s="389"/>
      <c r="S43" s="483" t="s">
        <v>484</v>
      </c>
      <c r="T43" s="405"/>
      <c r="U43" s="9"/>
      <c r="V43" s="64"/>
      <c r="W43" s="9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36" ht="15.6">
      <c r="A44" s="5"/>
      <c r="B44" s="5"/>
      <c r="C44" s="5"/>
      <c r="D44" s="5"/>
      <c r="E44" s="5"/>
      <c r="F44" s="5"/>
      <c r="G44" s="5"/>
      <c r="H44" s="56" t="s">
        <v>106</v>
      </c>
      <c r="I44" s="5"/>
      <c r="J44" s="5"/>
      <c r="K44" s="5"/>
      <c r="M44" s="34" t="s">
        <v>67</v>
      </c>
      <c r="N44" s="35"/>
      <c r="O44" s="35"/>
      <c r="S44" s="95" t="s">
        <v>95</v>
      </c>
      <c r="T44" s="117" t="s">
        <v>135</v>
      </c>
      <c r="U44" s="95" t="s">
        <v>112</v>
      </c>
      <c r="V44" s="64"/>
      <c r="W44" s="9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36" ht="15.6">
      <c r="A45" s="5"/>
      <c r="B45" s="5"/>
      <c r="C45" s="5"/>
      <c r="D45" s="5"/>
      <c r="E45" s="5"/>
      <c r="F45" s="407" t="s">
        <v>79</v>
      </c>
      <c r="G45" s="389"/>
      <c r="H45" s="33">
        <f>H49*Q14</f>
        <v>2938.7626262626272</v>
      </c>
      <c r="I45" s="5"/>
      <c r="J45" s="5"/>
      <c r="K45" s="5"/>
      <c r="M45" s="34" t="s">
        <v>68</v>
      </c>
      <c r="N45" s="40" t="s">
        <v>108</v>
      </c>
      <c r="O45" s="41">
        <f>U32</f>
        <v>1.3614225472668693</v>
      </c>
      <c r="S45" s="95" t="s">
        <v>112</v>
      </c>
      <c r="T45" s="117" t="s">
        <v>135</v>
      </c>
      <c r="U45" s="96">
        <f>U22</f>
        <v>312.93013787111806</v>
      </c>
      <c r="V45" s="64" t="s">
        <v>477</v>
      </c>
      <c r="W45" s="9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36" ht="15.6">
      <c r="A46" s="5"/>
      <c r="B46" s="5"/>
      <c r="C46" s="5"/>
      <c r="D46" s="5"/>
      <c r="E46" s="5"/>
      <c r="F46" s="407" t="s">
        <v>80</v>
      </c>
      <c r="G46" s="389"/>
      <c r="H46" s="33">
        <f>SUM(H48:H53)</f>
        <v>66.709704816076709</v>
      </c>
      <c r="I46" s="5"/>
      <c r="J46" s="5"/>
      <c r="K46" s="5"/>
      <c r="M46" s="34" t="s">
        <v>69</v>
      </c>
      <c r="N46" s="40" t="s">
        <v>110</v>
      </c>
      <c r="O46" s="41">
        <f>U36</f>
        <v>140.44148382331934</v>
      </c>
      <c r="S46" s="95"/>
      <c r="T46" s="9"/>
      <c r="U46" s="9"/>
      <c r="V46" s="9"/>
      <c r="W46" s="9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36" ht="15.6">
      <c r="A47" s="5"/>
      <c r="B47" s="5"/>
      <c r="C47" s="5"/>
      <c r="D47" s="5"/>
      <c r="E47" s="5"/>
      <c r="F47" s="401" t="s">
        <v>66</v>
      </c>
      <c r="G47" s="391"/>
      <c r="H47" s="389"/>
      <c r="I47" s="5"/>
      <c r="J47" s="5"/>
      <c r="K47" s="5"/>
      <c r="M47" s="34" t="s">
        <v>70</v>
      </c>
      <c r="N47" s="40" t="s">
        <v>111</v>
      </c>
      <c r="O47" s="41">
        <f>U41</f>
        <v>0.10748072741580565</v>
      </c>
      <c r="S47" s="11" t="s">
        <v>256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36" ht="15.6">
      <c r="A48" s="5"/>
      <c r="B48" s="5"/>
      <c r="C48" s="5"/>
      <c r="D48" s="5"/>
      <c r="E48" s="5"/>
      <c r="F48" s="34" t="s">
        <v>67</v>
      </c>
      <c r="G48" s="35"/>
      <c r="H48" s="35"/>
      <c r="I48" s="5"/>
      <c r="J48" s="5"/>
      <c r="K48" s="5"/>
      <c r="M48" s="34" t="s">
        <v>71</v>
      </c>
      <c r="N48" s="35"/>
      <c r="O48" s="35"/>
      <c r="S48" s="107" t="s">
        <v>257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1:36" ht="15.6">
      <c r="A49" s="5"/>
      <c r="B49" s="5"/>
      <c r="C49" s="5"/>
      <c r="D49" s="5"/>
      <c r="E49" s="5"/>
      <c r="F49" s="34" t="s">
        <v>68</v>
      </c>
      <c r="G49" s="40" t="s">
        <v>113</v>
      </c>
      <c r="H49" s="41">
        <f>U27</f>
        <v>66.709704816076709</v>
      </c>
      <c r="I49" s="5"/>
      <c r="J49" s="5"/>
      <c r="K49" s="5"/>
      <c r="M49" s="34" t="s">
        <v>72</v>
      </c>
      <c r="N49" s="40" t="s">
        <v>112</v>
      </c>
      <c r="O49" s="36">
        <f>U45</f>
        <v>312.93013787111806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1:36" ht="15.6">
      <c r="A50" s="5"/>
      <c r="B50" s="5"/>
      <c r="C50" s="5"/>
      <c r="D50" s="5"/>
      <c r="E50" s="5"/>
      <c r="F50" s="34" t="s">
        <v>69</v>
      </c>
      <c r="G50" s="35"/>
      <c r="H50" s="35"/>
      <c r="I50" s="5"/>
      <c r="J50" s="5"/>
      <c r="K50" s="5"/>
      <c r="M50" s="404" t="s">
        <v>85</v>
      </c>
      <c r="N50" s="405"/>
      <c r="O50" s="398"/>
      <c r="S50" s="108" t="s">
        <v>258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1:36" ht="15.6">
      <c r="A51" s="5"/>
      <c r="B51" s="5"/>
      <c r="C51" s="5"/>
      <c r="D51" s="5"/>
      <c r="E51" s="5"/>
      <c r="F51" s="34" t="s">
        <v>70</v>
      </c>
      <c r="G51" s="35"/>
      <c r="H51" s="35"/>
      <c r="I51" s="5"/>
      <c r="J51" s="5"/>
      <c r="K51" s="5"/>
      <c r="M51" s="34" t="s">
        <v>67</v>
      </c>
      <c r="N51" s="35"/>
      <c r="O51" s="46"/>
      <c r="S51" s="109">
        <v>1</v>
      </c>
      <c r="T51" s="5" t="s">
        <v>259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ht="15.6">
      <c r="A52" s="5"/>
      <c r="B52" s="5"/>
      <c r="C52" s="5"/>
      <c r="D52" s="5"/>
      <c r="E52" s="5"/>
      <c r="F52" s="34" t="s">
        <v>71</v>
      </c>
      <c r="G52" s="35"/>
      <c r="H52" s="35"/>
      <c r="I52" s="5"/>
      <c r="J52" s="5"/>
      <c r="K52" s="5"/>
      <c r="M52" s="34" t="s">
        <v>68</v>
      </c>
      <c r="N52" s="35"/>
      <c r="O52" s="41">
        <f t="shared" ref="O52:O54" si="1">O45/$O$42</f>
        <v>2.9931865621676927E-3</v>
      </c>
      <c r="S52" s="109">
        <v>2</v>
      </c>
      <c r="T52" s="5" t="s">
        <v>260</v>
      </c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ht="15.6">
      <c r="A53" s="5"/>
      <c r="B53" s="5"/>
      <c r="C53" s="5"/>
      <c r="D53" s="5"/>
      <c r="E53" s="5"/>
      <c r="F53" s="34" t="s">
        <v>72</v>
      </c>
      <c r="G53" s="35"/>
      <c r="H53" s="35"/>
      <c r="I53" s="5"/>
      <c r="J53" s="5"/>
      <c r="K53" s="5"/>
      <c r="M53" s="34" t="s">
        <v>69</v>
      </c>
      <c r="N53" s="35"/>
      <c r="O53" s="41">
        <f t="shared" si="1"/>
        <v>0.3087708243078256</v>
      </c>
      <c r="S53" s="109">
        <v>3</v>
      </c>
      <c r="T53" s="5" t="s">
        <v>261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ht="15.6">
      <c r="A54" s="5"/>
      <c r="B54" s="5"/>
      <c r="C54" s="5"/>
      <c r="D54" s="5"/>
      <c r="E54" s="5"/>
      <c r="F54" s="404" t="s">
        <v>85</v>
      </c>
      <c r="G54" s="405"/>
      <c r="H54" s="398"/>
      <c r="I54" s="5"/>
      <c r="J54" s="5"/>
      <c r="K54" s="5"/>
      <c r="M54" s="34" t="s">
        <v>70</v>
      </c>
      <c r="N54" s="35"/>
      <c r="O54" s="41">
        <f t="shared" si="1"/>
        <v>2.3630420227639722E-4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36" ht="15.6">
      <c r="A55" s="5"/>
      <c r="B55" s="5"/>
      <c r="C55" s="5"/>
      <c r="D55" s="5"/>
      <c r="E55" s="5"/>
      <c r="F55" s="34" t="s">
        <v>67</v>
      </c>
      <c r="G55" s="35"/>
      <c r="H55" s="46"/>
      <c r="I55" s="5"/>
      <c r="J55" s="5"/>
      <c r="K55" s="5"/>
      <c r="M55" s="34" t="s">
        <v>71</v>
      </c>
      <c r="N55" s="35"/>
      <c r="O55" s="132"/>
      <c r="S55" s="5" t="s">
        <v>262</v>
      </c>
      <c r="T55" s="463" t="s">
        <v>537</v>
      </c>
      <c r="U55" s="445"/>
      <c r="V55" s="64">
        <v>25</v>
      </c>
      <c r="W55" s="5" t="s">
        <v>326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36" ht="15.6">
      <c r="A56" s="5"/>
      <c r="B56" s="5"/>
      <c r="C56" s="5"/>
      <c r="D56" s="5"/>
      <c r="E56" s="5"/>
      <c r="F56" s="34" t="s">
        <v>68</v>
      </c>
      <c r="G56" s="35"/>
      <c r="H56" s="41">
        <f>H49/$H$46</f>
        <v>1</v>
      </c>
      <c r="I56" s="5"/>
      <c r="J56" s="5"/>
      <c r="K56" s="5"/>
      <c r="M56" s="34" t="s">
        <v>72</v>
      </c>
      <c r="N56" s="35"/>
      <c r="O56" s="41">
        <f>O49/$O$42</f>
        <v>0.68799968492773023</v>
      </c>
      <c r="S56" s="458" t="s">
        <v>152</v>
      </c>
      <c r="T56" s="456" t="s">
        <v>468</v>
      </c>
      <c r="U56" s="464"/>
      <c r="V56" s="456" t="s">
        <v>485</v>
      </c>
      <c r="W56" s="464"/>
      <c r="X56" s="456" t="s">
        <v>486</v>
      </c>
      <c r="Y56" s="464"/>
      <c r="Z56" s="456" t="s">
        <v>487</v>
      </c>
      <c r="AA56" s="489"/>
      <c r="AB56" s="116"/>
      <c r="AC56" s="9"/>
      <c r="AD56" s="9"/>
      <c r="AE56" s="9"/>
      <c r="AF56" s="9"/>
      <c r="AG56" s="9"/>
      <c r="AH56" s="9"/>
      <c r="AI56" s="9"/>
      <c r="AJ56" s="9"/>
    </row>
    <row r="57" spans="1:36" ht="15.6">
      <c r="A57" s="5"/>
      <c r="B57" s="5"/>
      <c r="C57" s="5"/>
      <c r="D57" s="5"/>
      <c r="E57" s="5"/>
      <c r="F57" s="34" t="s">
        <v>69</v>
      </c>
      <c r="G57" s="35"/>
      <c r="H57" s="35"/>
      <c r="I57" s="5"/>
      <c r="J57" s="5"/>
      <c r="K57" s="5"/>
      <c r="M57" s="406" t="s">
        <v>99</v>
      </c>
      <c r="N57" s="389"/>
      <c r="O57" s="50">
        <v>0</v>
      </c>
      <c r="S57" s="459"/>
      <c r="T57" s="221" t="s">
        <v>267</v>
      </c>
      <c r="U57" s="221" t="s">
        <v>400</v>
      </c>
      <c r="V57" s="221" t="s">
        <v>488</v>
      </c>
      <c r="W57" s="221" t="s">
        <v>400</v>
      </c>
      <c r="X57" s="221" t="s">
        <v>328</v>
      </c>
      <c r="Y57" s="221" t="s">
        <v>329</v>
      </c>
      <c r="Z57" s="221" t="s">
        <v>328</v>
      </c>
      <c r="AA57" s="220" t="s">
        <v>329</v>
      </c>
      <c r="AB57" s="112"/>
    </row>
    <row r="58" spans="1:36" ht="15.6">
      <c r="A58" s="5"/>
      <c r="B58" s="5"/>
      <c r="C58" s="5"/>
      <c r="D58" s="5"/>
      <c r="E58" s="5"/>
      <c r="F58" s="34" t="s">
        <v>70</v>
      </c>
      <c r="G58" s="35"/>
      <c r="H58" s="35"/>
      <c r="I58" s="5"/>
      <c r="J58" s="5"/>
      <c r="K58" s="5"/>
      <c r="M58" s="397" t="s">
        <v>92</v>
      </c>
      <c r="N58" s="398"/>
      <c r="O58" s="40">
        <f>SUM(O51:O56)</f>
        <v>0.99999999999999989</v>
      </c>
      <c r="S58" s="20" t="s">
        <v>271</v>
      </c>
      <c r="T58" s="20" t="s">
        <v>193</v>
      </c>
      <c r="U58" s="20" t="s">
        <v>193</v>
      </c>
      <c r="V58" s="20" t="s">
        <v>193</v>
      </c>
      <c r="W58" s="20" t="s">
        <v>193</v>
      </c>
      <c r="X58" s="20" t="s">
        <v>193</v>
      </c>
      <c r="Y58" s="20" t="s">
        <v>193</v>
      </c>
      <c r="Z58" s="20" t="s">
        <v>193</v>
      </c>
      <c r="AA58" s="49" t="s">
        <v>193</v>
      </c>
      <c r="AB58" s="112"/>
    </row>
    <row r="59" spans="1:36" ht="15.6">
      <c r="A59" s="5"/>
      <c r="B59" s="5"/>
      <c r="C59" s="5"/>
      <c r="D59" s="5"/>
      <c r="E59" s="5"/>
      <c r="F59" s="34"/>
      <c r="G59" s="35"/>
      <c r="H59" s="35"/>
      <c r="I59" s="5"/>
      <c r="J59" s="5"/>
      <c r="K59" s="5"/>
      <c r="M59" s="396" t="s">
        <v>75</v>
      </c>
      <c r="N59" s="399"/>
      <c r="O59" s="40">
        <v>6</v>
      </c>
      <c r="S59" s="20" t="s">
        <v>331</v>
      </c>
      <c r="T59" s="20" t="s">
        <v>193</v>
      </c>
      <c r="U59" s="20" t="s">
        <v>193</v>
      </c>
      <c r="V59" s="20" t="s">
        <v>193</v>
      </c>
      <c r="W59" s="20" t="s">
        <v>193</v>
      </c>
      <c r="X59" s="20" t="s">
        <v>193</v>
      </c>
      <c r="Y59" s="20" t="s">
        <v>193</v>
      </c>
      <c r="Z59" s="20" t="s">
        <v>193</v>
      </c>
      <c r="AA59" s="49" t="s">
        <v>193</v>
      </c>
      <c r="AB59" s="112"/>
    </row>
    <row r="60" spans="1:36" ht="15.6">
      <c r="A60" s="5"/>
      <c r="B60" s="5"/>
      <c r="C60" s="5"/>
      <c r="D60" s="5"/>
      <c r="E60" s="5"/>
      <c r="F60" s="34"/>
      <c r="G60" s="35"/>
      <c r="H60" s="35"/>
      <c r="I60" s="5"/>
      <c r="J60" s="5"/>
      <c r="K60" s="5"/>
      <c r="M60" s="460" t="s">
        <v>76</v>
      </c>
      <c r="N60" s="461"/>
      <c r="O60" s="210">
        <v>1</v>
      </c>
      <c r="S60" s="20" t="s">
        <v>273</v>
      </c>
      <c r="T60" s="20" t="s">
        <v>193</v>
      </c>
      <c r="U60" s="20" t="s">
        <v>193</v>
      </c>
      <c r="V60" s="20" t="s">
        <v>193</v>
      </c>
      <c r="W60" s="20" t="s">
        <v>193</v>
      </c>
      <c r="X60" s="20" t="s">
        <v>193</v>
      </c>
      <c r="Y60" s="20" t="s">
        <v>193</v>
      </c>
      <c r="Z60" s="20" t="s">
        <v>193</v>
      </c>
      <c r="AA60" s="49" t="s">
        <v>193</v>
      </c>
      <c r="AB60" s="112"/>
    </row>
    <row r="61" spans="1:36" ht="15.6">
      <c r="A61" s="5"/>
      <c r="B61" s="5"/>
      <c r="C61" s="5"/>
      <c r="D61" s="5"/>
      <c r="E61" s="5"/>
      <c r="F61" s="34"/>
      <c r="G61" s="35"/>
      <c r="H61" s="35"/>
      <c r="I61" s="5"/>
      <c r="J61" s="5"/>
      <c r="K61" s="5"/>
      <c r="M61" s="490" t="s">
        <v>548</v>
      </c>
      <c r="N61" s="491"/>
      <c r="O61" s="216">
        <f>Z68</f>
        <v>-32268994.750618525</v>
      </c>
      <c r="S61" s="20" t="s">
        <v>333</v>
      </c>
      <c r="T61" s="20" t="s">
        <v>193</v>
      </c>
      <c r="U61" s="20" t="s">
        <v>193</v>
      </c>
      <c r="V61" s="20" t="s">
        <v>193</v>
      </c>
      <c r="W61" s="20" t="s">
        <v>193</v>
      </c>
      <c r="X61" s="20" t="s">
        <v>193</v>
      </c>
      <c r="Y61" s="20" t="s">
        <v>193</v>
      </c>
      <c r="Z61" s="20" t="s">
        <v>193</v>
      </c>
      <c r="AA61" s="49" t="s">
        <v>193</v>
      </c>
      <c r="AB61" s="112"/>
    </row>
    <row r="62" spans="1:36" ht="15.6">
      <c r="A62" s="5"/>
      <c r="B62" s="5"/>
      <c r="C62" s="5"/>
      <c r="D62" s="5"/>
      <c r="E62" s="5"/>
      <c r="F62" s="34"/>
      <c r="G62" s="35"/>
      <c r="H62" s="35"/>
      <c r="I62" s="5"/>
      <c r="J62" s="5"/>
      <c r="K62" s="5"/>
      <c r="M62" s="95"/>
      <c r="N62" s="209"/>
      <c r="O62" s="95"/>
      <c r="S62" s="20" t="s">
        <v>275</v>
      </c>
      <c r="T62" s="20" t="s">
        <v>193</v>
      </c>
      <c r="U62" s="20" t="s">
        <v>193</v>
      </c>
      <c r="V62" s="20" t="s">
        <v>193</v>
      </c>
      <c r="W62" s="20" t="s">
        <v>193</v>
      </c>
      <c r="X62" s="20" t="s">
        <v>193</v>
      </c>
      <c r="Y62" s="20" t="s">
        <v>193</v>
      </c>
      <c r="Z62" s="20" t="s">
        <v>193</v>
      </c>
      <c r="AA62" s="49" t="s">
        <v>193</v>
      </c>
      <c r="AB62" s="112"/>
    </row>
    <row r="63" spans="1:36" ht="15.6">
      <c r="A63" s="5"/>
      <c r="B63" s="5"/>
      <c r="C63" s="5"/>
      <c r="D63" s="5"/>
      <c r="E63" s="5"/>
      <c r="F63" s="34" t="s">
        <v>71</v>
      </c>
      <c r="G63" s="35"/>
      <c r="H63" s="35"/>
      <c r="I63" s="5"/>
      <c r="J63" s="5"/>
      <c r="K63" s="5"/>
      <c r="S63" s="20" t="s">
        <v>416</v>
      </c>
      <c r="T63" s="33">
        <f t="shared" ref="T63:T65" si="2">E20</f>
        <v>68.071127363343578</v>
      </c>
      <c r="U63" s="110">
        <f>U90</f>
        <v>-26807.147882190926</v>
      </c>
      <c r="V63" s="20" t="s">
        <v>193</v>
      </c>
      <c r="W63" s="20" t="s">
        <v>193</v>
      </c>
      <c r="X63" s="33">
        <f>H49</f>
        <v>66.709704816076709</v>
      </c>
      <c r="Y63" s="110">
        <f>U174</f>
        <v>-26807.147882190926</v>
      </c>
      <c r="Z63" s="33">
        <f t="shared" ref="Z63:Z65" si="3">O45</f>
        <v>1.3614225472668693</v>
      </c>
      <c r="AA63" s="138">
        <f>U195</f>
        <v>-26807.147882190926</v>
      </c>
      <c r="AB63" s="112"/>
    </row>
    <row r="64" spans="1:36" ht="15.6">
      <c r="A64" s="5"/>
      <c r="B64" s="5"/>
      <c r="C64" s="5"/>
      <c r="D64" s="5"/>
      <c r="E64" s="5"/>
      <c r="F64" s="34" t="s">
        <v>72</v>
      </c>
      <c r="G64" s="35"/>
      <c r="H64" s="35"/>
      <c r="I64" s="5"/>
      <c r="J64" s="5"/>
      <c r="K64" s="5"/>
      <c r="S64" s="20" t="s">
        <v>417</v>
      </c>
      <c r="T64" s="33">
        <f t="shared" si="2"/>
        <v>140.44148382331934</v>
      </c>
      <c r="U64" s="110">
        <f>U111</f>
        <v>-70731.297503821334</v>
      </c>
      <c r="V64" s="20" t="s">
        <v>193</v>
      </c>
      <c r="W64" s="20" t="s">
        <v>193</v>
      </c>
      <c r="X64" s="20" t="s">
        <v>193</v>
      </c>
      <c r="Y64" s="20" t="s">
        <v>193</v>
      </c>
      <c r="Z64" s="33">
        <f t="shared" si="3"/>
        <v>140.44148382331934</v>
      </c>
      <c r="AA64" s="138">
        <f>U216</f>
        <v>-70731.297503821334</v>
      </c>
      <c r="AB64" s="112"/>
    </row>
    <row r="65" spans="1:36" ht="15.6">
      <c r="A65" s="5"/>
      <c r="B65" s="5"/>
      <c r="C65" s="5"/>
      <c r="D65" s="5"/>
      <c r="E65" s="5"/>
      <c r="F65" s="406" t="s">
        <v>99</v>
      </c>
      <c r="G65" s="389"/>
      <c r="H65" s="50">
        <v>0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20" t="s">
        <v>418</v>
      </c>
      <c r="T65" s="33">
        <f t="shared" si="2"/>
        <v>0.10748072741580565</v>
      </c>
      <c r="U65" s="110">
        <f>U132</f>
        <v>-88450.68996202352</v>
      </c>
      <c r="V65" s="20" t="s">
        <v>193</v>
      </c>
      <c r="W65" s="20" t="s">
        <v>193</v>
      </c>
      <c r="X65" s="20" t="s">
        <v>193</v>
      </c>
      <c r="Y65" s="20" t="s">
        <v>193</v>
      </c>
      <c r="Z65" s="33">
        <f t="shared" si="3"/>
        <v>0.10748072741580565</v>
      </c>
      <c r="AA65" s="138">
        <f>U237</f>
        <v>-88450.68996202352</v>
      </c>
      <c r="AB65" s="112"/>
    </row>
    <row r="66" spans="1:36" ht="15.6">
      <c r="A66" s="5"/>
      <c r="B66" s="5"/>
      <c r="C66" s="5"/>
      <c r="D66" s="5"/>
      <c r="E66" s="5"/>
      <c r="F66" s="397" t="s">
        <v>92</v>
      </c>
      <c r="G66" s="398"/>
      <c r="H66" s="40">
        <f>SUM(H55:H64)</f>
        <v>1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20" t="s">
        <v>337</v>
      </c>
      <c r="T66" s="20" t="s">
        <v>193</v>
      </c>
      <c r="U66" s="20" t="s">
        <v>193</v>
      </c>
      <c r="V66" s="20" t="s">
        <v>193</v>
      </c>
      <c r="W66" s="20" t="s">
        <v>193</v>
      </c>
      <c r="X66" s="20" t="s">
        <v>193</v>
      </c>
      <c r="Y66" s="20" t="s">
        <v>193</v>
      </c>
      <c r="Z66" s="20" t="s">
        <v>193</v>
      </c>
      <c r="AA66" s="49" t="s">
        <v>193</v>
      </c>
      <c r="AB66" s="112"/>
    </row>
    <row r="67" spans="1:36" ht="15.6">
      <c r="A67" s="5"/>
      <c r="B67" s="5"/>
      <c r="C67" s="5"/>
      <c r="D67" s="5"/>
      <c r="E67" s="5"/>
      <c r="F67" s="397" t="s">
        <v>75</v>
      </c>
      <c r="G67" s="398"/>
      <c r="H67" s="40">
        <v>6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20" t="s">
        <v>455</v>
      </c>
      <c r="T67" s="20" t="s">
        <v>193</v>
      </c>
      <c r="U67" s="20" t="s">
        <v>193</v>
      </c>
      <c r="V67" s="33">
        <f>M21</f>
        <v>312.93013787111806</v>
      </c>
      <c r="W67" s="110">
        <f>U153</f>
        <v>-71227.986949473474</v>
      </c>
      <c r="X67" s="20" t="s">
        <v>193</v>
      </c>
      <c r="Y67" s="20" t="s">
        <v>193</v>
      </c>
      <c r="Z67" s="33">
        <f>O49</f>
        <v>312.93013787111806</v>
      </c>
      <c r="AA67" s="138">
        <f>U258</f>
        <v>-71227.986949473474</v>
      </c>
      <c r="AB67" s="112"/>
    </row>
    <row r="68" spans="1:36" ht="15.6">
      <c r="A68" s="5"/>
      <c r="B68" s="5"/>
      <c r="C68" s="5"/>
      <c r="D68" s="5"/>
      <c r="E68" s="5"/>
      <c r="F68" s="396" t="s">
        <v>76</v>
      </c>
      <c r="G68" s="389"/>
      <c r="H68" s="45">
        <v>1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222" t="s">
        <v>469</v>
      </c>
      <c r="T68" s="441">
        <f>T63*U63+T64*U64+T65*U65</f>
        <v>-11767907.896419466</v>
      </c>
      <c r="U68" s="442"/>
      <c r="V68" s="441">
        <f>V67*W67</f>
        <v>-22289383.776380934</v>
      </c>
      <c r="W68" s="442"/>
      <c r="X68" s="441">
        <f>X63*Y63</f>
        <v>-1788296.9221818727</v>
      </c>
      <c r="Y68" s="442"/>
      <c r="Z68" s="441">
        <f>Z63*AA63+Z64*AA64+Z65*AA65+Z67*AA67</f>
        <v>-32268994.750618525</v>
      </c>
      <c r="AA68" s="485"/>
      <c r="AB68" s="116"/>
      <c r="AC68" s="9"/>
      <c r="AD68" s="9"/>
      <c r="AE68" s="9"/>
      <c r="AF68" s="9"/>
      <c r="AG68" s="9"/>
      <c r="AH68" s="9"/>
      <c r="AI68" s="9"/>
      <c r="AJ68" s="9"/>
    </row>
    <row r="69" spans="1:36" ht="15.6">
      <c r="A69" s="5"/>
      <c r="B69" s="5"/>
      <c r="C69" s="5"/>
      <c r="D69" s="5"/>
      <c r="E69" s="5"/>
      <c r="F69" s="400" t="s">
        <v>548</v>
      </c>
      <c r="G69" s="400"/>
      <c r="H69" s="216">
        <f>X68</f>
        <v>-1788296.9221818727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2"/>
      <c r="AB69" s="5"/>
      <c r="AC69" s="5"/>
      <c r="AD69" s="5"/>
      <c r="AE69" s="5"/>
      <c r="AF69" s="5"/>
      <c r="AG69" s="5"/>
      <c r="AH69" s="5"/>
      <c r="AI69" s="5"/>
      <c r="AJ69" s="5"/>
    </row>
    <row r="70" spans="1:36" ht="15.6">
      <c r="A70" s="5"/>
      <c r="B70" s="5"/>
      <c r="C70" s="5"/>
      <c r="D70" s="5"/>
      <c r="E70" s="5"/>
      <c r="F70" s="5"/>
      <c r="G70" s="5"/>
      <c r="H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1:36" ht="15.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1"/>
      <c r="T71" s="2"/>
      <c r="U71" s="91" t="s">
        <v>278</v>
      </c>
      <c r="V71" s="2"/>
      <c r="W71" s="2"/>
      <c r="X71" s="2"/>
      <c r="Y71" s="3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1:36" ht="15.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116" t="s">
        <v>281</v>
      </c>
      <c r="T72" s="5"/>
      <c r="U72" s="5"/>
      <c r="V72" s="5"/>
      <c r="W72" s="109" t="s">
        <v>470</v>
      </c>
      <c r="X72" s="5"/>
      <c r="Y72" s="6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:36" ht="15.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156" t="s">
        <v>419</v>
      </c>
      <c r="T73" s="5"/>
      <c r="U73" s="5"/>
      <c r="V73" s="5"/>
      <c r="W73" s="64" t="s">
        <v>420</v>
      </c>
      <c r="X73" s="5"/>
      <c r="Y73" s="6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1:36" ht="15.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172"/>
      <c r="T74" s="5"/>
      <c r="U74" s="5"/>
      <c r="V74" s="5"/>
      <c r="W74" s="148"/>
      <c r="X74" s="5"/>
      <c r="Y74" s="6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spans="1:36" ht="15.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4"/>
      <c r="T75" s="9" t="s">
        <v>341</v>
      </c>
      <c r="U75" s="9" t="s">
        <v>421</v>
      </c>
      <c r="V75" s="9" t="s">
        <v>510</v>
      </c>
      <c r="W75" s="5"/>
      <c r="X75" s="5"/>
      <c r="Y75" s="6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spans="1:36" ht="15.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4"/>
      <c r="T76" s="5"/>
      <c r="U76" s="148"/>
      <c r="V76" s="5"/>
      <c r="W76" s="5"/>
      <c r="X76" s="5"/>
      <c r="Y76" s="6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spans="1:36" ht="15.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4" t="s">
        <v>576</v>
      </c>
      <c r="T77" s="9"/>
      <c r="U77" s="5"/>
      <c r="V77" s="148"/>
      <c r="W77" s="5"/>
      <c r="X77" s="5"/>
      <c r="Y77" s="6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spans="1:36" ht="46.8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88" t="s">
        <v>419</v>
      </c>
      <c r="T78" s="94" t="s">
        <v>135</v>
      </c>
      <c r="U78" s="377"/>
      <c r="V78" s="377"/>
      <c r="W78" s="377"/>
      <c r="X78" s="377"/>
      <c r="Y78" s="46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spans="1:36" ht="15.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88" t="s">
        <v>419</v>
      </c>
      <c r="T79" s="94" t="s">
        <v>135</v>
      </c>
      <c r="U79" s="96">
        <f>(Database!$C$32*((Database!$H$11)-($V$55+273.15)))+(((Database!$D$32)*((Database!$H$11)^2-($V$55+273.15)^2))/2)+((Database!$E$32*((Database!$H$11)^3-($V$55+273.15)^3))/3)+((Database!$F$32*((Database!$H$11)^4-($V$55+273.15)^4))/4)+((Database!$G$32)*((Database!$H$11)^(5)-($V$55+273.15)^5))/5</f>
        <v>-695.48620406653799</v>
      </c>
      <c r="V79" s="148"/>
      <c r="W79" s="5"/>
      <c r="X79" s="5"/>
      <c r="Y79" s="6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spans="1:36" ht="15.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181"/>
      <c r="T80" s="168"/>
      <c r="U80" s="148"/>
      <c r="V80" s="5"/>
      <c r="W80" s="5"/>
      <c r="X80" s="5"/>
      <c r="Y80" s="6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spans="1:36" ht="15.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181" t="s">
        <v>344</v>
      </c>
      <c r="T81" s="21"/>
      <c r="U81" s="5"/>
      <c r="V81" s="5"/>
      <c r="W81" s="5"/>
      <c r="X81" s="5"/>
      <c r="Y81" s="6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spans="1:36" ht="15.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88" t="s">
        <v>421</v>
      </c>
      <c r="T82" s="94" t="s">
        <v>135</v>
      </c>
      <c r="U82" s="94" t="s">
        <v>559</v>
      </c>
      <c r="V82" s="5"/>
      <c r="W82" s="5"/>
      <c r="X82" s="5"/>
      <c r="Y82" s="6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spans="1:36" ht="15.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88" t="s">
        <v>421</v>
      </c>
      <c r="T83" s="94" t="s">
        <v>135</v>
      </c>
      <c r="U83" s="9">
        <f>Database!$I$21*1000*-1</f>
        <v>-25700</v>
      </c>
      <c r="V83" s="5" t="s">
        <v>279</v>
      </c>
      <c r="W83" s="5"/>
      <c r="X83" s="5"/>
      <c r="Y83" s="6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spans="1:36" ht="15.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181"/>
      <c r="T84" s="21"/>
      <c r="U84" s="5"/>
      <c r="V84" s="5"/>
      <c r="W84" s="5"/>
      <c r="X84" s="5"/>
      <c r="Y84" s="6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spans="1:36" ht="15.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181" t="s">
        <v>589</v>
      </c>
      <c r="T85" s="153"/>
      <c r="U85" s="5"/>
      <c r="V85" s="5"/>
      <c r="W85" s="5"/>
      <c r="X85" s="5"/>
      <c r="Y85" s="6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spans="1:36" ht="48.6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88" t="s">
        <v>420</v>
      </c>
      <c r="T86" s="94" t="s">
        <v>135</v>
      </c>
      <c r="U86" s="377"/>
      <c r="V86" s="377"/>
      <c r="W86" s="377"/>
      <c r="X86" s="377"/>
      <c r="Y86" s="46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spans="1:36" ht="15.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88" t="s">
        <v>420</v>
      </c>
      <c r="T87" s="94" t="s">
        <v>135</v>
      </c>
      <c r="U87" s="129">
        <f>Database!$C$44*(($E$34+273.15)-(Database!$H$11))+((Database!$D$44*(($E$34+273.15)^2-(Database!$H$11)^2))/2)+((Database!$E$44*(($E$34+273.15)^3-(Database!$H$11)^3))/3)+((Database!$F$44*(($E$34+273.15)^4-(Database!$H$11)^4))/4)</f>
        <v>-411.661678124388</v>
      </c>
      <c r="V87" s="5" t="s">
        <v>279</v>
      </c>
      <c r="W87" s="5"/>
      <c r="X87" s="5"/>
      <c r="Y87" s="6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spans="1:36" ht="15.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181"/>
      <c r="T88" s="153"/>
      <c r="U88" s="5"/>
      <c r="V88" s="5"/>
      <c r="W88" s="5"/>
      <c r="X88" s="5"/>
      <c r="Y88" s="6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spans="1:36" ht="15.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88" t="s">
        <v>278</v>
      </c>
      <c r="T89" s="94" t="s">
        <v>135</v>
      </c>
      <c r="U89" s="9" t="s">
        <v>419</v>
      </c>
      <c r="V89" s="117" t="s">
        <v>284</v>
      </c>
      <c r="W89" s="9" t="s">
        <v>421</v>
      </c>
      <c r="X89" s="94" t="s">
        <v>284</v>
      </c>
      <c r="Y89" s="121" t="s">
        <v>420</v>
      </c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spans="1:36" ht="15.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135" t="s">
        <v>278</v>
      </c>
      <c r="T90" s="182" t="s">
        <v>135</v>
      </c>
      <c r="U90" s="119">
        <f>U87+U83+U79</f>
        <v>-26807.147882190926</v>
      </c>
      <c r="V90" s="11" t="s">
        <v>279</v>
      </c>
      <c r="W90" s="11"/>
      <c r="X90" s="11"/>
      <c r="Y90" s="12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spans="1:36" ht="15.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148"/>
      <c r="T91" s="148"/>
      <c r="U91" s="148"/>
      <c r="V91" s="148"/>
      <c r="W91" s="148"/>
      <c r="X91" s="148"/>
      <c r="Y91" s="148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spans="1:36" ht="15.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1"/>
      <c r="T92" s="2"/>
      <c r="U92" s="91" t="s">
        <v>280</v>
      </c>
      <c r="V92" s="2"/>
      <c r="W92" s="2"/>
      <c r="X92" s="2"/>
      <c r="Y92" s="3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 spans="1:36" ht="15.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116" t="s">
        <v>346</v>
      </c>
      <c r="T93" s="5"/>
      <c r="U93" s="5"/>
      <c r="V93" s="5"/>
      <c r="W93" s="109" t="s">
        <v>471</v>
      </c>
      <c r="X93" s="5"/>
      <c r="Y93" s="6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spans="1:36" ht="15.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156" t="s">
        <v>383</v>
      </c>
      <c r="T94" s="5"/>
      <c r="U94" s="5"/>
      <c r="V94" s="5"/>
      <c r="W94" s="64" t="s">
        <v>384</v>
      </c>
      <c r="X94" s="5"/>
      <c r="Y94" s="6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 spans="1:36" ht="15.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172"/>
      <c r="T95" s="5"/>
      <c r="U95" s="5"/>
      <c r="V95" s="5"/>
      <c r="W95" s="148"/>
      <c r="X95" s="5"/>
      <c r="Y95" s="6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 spans="1:36" ht="15.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4"/>
      <c r="T96" s="9" t="s">
        <v>350</v>
      </c>
      <c r="U96" s="9" t="s">
        <v>385</v>
      </c>
      <c r="V96" s="9" t="s">
        <v>351</v>
      </c>
      <c r="W96" s="5"/>
      <c r="X96" s="5"/>
      <c r="Y96" s="6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 spans="1:36" ht="15.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4"/>
      <c r="T97" s="5"/>
      <c r="U97" s="148"/>
      <c r="V97" s="5"/>
      <c r="W97" s="5"/>
      <c r="X97" s="5"/>
      <c r="Y97" s="6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</row>
    <row r="98" spans="1:36" ht="15.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4" t="s">
        <v>578</v>
      </c>
      <c r="T98" s="9"/>
      <c r="U98" s="5"/>
      <c r="V98" s="148"/>
      <c r="W98" s="5"/>
      <c r="X98" s="5"/>
      <c r="Y98" s="6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</row>
    <row r="99" spans="1:36" ht="51.6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88" t="s">
        <v>383</v>
      </c>
      <c r="T99" s="94" t="s">
        <v>135</v>
      </c>
      <c r="U99" s="377"/>
      <c r="V99" s="377"/>
      <c r="W99" s="377"/>
      <c r="X99" s="377"/>
      <c r="Y99" s="46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</row>
    <row r="100" spans="1:36" ht="15.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88" t="s">
        <v>383</v>
      </c>
      <c r="T100" s="94" t="s">
        <v>135</v>
      </c>
      <c r="U100" s="96">
        <f>(Database!$C$33*((Database!$H$12)-($V$55+273.15)))+(((Database!$D$33)*((Database!$H$12)^2-($V$55+273.15)^2))/2)+((Database!$E$33*((Database!$H$12)^3-($V$55+273.15)^3))/3)+((Database!$F$33*((Database!$H$12)^4-($V$55+273.15)^4))/4)+((Database!$G$33)*((Database!$H$12)^(5)-($V$55+273.15)^5))/5</f>
        <v>14587.315366913117</v>
      </c>
      <c r="V100" s="148"/>
      <c r="W100" s="5"/>
      <c r="X100" s="5"/>
      <c r="Y100" s="6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</row>
    <row r="101" spans="1:36" ht="15.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181"/>
      <c r="T101" s="168"/>
      <c r="U101" s="148"/>
      <c r="V101" s="5"/>
      <c r="W101" s="5"/>
      <c r="X101" s="5"/>
      <c r="Y101" s="6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</row>
    <row r="102" spans="1:36" ht="15.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181" t="s">
        <v>353</v>
      </c>
      <c r="T102" s="21"/>
      <c r="U102" s="5"/>
      <c r="V102" s="5"/>
      <c r="W102" s="5"/>
      <c r="X102" s="5"/>
      <c r="Y102" s="6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spans="1:36" ht="15.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88" t="s">
        <v>385</v>
      </c>
      <c r="T103" s="94" t="s">
        <v>135</v>
      </c>
      <c r="U103" s="94" t="s">
        <v>552</v>
      </c>
      <c r="V103" s="5"/>
      <c r="W103" s="5"/>
      <c r="X103" s="5"/>
      <c r="Y103" s="6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r="104" spans="1:36" ht="15.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88" t="s">
        <v>385</v>
      </c>
      <c r="T104" s="94" t="s">
        <v>135</v>
      </c>
      <c r="U104" s="9">
        <f>Database!$I$22*1000*-1</f>
        <v>-51530</v>
      </c>
      <c r="V104" s="5" t="s">
        <v>279</v>
      </c>
      <c r="W104" s="5"/>
      <c r="X104" s="5"/>
      <c r="Y104" s="6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spans="1:36" ht="15.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181"/>
      <c r="T105" s="21"/>
      <c r="U105" s="5"/>
      <c r="V105" s="5"/>
      <c r="W105" s="5"/>
      <c r="X105" s="5"/>
      <c r="Y105" s="6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r="106" spans="1:36" ht="15.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181" t="s">
        <v>589</v>
      </c>
      <c r="T106" s="153"/>
      <c r="U106" s="5"/>
      <c r="V106" s="5"/>
      <c r="W106" s="5"/>
      <c r="X106" s="5"/>
      <c r="Y106" s="6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</row>
    <row r="107" spans="1:36" ht="48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88" t="s">
        <v>384</v>
      </c>
      <c r="T107" s="94" t="s">
        <v>135</v>
      </c>
      <c r="U107" s="377"/>
      <c r="V107" s="377"/>
      <c r="W107" s="377"/>
      <c r="X107" s="377"/>
      <c r="Y107" s="46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  <row r="108" spans="1:36" ht="15.6">
      <c r="S108" s="88" t="s">
        <v>384</v>
      </c>
      <c r="T108" s="94" t="s">
        <v>135</v>
      </c>
      <c r="U108" s="129">
        <f>Database!$C$45*(($E$34+273.15)-(Database!$H$12))+((Database!$D$45*(($E$34+273.15)^2-(Database!$H$12)^2))/2)+((Database!$E$45*(($E$34+273.15)^3-(Database!$H$12)^3))/3)+((Database!$F$45*(($E$34+273.15)^4-(Database!$H$12)^4))/4)</f>
        <v>-33788.612870734447</v>
      </c>
      <c r="V108" s="5" t="s">
        <v>279</v>
      </c>
      <c r="W108" s="5"/>
      <c r="X108" s="5"/>
      <c r="Y108" s="6"/>
      <c r="Z108" s="148"/>
      <c r="AA108" s="148"/>
      <c r="AC108" s="5"/>
      <c r="AD108" s="5"/>
      <c r="AE108" s="5"/>
      <c r="AF108" s="5"/>
      <c r="AG108" s="5"/>
    </row>
    <row r="109" spans="1:36" ht="15.6">
      <c r="S109" s="181"/>
      <c r="T109" s="153"/>
      <c r="U109" s="5"/>
      <c r="V109" s="5"/>
      <c r="W109" s="5"/>
      <c r="X109" s="5"/>
      <c r="Y109" s="6"/>
      <c r="Z109" s="148"/>
      <c r="AA109" s="148"/>
      <c r="AC109" s="5"/>
      <c r="AD109" s="5"/>
      <c r="AE109" s="5"/>
      <c r="AF109" s="5"/>
      <c r="AG109" s="5"/>
    </row>
    <row r="110" spans="1:36" ht="15.6">
      <c r="S110" s="88" t="s">
        <v>280</v>
      </c>
      <c r="T110" s="94" t="s">
        <v>135</v>
      </c>
      <c r="U110" s="9" t="s">
        <v>383</v>
      </c>
      <c r="V110" s="117" t="s">
        <v>284</v>
      </c>
      <c r="W110" s="9" t="s">
        <v>385</v>
      </c>
      <c r="X110" s="117" t="s">
        <v>284</v>
      </c>
      <c r="Y110" s="121" t="s">
        <v>384</v>
      </c>
      <c r="Z110" s="148"/>
      <c r="AA110" s="148"/>
      <c r="AC110" s="5"/>
      <c r="AD110" s="5"/>
      <c r="AE110" s="5"/>
      <c r="AF110" s="5"/>
      <c r="AG110" s="5"/>
    </row>
    <row r="111" spans="1:36" ht="15.6">
      <c r="S111" s="135" t="s">
        <v>280</v>
      </c>
      <c r="T111" s="182" t="s">
        <v>135</v>
      </c>
      <c r="U111" s="119">
        <f>U108+U104+U100</f>
        <v>-70731.297503821334</v>
      </c>
      <c r="V111" s="11" t="s">
        <v>279</v>
      </c>
      <c r="W111" s="11"/>
      <c r="X111" s="11"/>
      <c r="Y111" s="12"/>
      <c r="Z111" s="148"/>
      <c r="AA111" s="148"/>
      <c r="AC111" s="5"/>
      <c r="AD111" s="5"/>
      <c r="AE111" s="5"/>
      <c r="AF111" s="5"/>
      <c r="AG111" s="5"/>
    </row>
    <row r="112" spans="1:36" ht="15.6">
      <c r="S112" s="148"/>
      <c r="T112" s="148"/>
      <c r="U112" s="148"/>
      <c r="V112" s="148"/>
      <c r="W112" s="148"/>
      <c r="X112" s="148"/>
      <c r="Y112" s="148"/>
      <c r="Z112" s="148"/>
      <c r="AA112" s="148"/>
      <c r="AC112" s="5"/>
      <c r="AD112" s="5"/>
      <c r="AE112" s="5"/>
      <c r="AF112" s="5"/>
      <c r="AG112" s="5"/>
    </row>
    <row r="113" spans="19:33" ht="15.6">
      <c r="S113" s="1"/>
      <c r="T113" s="2"/>
      <c r="U113" s="91" t="s">
        <v>287</v>
      </c>
      <c r="V113" s="2"/>
      <c r="W113" s="2"/>
      <c r="X113" s="2"/>
      <c r="Y113" s="3"/>
      <c r="Z113" s="148"/>
      <c r="AA113" s="148"/>
      <c r="AC113" s="5"/>
      <c r="AD113" s="5"/>
      <c r="AE113" s="5"/>
      <c r="AF113" s="5"/>
      <c r="AG113" s="5"/>
    </row>
    <row r="114" spans="19:33" ht="15.6">
      <c r="S114" s="116" t="s">
        <v>355</v>
      </c>
      <c r="T114" s="5"/>
      <c r="U114" s="5"/>
      <c r="V114" s="5"/>
      <c r="W114" s="109" t="s">
        <v>472</v>
      </c>
      <c r="X114" s="5"/>
      <c r="Y114" s="6"/>
      <c r="Z114" s="148"/>
      <c r="AA114" s="148"/>
      <c r="AC114" s="5"/>
      <c r="AD114" s="5"/>
      <c r="AE114" s="5"/>
      <c r="AF114" s="5"/>
      <c r="AG114" s="5"/>
    </row>
    <row r="115" spans="19:33" ht="15.6">
      <c r="S115" s="156" t="s">
        <v>386</v>
      </c>
      <c r="T115" s="5"/>
      <c r="U115" s="5"/>
      <c r="V115" s="5"/>
      <c r="W115" s="64" t="s">
        <v>387</v>
      </c>
      <c r="X115" s="5"/>
      <c r="Y115" s="6"/>
      <c r="Z115" s="148"/>
      <c r="AA115" s="148"/>
      <c r="AC115" s="5"/>
      <c r="AD115" s="5"/>
      <c r="AE115" s="5"/>
      <c r="AF115" s="5"/>
      <c r="AG115" s="5"/>
    </row>
    <row r="116" spans="19:33" ht="15.6">
      <c r="S116" s="172"/>
      <c r="T116" s="5"/>
      <c r="U116" s="5"/>
      <c r="V116" s="5"/>
      <c r="W116" s="148"/>
      <c r="X116" s="5"/>
      <c r="Y116" s="6"/>
      <c r="Z116" s="148"/>
      <c r="AA116" s="148"/>
      <c r="AC116" s="5"/>
      <c r="AD116" s="5"/>
      <c r="AE116" s="5"/>
      <c r="AF116" s="5"/>
      <c r="AG116" s="5"/>
    </row>
    <row r="117" spans="19:33" ht="15.6">
      <c r="S117" s="4"/>
      <c r="T117" s="9" t="s">
        <v>359</v>
      </c>
      <c r="U117" s="9" t="s">
        <v>388</v>
      </c>
      <c r="V117" s="9" t="s">
        <v>360</v>
      </c>
      <c r="W117" s="5"/>
      <c r="X117" s="5"/>
      <c r="Y117" s="6"/>
      <c r="Z117" s="148"/>
      <c r="AA117" s="148"/>
      <c r="AC117" s="5"/>
      <c r="AD117" s="5"/>
      <c r="AE117" s="5"/>
      <c r="AF117" s="5"/>
      <c r="AG117" s="5"/>
    </row>
    <row r="118" spans="19:33" ht="15.6">
      <c r="S118" s="4"/>
      <c r="T118" s="5"/>
      <c r="U118" s="148"/>
      <c r="V118" s="5"/>
      <c r="W118" s="5"/>
      <c r="X118" s="5"/>
      <c r="Y118" s="6"/>
      <c r="Z118" s="148"/>
      <c r="AA118" s="148"/>
      <c r="AC118" s="5"/>
      <c r="AD118" s="5"/>
      <c r="AE118" s="5"/>
      <c r="AF118" s="5"/>
      <c r="AG118" s="5"/>
    </row>
    <row r="119" spans="19:33" ht="15.6">
      <c r="S119" s="4" t="s">
        <v>579</v>
      </c>
      <c r="T119" s="9"/>
      <c r="U119" s="5"/>
      <c r="V119" s="148"/>
      <c r="W119" s="5"/>
      <c r="X119" s="5"/>
      <c r="Y119" s="6"/>
      <c r="Z119" s="148"/>
      <c r="AA119" s="148"/>
      <c r="AC119" s="5"/>
      <c r="AD119" s="5"/>
      <c r="AE119" s="5"/>
      <c r="AF119" s="5"/>
      <c r="AG119" s="5"/>
    </row>
    <row r="120" spans="19:33" ht="55.2" customHeight="1">
      <c r="S120" s="88" t="s">
        <v>386</v>
      </c>
      <c r="T120" s="94" t="s">
        <v>135</v>
      </c>
      <c r="U120" s="377"/>
      <c r="V120" s="377"/>
      <c r="W120" s="377"/>
      <c r="X120" s="377"/>
      <c r="Y120" s="465"/>
      <c r="Z120" s="148"/>
      <c r="AA120" s="148"/>
      <c r="AC120" s="5"/>
      <c r="AD120" s="5"/>
      <c r="AE120" s="5"/>
      <c r="AF120" s="5"/>
      <c r="AG120" s="5"/>
    </row>
    <row r="121" spans="19:33" ht="15.6">
      <c r="S121" s="116" t="s">
        <v>386</v>
      </c>
      <c r="T121" s="117" t="s">
        <v>135</v>
      </c>
      <c r="U121" s="96">
        <f>(Database!$C$34*((Database!$H$13)-($V$55+273.15)))+(((Database!$D$34)*((Database!$H$13)^2-($V$55+273.15)^2))/2)+((Database!$E$34*((Database!$H$13)^3-($V$55+273.15)^3))/3)+((Database!$F$34*((Database!$H$13)^4-($V$55+273.15)^4))/4)+((Database!$G$34)*((Database!$H$13)^(5)-($V$55+273.15)^5))/5</f>
        <v>44168.085339864891</v>
      </c>
      <c r="V121" s="148"/>
      <c r="W121" s="5"/>
      <c r="X121" s="5"/>
      <c r="Y121" s="6"/>
      <c r="Z121" s="148"/>
      <c r="AA121" s="148"/>
      <c r="AC121" s="5"/>
      <c r="AD121" s="5"/>
      <c r="AE121" s="5"/>
      <c r="AF121" s="5"/>
      <c r="AG121" s="5"/>
    </row>
    <row r="122" spans="19:33" ht="15.6">
      <c r="S122" s="4"/>
      <c r="T122" s="148"/>
      <c r="U122" s="148"/>
      <c r="V122" s="5"/>
      <c r="W122" s="5"/>
      <c r="X122" s="5"/>
      <c r="Y122" s="6"/>
      <c r="Z122" s="148"/>
      <c r="AA122" s="148"/>
      <c r="AC122" s="5"/>
      <c r="AD122" s="5"/>
      <c r="AE122" s="5"/>
      <c r="AF122" s="5"/>
      <c r="AG122" s="5"/>
    </row>
    <row r="123" spans="19:33" ht="15.6">
      <c r="S123" s="4" t="s">
        <v>362</v>
      </c>
      <c r="T123" s="9"/>
      <c r="U123" s="5"/>
      <c r="V123" s="5"/>
      <c r="W123" s="5"/>
      <c r="X123" s="5"/>
      <c r="Y123" s="6"/>
      <c r="Z123" s="148"/>
      <c r="AA123" s="148"/>
      <c r="AC123" s="5"/>
      <c r="AD123" s="5"/>
      <c r="AE123" s="5"/>
      <c r="AF123" s="5"/>
      <c r="AG123" s="5"/>
    </row>
    <row r="124" spans="19:33" ht="15.6">
      <c r="S124" s="116" t="s">
        <v>388</v>
      </c>
      <c r="T124" s="117" t="s">
        <v>135</v>
      </c>
      <c r="U124" s="94" t="s">
        <v>553</v>
      </c>
      <c r="V124" s="5"/>
      <c r="W124" s="5"/>
      <c r="X124" s="5"/>
      <c r="Y124" s="6"/>
      <c r="Z124" s="148"/>
      <c r="AA124" s="148"/>
      <c r="AC124" s="5"/>
      <c r="AD124" s="5"/>
      <c r="AE124" s="5"/>
      <c r="AF124" s="5"/>
      <c r="AG124" s="5"/>
    </row>
    <row r="125" spans="19:33" ht="15.6">
      <c r="S125" s="116" t="s">
        <v>388</v>
      </c>
      <c r="T125" s="117" t="s">
        <v>135</v>
      </c>
      <c r="U125" s="9">
        <f>Database!$I$23*1000*-1</f>
        <v>-64459.999999999993</v>
      </c>
      <c r="V125" s="5" t="s">
        <v>279</v>
      </c>
      <c r="W125" s="5"/>
      <c r="X125" s="5"/>
      <c r="Y125" s="6"/>
      <c r="Z125" s="148"/>
      <c r="AA125" s="148"/>
      <c r="AC125" s="5"/>
      <c r="AD125" s="5"/>
      <c r="AE125" s="5"/>
      <c r="AF125" s="5"/>
      <c r="AG125" s="5"/>
    </row>
    <row r="126" spans="19:33" ht="15.6">
      <c r="S126" s="4"/>
      <c r="T126" s="9"/>
      <c r="U126" s="5"/>
      <c r="V126" s="5"/>
      <c r="W126" s="5"/>
      <c r="X126" s="5"/>
      <c r="Y126" s="6"/>
      <c r="Z126" s="148"/>
      <c r="AA126" s="148"/>
      <c r="AC126" s="5"/>
      <c r="AD126" s="5"/>
      <c r="AE126" s="5"/>
      <c r="AF126" s="5"/>
      <c r="AG126" s="5"/>
    </row>
    <row r="127" spans="19:33" ht="15.6">
      <c r="S127" s="4" t="s">
        <v>589</v>
      </c>
      <c r="T127" s="5"/>
      <c r="U127" s="5"/>
      <c r="V127" s="5"/>
      <c r="W127" s="5"/>
      <c r="X127" s="5"/>
      <c r="Y127" s="6"/>
      <c r="Z127" s="148"/>
      <c r="AA127" s="148"/>
      <c r="AC127" s="5"/>
      <c r="AD127" s="5"/>
      <c r="AE127" s="5"/>
      <c r="AF127" s="5"/>
      <c r="AG127" s="5"/>
    </row>
    <row r="128" spans="19:33" ht="54" customHeight="1">
      <c r="S128" s="88" t="s">
        <v>387</v>
      </c>
      <c r="T128" s="94" t="s">
        <v>135</v>
      </c>
      <c r="U128" s="377"/>
      <c r="V128" s="377"/>
      <c r="W128" s="377"/>
      <c r="X128" s="377"/>
      <c r="Y128" s="465"/>
      <c r="Z128" s="148"/>
      <c r="AA128" s="148"/>
      <c r="AC128" s="5"/>
      <c r="AD128" s="5"/>
      <c r="AE128" s="5"/>
      <c r="AF128" s="5"/>
      <c r="AG128" s="5"/>
    </row>
    <row r="129" spans="19:33" ht="15.6">
      <c r="S129" s="116" t="s">
        <v>387</v>
      </c>
      <c r="T129" s="117" t="s">
        <v>135</v>
      </c>
      <c r="U129" s="129">
        <f>Database!$C$46*(($E$34+273.15)-(Database!$H$13))+((Database!$D$46*(($E$34+273.15)^2-(Database!$H$13)^2))/2)+((Database!$E$46*(($E$34+273.15)^3-(Database!$H$13)^3))/3)+((Database!$F$46*(($E$34+273.15)^4-(Database!$H$13)^4))/4)</f>
        <v>-68158.77530188841</v>
      </c>
      <c r="V129" s="5" t="s">
        <v>279</v>
      </c>
      <c r="W129" s="5"/>
      <c r="X129" s="5"/>
      <c r="Y129" s="6"/>
      <c r="Z129" s="148"/>
      <c r="AA129" s="148"/>
      <c r="AC129" s="5"/>
      <c r="AD129" s="5"/>
      <c r="AE129" s="5"/>
      <c r="AF129" s="5"/>
      <c r="AG129" s="5"/>
    </row>
    <row r="130" spans="19:33" ht="15.6">
      <c r="S130" s="4"/>
      <c r="T130" s="5"/>
      <c r="U130" s="5"/>
      <c r="V130" s="5"/>
      <c r="W130" s="5"/>
      <c r="X130" s="5"/>
      <c r="Y130" s="6"/>
      <c r="Z130" s="148"/>
      <c r="AA130" s="148"/>
      <c r="AC130" s="5"/>
      <c r="AD130" s="5"/>
      <c r="AE130" s="5"/>
      <c r="AF130" s="5"/>
      <c r="AG130" s="5"/>
    </row>
    <row r="131" spans="19:33" ht="15.6">
      <c r="S131" s="116" t="s">
        <v>287</v>
      </c>
      <c r="T131" s="117" t="s">
        <v>135</v>
      </c>
      <c r="U131" s="9" t="s">
        <v>386</v>
      </c>
      <c r="V131" s="117" t="s">
        <v>284</v>
      </c>
      <c r="W131" s="9" t="s">
        <v>388</v>
      </c>
      <c r="X131" s="117" t="s">
        <v>284</v>
      </c>
      <c r="Y131" s="121" t="s">
        <v>387</v>
      </c>
      <c r="Z131" s="148"/>
      <c r="AA131" s="148"/>
      <c r="AC131" s="5"/>
      <c r="AD131" s="5"/>
      <c r="AE131" s="5"/>
      <c r="AF131" s="5"/>
      <c r="AG131" s="5"/>
    </row>
    <row r="132" spans="19:33" ht="15.6">
      <c r="S132" s="85" t="s">
        <v>287</v>
      </c>
      <c r="T132" s="118" t="s">
        <v>135</v>
      </c>
      <c r="U132" s="119">
        <f>U129+U125+U121</f>
        <v>-88450.68996202352</v>
      </c>
      <c r="V132" s="11" t="s">
        <v>279</v>
      </c>
      <c r="W132" s="11"/>
      <c r="X132" s="11"/>
      <c r="Y132" s="12"/>
      <c r="Z132" s="148"/>
      <c r="AA132" s="148"/>
    </row>
    <row r="133" spans="19:33" ht="15.75" customHeight="1">
      <c r="S133" s="148"/>
      <c r="T133" s="148"/>
      <c r="U133" s="148"/>
      <c r="V133" s="148"/>
      <c r="W133" s="148"/>
      <c r="X133" s="148"/>
      <c r="Y133" s="148"/>
      <c r="Z133" s="148"/>
      <c r="AA133" s="148"/>
    </row>
    <row r="134" spans="19:33" ht="15.6">
      <c r="S134" s="1"/>
      <c r="T134" s="2"/>
      <c r="U134" s="91" t="s">
        <v>288</v>
      </c>
      <c r="V134" s="2"/>
      <c r="W134" s="2"/>
      <c r="X134" s="2"/>
      <c r="Y134" s="3"/>
      <c r="Z134" s="148"/>
      <c r="AA134" s="148"/>
    </row>
    <row r="135" spans="19:33" ht="15.6">
      <c r="S135" s="116" t="s">
        <v>490</v>
      </c>
      <c r="T135" s="5"/>
      <c r="U135" s="5"/>
      <c r="V135" s="5"/>
      <c r="W135" s="109" t="s">
        <v>491</v>
      </c>
      <c r="X135" s="5"/>
      <c r="Y135" s="6"/>
      <c r="Z135" s="148"/>
      <c r="AA135" s="148"/>
    </row>
    <row r="136" spans="19:33" ht="15.6">
      <c r="S136" s="156" t="s">
        <v>389</v>
      </c>
      <c r="T136" s="5"/>
      <c r="U136" s="5"/>
      <c r="V136" s="5"/>
      <c r="W136" s="64" t="s">
        <v>538</v>
      </c>
      <c r="X136" s="5"/>
      <c r="Y136" s="6"/>
      <c r="Z136" s="148"/>
      <c r="AA136" s="148"/>
    </row>
    <row r="137" spans="19:33" ht="15.6">
      <c r="S137" s="172"/>
      <c r="T137" s="5"/>
      <c r="U137" s="5"/>
      <c r="V137" s="5"/>
      <c r="W137" s="148"/>
      <c r="X137" s="5"/>
      <c r="Y137" s="6"/>
      <c r="Z137" s="148"/>
      <c r="AA137" s="148"/>
    </row>
    <row r="138" spans="19:33" ht="15.6">
      <c r="S138" s="4"/>
      <c r="T138" s="9" t="s">
        <v>492</v>
      </c>
      <c r="U138" s="9" t="s">
        <v>391</v>
      </c>
      <c r="V138" s="9" t="s">
        <v>493</v>
      </c>
      <c r="W138" s="5"/>
      <c r="X138" s="5"/>
      <c r="Y138" s="6"/>
      <c r="Z138" s="148"/>
      <c r="AA138" s="148"/>
    </row>
    <row r="139" spans="19:33" ht="15.6">
      <c r="S139" s="4"/>
      <c r="T139" s="5"/>
      <c r="U139" s="148"/>
      <c r="V139" s="5"/>
      <c r="W139" s="5"/>
      <c r="X139" s="5"/>
      <c r="Y139" s="6"/>
      <c r="Z139" s="148"/>
      <c r="AA139" s="148"/>
    </row>
    <row r="140" spans="19:33" ht="15.6">
      <c r="S140" s="4" t="s">
        <v>590</v>
      </c>
      <c r="T140" s="9"/>
      <c r="U140" s="5"/>
      <c r="V140" s="148"/>
      <c r="W140" s="5"/>
      <c r="X140" s="5"/>
      <c r="Y140" s="6"/>
      <c r="Z140" s="148"/>
      <c r="AA140" s="148"/>
    </row>
    <row r="141" spans="19:33" ht="49.2" customHeight="1">
      <c r="S141" s="88" t="s">
        <v>389</v>
      </c>
      <c r="T141" s="94" t="s">
        <v>135</v>
      </c>
      <c r="U141" s="377"/>
      <c r="V141" s="377"/>
      <c r="W141" s="377"/>
      <c r="X141" s="377"/>
      <c r="Y141" s="465"/>
      <c r="Z141" s="148"/>
      <c r="AA141" s="148"/>
    </row>
    <row r="142" spans="19:33" ht="15.6">
      <c r="S142" s="88" t="s">
        <v>389</v>
      </c>
      <c r="T142" s="94" t="s">
        <v>135</v>
      </c>
      <c r="U142" s="96">
        <f>(Database!$C$36*((Database!$H$15)-($V$55+273.15)))+(((Database!$D$36)*((Database!$H$15)^2-($V$55+273.15)^2))/2)+((Database!$E$36*((Database!$H$15)^3-($V$55+273.15)^3))/3)+((Database!$F$36*((Database!$H$15)^4-($V$55+273.15)^4))/4)+((Database!$G$36)*((Database!$H$15)^(5)-($V$55+273.15)^5))/5</f>
        <v>19072.824354840286</v>
      </c>
      <c r="V142" s="148"/>
      <c r="W142" s="5"/>
      <c r="X142" s="5"/>
      <c r="Y142" s="6"/>
      <c r="Z142" s="148"/>
      <c r="AA142" s="148"/>
    </row>
    <row r="143" spans="19:33" ht="15.6">
      <c r="S143" s="181"/>
      <c r="T143" s="168"/>
      <c r="U143" s="148"/>
      <c r="V143" s="5"/>
      <c r="W143" s="5"/>
      <c r="X143" s="5"/>
      <c r="Y143" s="6"/>
      <c r="Z143" s="148"/>
      <c r="AA143" s="148"/>
    </row>
    <row r="144" spans="19:33" ht="15.6">
      <c r="S144" s="181" t="s">
        <v>513</v>
      </c>
      <c r="T144" s="21"/>
      <c r="U144" s="5"/>
      <c r="V144" s="5"/>
      <c r="W144" s="5"/>
      <c r="X144" s="5"/>
      <c r="Y144" s="6"/>
      <c r="Z144" s="148"/>
      <c r="AA144" s="148"/>
    </row>
    <row r="145" spans="19:27" ht="15.6">
      <c r="S145" s="88" t="s">
        <v>391</v>
      </c>
      <c r="T145" s="94" t="s">
        <v>135</v>
      </c>
      <c r="U145" s="94" t="s">
        <v>558</v>
      </c>
      <c r="V145" s="5"/>
      <c r="W145" s="5"/>
      <c r="X145" s="5"/>
      <c r="Y145" s="6"/>
      <c r="Z145" s="148"/>
      <c r="AA145" s="148"/>
    </row>
    <row r="146" spans="19:27" ht="15.6">
      <c r="S146" s="88" t="s">
        <v>391</v>
      </c>
      <c r="T146" s="94" t="s">
        <v>135</v>
      </c>
      <c r="U146" s="9">
        <f>Database!$I$25*1000*-1</f>
        <v>-56900</v>
      </c>
      <c r="V146" s="5" t="s">
        <v>279</v>
      </c>
      <c r="W146" s="5"/>
      <c r="X146" s="5"/>
      <c r="Y146" s="6"/>
      <c r="Z146" s="148"/>
      <c r="AA146" s="148"/>
    </row>
    <row r="147" spans="19:27" ht="15.6">
      <c r="S147" s="181"/>
      <c r="T147" s="21"/>
      <c r="U147" s="5"/>
      <c r="V147" s="5"/>
      <c r="W147" s="5"/>
      <c r="X147" s="5"/>
      <c r="Y147" s="6"/>
      <c r="Z147" s="148"/>
      <c r="AA147" s="148"/>
    </row>
    <row r="148" spans="19:27" ht="15.6">
      <c r="S148" s="181" t="s">
        <v>589</v>
      </c>
      <c r="T148" s="153"/>
      <c r="U148" s="5"/>
      <c r="V148" s="5"/>
      <c r="W148" s="5"/>
      <c r="X148" s="5"/>
      <c r="Y148" s="6"/>
      <c r="Z148" s="148"/>
      <c r="AA148" s="148"/>
    </row>
    <row r="149" spans="19:27" ht="49.8" customHeight="1">
      <c r="S149" s="88" t="s">
        <v>390</v>
      </c>
      <c r="T149" s="94" t="s">
        <v>135</v>
      </c>
      <c r="U149" s="377"/>
      <c r="V149" s="377"/>
      <c r="W149" s="377"/>
      <c r="X149" s="377"/>
      <c r="Y149" s="465"/>
      <c r="Z149" s="148"/>
      <c r="AA149" s="148"/>
    </row>
    <row r="150" spans="19:27" ht="15.6">
      <c r="S150" s="88" t="s">
        <v>390</v>
      </c>
      <c r="T150" s="94" t="s">
        <v>135</v>
      </c>
      <c r="U150" s="129">
        <f>Database!$C$48*(($M$31+273.15)-(Database!$H$15))+((Database!$D$48*(($M$31+273.15)^2-(Database!$H$15)^2))/2)+((Database!$E$48*(($M$31+273.15)^3-(Database!$H$15)^3))/3)+((Database!$F$48*(($M$31+273.15)^4-(Database!$H$15)^4))/4)</f>
        <v>-33400.811304313756</v>
      </c>
      <c r="V150" s="5" t="s">
        <v>279</v>
      </c>
      <c r="W150" s="5"/>
      <c r="X150" s="5"/>
      <c r="Y150" s="6"/>
      <c r="Z150" s="148"/>
      <c r="AA150" s="148"/>
    </row>
    <row r="151" spans="19:27" ht="15.6">
      <c r="S151" s="181"/>
      <c r="T151" s="153"/>
      <c r="U151" s="5"/>
      <c r="V151" s="5"/>
      <c r="W151" s="5"/>
      <c r="X151" s="5"/>
      <c r="Y151" s="6"/>
      <c r="Z151" s="148"/>
      <c r="AA151" s="148"/>
    </row>
    <row r="152" spans="19:27" ht="15.6">
      <c r="S152" s="88" t="s">
        <v>288</v>
      </c>
      <c r="T152" s="94" t="s">
        <v>135</v>
      </c>
      <c r="U152" s="9" t="s">
        <v>389</v>
      </c>
      <c r="V152" s="117" t="s">
        <v>284</v>
      </c>
      <c r="W152" s="9" t="s">
        <v>391</v>
      </c>
      <c r="X152" s="117" t="s">
        <v>284</v>
      </c>
      <c r="Y152" s="121" t="s">
        <v>390</v>
      </c>
      <c r="Z152" s="148"/>
      <c r="AA152" s="148"/>
    </row>
    <row r="153" spans="19:27" ht="15.6">
      <c r="S153" s="135" t="s">
        <v>288</v>
      </c>
      <c r="T153" s="182" t="s">
        <v>135</v>
      </c>
      <c r="U153" s="119">
        <f>U150+U146+U142</f>
        <v>-71227.986949473474</v>
      </c>
      <c r="V153" s="11" t="s">
        <v>279</v>
      </c>
      <c r="W153" s="11"/>
      <c r="X153" s="11"/>
      <c r="Y153" s="12"/>
      <c r="Z153" s="148"/>
      <c r="AA153" s="148"/>
    </row>
    <row r="154" spans="19:27" ht="15.75" customHeight="1">
      <c r="S154" s="148"/>
      <c r="T154" s="148"/>
      <c r="U154" s="148"/>
      <c r="V154" s="148"/>
      <c r="W154" s="148"/>
      <c r="X154" s="148"/>
      <c r="Y154" s="148"/>
      <c r="Z154" s="148"/>
      <c r="AA154" s="148"/>
    </row>
    <row r="155" spans="19:27" ht="15.6">
      <c r="S155" s="1"/>
      <c r="T155" s="2"/>
      <c r="U155" s="91" t="s">
        <v>289</v>
      </c>
      <c r="V155" s="2"/>
      <c r="W155" s="2"/>
      <c r="X155" s="2"/>
      <c r="Y155" s="3"/>
      <c r="Z155" s="148"/>
      <c r="AA155" s="148"/>
    </row>
    <row r="156" spans="19:27" ht="15.6">
      <c r="S156" s="116" t="s">
        <v>281</v>
      </c>
      <c r="T156" s="5"/>
      <c r="U156" s="5"/>
      <c r="V156" s="5"/>
      <c r="W156" s="9" t="s">
        <v>470</v>
      </c>
      <c r="X156" s="5"/>
      <c r="Y156" s="6"/>
      <c r="Z156" s="148"/>
      <c r="AA156" s="148"/>
    </row>
    <row r="157" spans="19:27" ht="15.6">
      <c r="S157" s="156" t="s">
        <v>392</v>
      </c>
      <c r="T157" s="5"/>
      <c r="U157" s="5"/>
      <c r="V157" s="5"/>
      <c r="W157" s="64" t="s">
        <v>393</v>
      </c>
      <c r="X157" s="5"/>
      <c r="Y157" s="6"/>
      <c r="Z157" s="148"/>
      <c r="AA157" s="148"/>
    </row>
    <row r="158" spans="19:27" ht="15.6">
      <c r="S158" s="172"/>
      <c r="T158" s="5"/>
      <c r="U158" s="5"/>
      <c r="V158" s="5"/>
      <c r="W158" s="148"/>
      <c r="X158" s="5"/>
      <c r="Y158" s="6"/>
      <c r="Z158" s="148"/>
      <c r="AA158" s="148"/>
    </row>
    <row r="159" spans="19:27" ht="15.6">
      <c r="S159" s="4"/>
      <c r="T159" s="9" t="s">
        <v>341</v>
      </c>
      <c r="U159" s="9" t="s">
        <v>394</v>
      </c>
      <c r="V159" s="9" t="s">
        <v>342</v>
      </c>
      <c r="W159" s="5"/>
      <c r="X159" s="5"/>
      <c r="Y159" s="6"/>
      <c r="Z159" s="148"/>
      <c r="AA159" s="148"/>
    </row>
    <row r="160" spans="19:27" ht="15.6">
      <c r="S160" s="4"/>
      <c r="T160" s="5"/>
      <c r="U160" s="148"/>
      <c r="V160" s="5"/>
      <c r="W160" s="5"/>
      <c r="X160" s="5"/>
      <c r="Y160" s="6"/>
      <c r="Z160" s="148"/>
      <c r="AA160" s="148"/>
    </row>
    <row r="161" spans="19:27" ht="15.6">
      <c r="S161" s="4" t="s">
        <v>576</v>
      </c>
      <c r="T161" s="9"/>
      <c r="U161" s="5"/>
      <c r="V161" s="148"/>
      <c r="W161" s="5"/>
      <c r="X161" s="5"/>
      <c r="Y161" s="6"/>
      <c r="Z161" s="148"/>
      <c r="AA161" s="148"/>
    </row>
    <row r="162" spans="19:27" s="152" customFormat="1" ht="48" customHeight="1">
      <c r="S162" s="88" t="s">
        <v>392</v>
      </c>
      <c r="T162" s="94" t="s">
        <v>135</v>
      </c>
      <c r="U162" s="387"/>
      <c r="V162" s="387"/>
      <c r="W162" s="387"/>
      <c r="X162" s="387"/>
      <c r="Y162" s="468"/>
      <c r="Z162" s="168"/>
      <c r="AA162" s="168"/>
    </row>
    <row r="163" spans="19:27" ht="15.6">
      <c r="S163" s="116" t="s">
        <v>392</v>
      </c>
      <c r="T163" s="117" t="s">
        <v>135</v>
      </c>
      <c r="U163" s="96">
        <f>(Database!$C$32*((Database!$H$11)-($V$55+273.15)))+(((Database!$D$32)*((Database!$H$11)^2-($V$55+273.15)^2))/2)+((Database!$E$32*((Database!$H$11)^3-($V$55+273.15)^3))/3)+((Database!$F$32*((Database!$H$11)^4-($V$55+273.15)^4))/4)+((Database!$G$32)*((Database!$H$11)^(5)-($V$55+273.15)^5))/5</f>
        <v>-695.48620406653799</v>
      </c>
      <c r="V163" s="148"/>
      <c r="W163" s="5"/>
      <c r="X163" s="5"/>
      <c r="Y163" s="6"/>
      <c r="Z163" s="148"/>
      <c r="AA163" s="148"/>
    </row>
    <row r="164" spans="19:27" ht="15.6">
      <c r="S164" s="4"/>
      <c r="T164" s="148"/>
      <c r="U164" s="148"/>
      <c r="V164" s="5"/>
      <c r="W164" s="5"/>
      <c r="X164" s="5"/>
      <c r="Y164" s="6"/>
      <c r="Z164" s="148"/>
      <c r="AA164" s="148"/>
    </row>
    <row r="165" spans="19:27" ht="15.6">
      <c r="S165" s="4" t="s">
        <v>344</v>
      </c>
      <c r="T165" s="9"/>
      <c r="U165" s="5"/>
      <c r="V165" s="5"/>
      <c r="W165" s="5"/>
      <c r="X165" s="5"/>
      <c r="Y165" s="6"/>
      <c r="Z165" s="148"/>
      <c r="AA165" s="148"/>
    </row>
    <row r="166" spans="19:27" ht="15.6">
      <c r="S166" s="116" t="s">
        <v>394</v>
      </c>
      <c r="T166" s="117" t="s">
        <v>135</v>
      </c>
      <c r="U166" s="94" t="s">
        <v>559</v>
      </c>
      <c r="V166" s="5"/>
      <c r="W166" s="5"/>
      <c r="X166" s="5"/>
      <c r="Y166" s="6"/>
      <c r="Z166" s="148"/>
      <c r="AA166" s="148"/>
    </row>
    <row r="167" spans="19:27" ht="15.6">
      <c r="S167" s="116" t="s">
        <v>394</v>
      </c>
      <c r="T167" s="117" t="s">
        <v>135</v>
      </c>
      <c r="U167" s="9">
        <f>Database!$I$21*1000*-1</f>
        <v>-25700</v>
      </c>
      <c r="V167" s="5" t="s">
        <v>279</v>
      </c>
      <c r="W167" s="5"/>
      <c r="X167" s="5"/>
      <c r="Y167" s="6"/>
      <c r="Z167" s="148"/>
      <c r="AA167" s="148"/>
    </row>
    <row r="168" spans="19:27" ht="15.6">
      <c r="S168" s="4"/>
      <c r="T168" s="9"/>
      <c r="U168" s="5"/>
      <c r="V168" s="5"/>
      <c r="W168" s="5"/>
      <c r="X168" s="5"/>
      <c r="Y168" s="6"/>
      <c r="Z168" s="148"/>
      <c r="AA168" s="148"/>
    </row>
    <row r="169" spans="19:27" ht="15.6">
      <c r="S169" s="4" t="s">
        <v>589</v>
      </c>
      <c r="T169" s="5"/>
      <c r="U169" s="5"/>
      <c r="V169" s="5"/>
      <c r="W169" s="5"/>
      <c r="X169" s="5"/>
      <c r="Y169" s="6"/>
      <c r="Z169" s="148"/>
      <c r="AA169" s="148"/>
    </row>
    <row r="170" spans="19:27" ht="48" customHeight="1">
      <c r="S170" s="88" t="s">
        <v>393</v>
      </c>
      <c r="T170" s="94" t="s">
        <v>135</v>
      </c>
      <c r="U170" s="377"/>
      <c r="V170" s="377"/>
      <c r="W170" s="377"/>
      <c r="X170" s="377"/>
      <c r="Y170" s="465"/>
      <c r="Z170" s="148"/>
      <c r="AA170" s="148"/>
    </row>
    <row r="171" spans="19:27" ht="15.6">
      <c r="S171" s="88" t="s">
        <v>393</v>
      </c>
      <c r="T171" s="94" t="s">
        <v>135</v>
      </c>
      <c r="U171" s="129">
        <f>Database!$C$44*(($H$67+273.15)-(Database!$H$11))+((Database!$D$44*(($H$67+273.15)^2-(Database!$H$11)^2))/2)+((Database!$E$44*(($H$67+273.15)^3-(Database!$H$11)^3))/3)+((Database!$F$44*(($H$67+273.15)^4-(Database!$H$11)^4))/4)</f>
        <v>-411.661678124388</v>
      </c>
      <c r="V171" s="5" t="s">
        <v>279</v>
      </c>
      <c r="W171" s="5"/>
      <c r="X171" s="5"/>
      <c r="Y171" s="6"/>
      <c r="Z171" s="148"/>
      <c r="AA171" s="148"/>
    </row>
    <row r="172" spans="19:27" ht="15.6">
      <c r="S172" s="4"/>
      <c r="T172" s="5"/>
      <c r="U172" s="5"/>
      <c r="V172" s="5"/>
      <c r="W172" s="5"/>
      <c r="X172" s="5"/>
      <c r="Y172" s="6"/>
      <c r="Z172" s="148"/>
      <c r="AA172" s="148"/>
    </row>
    <row r="173" spans="19:27" ht="15.6">
      <c r="S173" s="116" t="s">
        <v>289</v>
      </c>
      <c r="T173" s="117" t="s">
        <v>135</v>
      </c>
      <c r="U173" s="9" t="s">
        <v>392</v>
      </c>
      <c r="V173" s="117" t="s">
        <v>284</v>
      </c>
      <c r="W173" s="9" t="s">
        <v>394</v>
      </c>
      <c r="X173" s="117" t="s">
        <v>284</v>
      </c>
      <c r="Y173" s="121" t="s">
        <v>393</v>
      </c>
      <c r="Z173" s="148"/>
      <c r="AA173" s="148"/>
    </row>
    <row r="174" spans="19:27" ht="15.6">
      <c r="S174" s="85" t="s">
        <v>289</v>
      </c>
      <c r="T174" s="118" t="s">
        <v>135</v>
      </c>
      <c r="U174" s="119">
        <f>U171+U167+U163</f>
        <v>-26807.147882190926</v>
      </c>
      <c r="V174" s="11" t="s">
        <v>279</v>
      </c>
      <c r="W174" s="11"/>
      <c r="X174" s="11"/>
      <c r="Y174" s="12"/>
      <c r="Z174" s="148"/>
      <c r="AA174" s="148"/>
    </row>
    <row r="175" spans="19:27" ht="15.75" customHeight="1">
      <c r="S175" s="148"/>
      <c r="T175" s="148"/>
      <c r="U175" s="148"/>
      <c r="V175" s="148"/>
      <c r="W175" s="148"/>
      <c r="X175" s="148"/>
      <c r="Y175" s="148"/>
      <c r="Z175" s="148"/>
      <c r="AA175" s="148"/>
    </row>
    <row r="176" spans="19:27" ht="15.6">
      <c r="S176" s="1"/>
      <c r="T176" s="2"/>
      <c r="U176" s="91" t="s">
        <v>290</v>
      </c>
      <c r="V176" s="2"/>
      <c r="W176" s="2"/>
      <c r="X176" s="2"/>
      <c r="Y176" s="3"/>
      <c r="Z176" s="148"/>
      <c r="AA176" s="148"/>
    </row>
    <row r="177" spans="19:27" ht="15.6">
      <c r="S177" s="116" t="s">
        <v>425</v>
      </c>
      <c r="T177" s="5"/>
      <c r="U177" s="5"/>
      <c r="V177" s="5"/>
      <c r="W177" s="9" t="s">
        <v>508</v>
      </c>
      <c r="X177" s="5"/>
      <c r="Y177" s="6"/>
      <c r="Z177" s="148"/>
      <c r="AA177" s="148"/>
    </row>
    <row r="178" spans="19:27" ht="15.6">
      <c r="S178" s="156" t="s">
        <v>494</v>
      </c>
      <c r="T178" s="5"/>
      <c r="U178" s="5"/>
      <c r="V178" s="5"/>
      <c r="W178" s="64" t="s">
        <v>423</v>
      </c>
      <c r="X178" s="5"/>
      <c r="Y178" s="6"/>
      <c r="Z178" s="148"/>
      <c r="AA178" s="148"/>
    </row>
    <row r="179" spans="19:27" ht="15.6">
      <c r="S179" s="230"/>
      <c r="T179" s="5"/>
      <c r="U179" s="5"/>
      <c r="V179" s="5"/>
      <c r="X179" s="5"/>
      <c r="Y179" s="6"/>
      <c r="Z179" s="148"/>
      <c r="AA179" s="148"/>
    </row>
    <row r="180" spans="19:27" ht="15.6">
      <c r="S180" s="4"/>
      <c r="T180" s="9" t="s">
        <v>509</v>
      </c>
      <c r="U180" s="5"/>
      <c r="V180" s="9" t="s">
        <v>510</v>
      </c>
      <c r="W180" s="5"/>
      <c r="X180" s="5"/>
      <c r="Y180" s="6"/>
      <c r="Z180" s="148"/>
      <c r="AA180" s="148"/>
    </row>
    <row r="181" spans="19:27" ht="15.6">
      <c r="S181" s="4"/>
      <c r="T181" s="5"/>
      <c r="U181" s="9" t="s">
        <v>424</v>
      </c>
      <c r="V181" s="5"/>
      <c r="W181" s="5"/>
      <c r="X181" s="5"/>
      <c r="Y181" s="6"/>
      <c r="Z181" s="148"/>
      <c r="AA181" s="148"/>
    </row>
    <row r="182" spans="19:27" ht="15.6">
      <c r="S182" s="4" t="s">
        <v>576</v>
      </c>
      <c r="T182" s="9"/>
      <c r="U182" s="5"/>
      <c r="V182" s="148"/>
      <c r="W182" s="5"/>
      <c r="X182" s="5"/>
      <c r="Y182" s="6"/>
      <c r="Z182" s="148"/>
      <c r="AA182" s="148"/>
    </row>
    <row r="183" spans="19:27" ht="48" customHeight="1">
      <c r="S183" s="88" t="s">
        <v>422</v>
      </c>
      <c r="T183" s="94" t="s">
        <v>135</v>
      </c>
      <c r="U183" s="377"/>
      <c r="V183" s="377"/>
      <c r="W183" s="377"/>
      <c r="X183" s="377"/>
      <c r="Y183" s="465"/>
      <c r="Z183" s="148"/>
      <c r="AA183" s="148"/>
    </row>
    <row r="184" spans="19:27" ht="15.6">
      <c r="S184" s="88" t="s">
        <v>422</v>
      </c>
      <c r="T184" s="94" t="s">
        <v>135</v>
      </c>
      <c r="U184" s="96">
        <f>(Database!$C$32*((Database!$H$11)-($V$55+273.15)))+(((Database!$D$32)*((Database!$H$11)^2-($V$55+273.15)^2))/2)+((Database!$E$32*((Database!$H$11)^3-($V$55+273.15)^3))/3)+((Database!$F$32*((Database!$H$11)^4-($V$55+273.15)^4))/4)+((Database!$G$32)*((Database!$H$11)^(5)-($V$55+273.15)^5))/5</f>
        <v>-695.48620406653799</v>
      </c>
      <c r="V184" s="148"/>
      <c r="W184" s="5"/>
      <c r="X184" s="5"/>
      <c r="Y184" s="6"/>
      <c r="Z184" s="148"/>
      <c r="AA184" s="148"/>
    </row>
    <row r="185" spans="19:27" ht="15.6">
      <c r="S185" s="181"/>
      <c r="T185" s="168"/>
      <c r="U185" s="148"/>
      <c r="V185" s="5"/>
      <c r="W185" s="5"/>
      <c r="X185" s="5"/>
      <c r="Y185" s="6"/>
      <c r="Z185" s="148"/>
      <c r="AA185" s="148"/>
    </row>
    <row r="186" spans="19:27" ht="15.6">
      <c r="S186" s="181" t="s">
        <v>344</v>
      </c>
      <c r="T186" s="21"/>
      <c r="U186" s="5"/>
      <c r="V186" s="5"/>
      <c r="W186" s="5"/>
      <c r="X186" s="5"/>
      <c r="Y186" s="6"/>
      <c r="Z186" s="148"/>
      <c r="AA186" s="148"/>
    </row>
    <row r="187" spans="19:27" ht="15.6">
      <c r="S187" s="88" t="s">
        <v>424</v>
      </c>
      <c r="T187" s="94" t="s">
        <v>135</v>
      </c>
      <c r="U187" s="94" t="s">
        <v>559</v>
      </c>
      <c r="V187" s="5"/>
      <c r="W187" s="5"/>
      <c r="X187" s="5"/>
      <c r="Y187" s="6"/>
      <c r="Z187" s="148"/>
      <c r="AA187" s="148"/>
    </row>
    <row r="188" spans="19:27" ht="15.6">
      <c r="S188" s="88" t="s">
        <v>424</v>
      </c>
      <c r="T188" s="94" t="s">
        <v>135</v>
      </c>
      <c r="U188" s="9">
        <f>Database!$I$21*1000*-1</f>
        <v>-25700</v>
      </c>
      <c r="V188" s="5" t="s">
        <v>279</v>
      </c>
      <c r="W188" s="5"/>
      <c r="X188" s="5"/>
      <c r="Y188" s="6"/>
      <c r="Z188" s="148"/>
      <c r="AA188" s="148"/>
    </row>
    <row r="189" spans="19:27" ht="15.6">
      <c r="S189" s="181"/>
      <c r="T189" s="21"/>
      <c r="U189" s="5"/>
      <c r="V189" s="5"/>
      <c r="W189" s="5"/>
      <c r="X189" s="5"/>
      <c r="Y189" s="6"/>
      <c r="Z189" s="148"/>
      <c r="AA189" s="148"/>
    </row>
    <row r="190" spans="19:27" ht="15.6">
      <c r="S190" s="181" t="s">
        <v>589</v>
      </c>
      <c r="T190" s="153"/>
      <c r="U190" s="5"/>
      <c r="V190" s="5"/>
      <c r="W190" s="5"/>
      <c r="X190" s="5"/>
      <c r="Y190" s="6"/>
      <c r="Z190" s="148"/>
      <c r="AA190" s="148"/>
    </row>
    <row r="191" spans="19:27" ht="47.4" customHeight="1">
      <c r="S191" s="88" t="s">
        <v>423</v>
      </c>
      <c r="T191" s="94" t="s">
        <v>135</v>
      </c>
      <c r="U191" s="5"/>
      <c r="V191" s="5"/>
      <c r="W191" s="5"/>
      <c r="X191" s="5"/>
      <c r="Y191" s="6"/>
      <c r="Z191" s="148"/>
      <c r="AA191" s="148"/>
    </row>
    <row r="192" spans="19:27" ht="15.6">
      <c r="S192" s="88" t="s">
        <v>423</v>
      </c>
      <c r="T192" s="94" t="s">
        <v>135</v>
      </c>
      <c r="U192" s="129">
        <f>Database!$C$44*(($O$59+273.15)-(Database!$H$11))+((Database!$D$44*(($O$59+273.15)^2-(Database!$H$11)^2))/2)+((Database!$E$44*(($O$59+273.15)^3-(Database!$H$11)^3))/3)+((Database!$F$44*(($O$59+273.15)^4-(Database!$H$11)^4))/4)</f>
        <v>-411.661678124388</v>
      </c>
      <c r="V192" s="5" t="s">
        <v>279</v>
      </c>
      <c r="W192" s="5"/>
      <c r="X192" s="5"/>
      <c r="Y192" s="6"/>
      <c r="Z192" s="148"/>
      <c r="AA192" s="148"/>
    </row>
    <row r="193" spans="19:27" ht="15.6">
      <c r="S193" s="181"/>
      <c r="T193" s="153"/>
      <c r="U193" s="5"/>
      <c r="V193" s="5"/>
      <c r="W193" s="5"/>
      <c r="X193" s="5"/>
      <c r="Y193" s="6"/>
      <c r="Z193" s="148"/>
      <c r="AA193" s="148"/>
    </row>
    <row r="194" spans="19:27" ht="15.6">
      <c r="S194" s="88" t="s">
        <v>290</v>
      </c>
      <c r="T194" s="94" t="s">
        <v>135</v>
      </c>
      <c r="U194" s="9" t="s">
        <v>422</v>
      </c>
      <c r="V194" s="117" t="s">
        <v>284</v>
      </c>
      <c r="W194" s="9" t="s">
        <v>424</v>
      </c>
      <c r="X194" s="117" t="s">
        <v>284</v>
      </c>
      <c r="Y194" s="121" t="s">
        <v>423</v>
      </c>
      <c r="Z194" s="148"/>
      <c r="AA194" s="148"/>
    </row>
    <row r="195" spans="19:27" ht="15.6">
      <c r="S195" s="135" t="s">
        <v>290</v>
      </c>
      <c r="T195" s="182" t="s">
        <v>135</v>
      </c>
      <c r="U195" s="119">
        <f>U192+U188+U184</f>
        <v>-26807.147882190926</v>
      </c>
      <c r="V195" s="11" t="s">
        <v>279</v>
      </c>
      <c r="W195" s="11"/>
      <c r="X195" s="11"/>
      <c r="Y195" s="12"/>
      <c r="Z195" s="148"/>
      <c r="AA195" s="148"/>
    </row>
    <row r="196" spans="19:27" ht="15.75" customHeight="1">
      <c r="S196" s="148"/>
      <c r="T196" s="148"/>
      <c r="U196" s="148"/>
      <c r="V196" s="148"/>
      <c r="W196" s="148"/>
      <c r="X196" s="148"/>
      <c r="Y196" s="148"/>
      <c r="Z196" s="148"/>
      <c r="AA196" s="148"/>
    </row>
    <row r="197" spans="19:27" ht="15.6">
      <c r="S197" s="1"/>
      <c r="T197" s="2"/>
      <c r="U197" s="91" t="s">
        <v>292</v>
      </c>
      <c r="V197" s="2"/>
      <c r="W197" s="2"/>
      <c r="X197" s="2"/>
      <c r="Y197" s="3"/>
      <c r="Z197" s="148"/>
      <c r="AA197" s="148"/>
    </row>
    <row r="198" spans="19:27" ht="15.6">
      <c r="S198" s="116" t="s">
        <v>346</v>
      </c>
      <c r="T198" s="5"/>
      <c r="U198" s="5"/>
      <c r="V198" s="5"/>
      <c r="W198" s="109" t="s">
        <v>471</v>
      </c>
      <c r="X198" s="5"/>
      <c r="Y198" s="6"/>
      <c r="Z198" s="148"/>
      <c r="AA198" s="148"/>
    </row>
    <row r="199" spans="19:27" ht="15.6">
      <c r="S199" s="156" t="s">
        <v>339</v>
      </c>
      <c r="T199" s="5"/>
      <c r="U199" s="5"/>
      <c r="V199" s="5"/>
      <c r="W199" s="64" t="s">
        <v>340</v>
      </c>
      <c r="X199" s="5"/>
      <c r="Y199" s="6"/>
      <c r="Z199" s="148"/>
      <c r="AA199" s="148"/>
    </row>
    <row r="200" spans="19:27" ht="15.6">
      <c r="S200" s="172"/>
      <c r="T200" s="5"/>
      <c r="U200" s="5"/>
      <c r="V200" s="5"/>
      <c r="W200" s="148"/>
      <c r="X200" s="5"/>
      <c r="Y200" s="6"/>
      <c r="Z200" s="148"/>
      <c r="AA200" s="148"/>
    </row>
    <row r="201" spans="19:27" ht="15.6">
      <c r="S201" s="4"/>
      <c r="T201" s="9" t="s">
        <v>350</v>
      </c>
      <c r="U201" s="9" t="s">
        <v>343</v>
      </c>
      <c r="V201" s="9" t="s">
        <v>351</v>
      </c>
      <c r="W201" s="5"/>
      <c r="X201" s="5"/>
      <c r="Y201" s="6"/>
      <c r="Z201" s="148"/>
      <c r="AA201" s="148"/>
    </row>
    <row r="202" spans="19:27" ht="15.6">
      <c r="S202" s="4"/>
      <c r="T202" s="5"/>
      <c r="U202" s="148"/>
      <c r="V202" s="5"/>
      <c r="W202" s="5"/>
      <c r="X202" s="5"/>
      <c r="Y202" s="6"/>
      <c r="Z202" s="148"/>
      <c r="AA202" s="148"/>
    </row>
    <row r="203" spans="19:27" ht="15.6">
      <c r="S203" s="4" t="s">
        <v>578</v>
      </c>
      <c r="T203" s="9"/>
      <c r="U203" s="5"/>
      <c r="V203" s="148"/>
      <c r="W203" s="5"/>
      <c r="X203" s="5"/>
      <c r="Y203" s="6"/>
      <c r="Z203" s="148"/>
      <c r="AA203" s="148"/>
    </row>
    <row r="204" spans="19:27" ht="49.2" customHeight="1">
      <c r="S204" s="88" t="s">
        <v>339</v>
      </c>
      <c r="T204" s="94" t="s">
        <v>135</v>
      </c>
      <c r="U204" s="377"/>
      <c r="V204" s="377"/>
      <c r="W204" s="377"/>
      <c r="X204" s="377"/>
      <c r="Y204" s="465"/>
      <c r="Z204" s="148"/>
      <c r="AA204" s="148"/>
    </row>
    <row r="205" spans="19:27" ht="15.6">
      <c r="S205" s="88" t="s">
        <v>339</v>
      </c>
      <c r="T205" s="94" t="s">
        <v>135</v>
      </c>
      <c r="U205" s="96">
        <f>(Database!$C$33*((Database!$H$12)-($V$55+273.15)))+(((Database!$D$33)*((Database!$H$12)^2-($V$55+273.15)^2))/2)+((Database!$E$33*((Database!$H$12)^3-($V$55+273.15)^3))/3)+((Database!$F$33*((Database!$H$12)^4-($V$55+273.15)^4))/4)+((Database!$G$33)*((Database!$H$12)^(5)-($V$55+273.15)^5))/5</f>
        <v>14587.315366913117</v>
      </c>
      <c r="V205" s="148"/>
      <c r="W205" s="5"/>
      <c r="X205" s="5"/>
      <c r="Y205" s="6"/>
      <c r="Z205" s="148"/>
      <c r="AA205" s="148"/>
    </row>
    <row r="206" spans="19:27" ht="15.6">
      <c r="S206" s="181"/>
      <c r="T206" s="168"/>
      <c r="U206" s="148"/>
      <c r="V206" s="5"/>
      <c r="W206" s="5"/>
      <c r="X206" s="5"/>
      <c r="Y206" s="6"/>
      <c r="Z206" s="148"/>
      <c r="AA206" s="148"/>
    </row>
    <row r="207" spans="19:27" ht="15.6">
      <c r="S207" s="181" t="s">
        <v>353</v>
      </c>
      <c r="T207" s="21"/>
      <c r="U207" s="5"/>
      <c r="V207" s="5"/>
      <c r="W207" s="5"/>
      <c r="X207" s="5"/>
      <c r="Y207" s="6"/>
      <c r="Z207" s="148"/>
      <c r="AA207" s="148"/>
    </row>
    <row r="208" spans="19:27" ht="15.6">
      <c r="S208" s="88" t="s">
        <v>343</v>
      </c>
      <c r="T208" s="94" t="s">
        <v>135</v>
      </c>
      <c r="U208" s="94" t="s">
        <v>560</v>
      </c>
      <c r="V208" s="5"/>
      <c r="W208" s="5"/>
      <c r="X208" s="5"/>
      <c r="Y208" s="6"/>
      <c r="Z208" s="148"/>
      <c r="AA208" s="148"/>
    </row>
    <row r="209" spans="19:27" ht="15.6">
      <c r="S209" s="88" t="s">
        <v>343</v>
      </c>
      <c r="T209" s="94" t="s">
        <v>135</v>
      </c>
      <c r="U209" s="9">
        <f>Database!$I$22*1000*-1</f>
        <v>-51530</v>
      </c>
      <c r="V209" s="5" t="s">
        <v>279</v>
      </c>
      <c r="W209" s="5"/>
      <c r="X209" s="5"/>
      <c r="Y209" s="6"/>
      <c r="Z209" s="148"/>
      <c r="AA209" s="148"/>
    </row>
    <row r="210" spans="19:27" ht="15.6">
      <c r="S210" s="181"/>
      <c r="T210" s="21"/>
      <c r="U210" s="5"/>
      <c r="V210" s="5"/>
      <c r="W210" s="5"/>
      <c r="X210" s="5"/>
      <c r="Y210" s="6"/>
      <c r="Z210" s="148"/>
      <c r="AA210" s="148"/>
    </row>
    <row r="211" spans="19:27" ht="15.6">
      <c r="S211" s="181" t="s">
        <v>589</v>
      </c>
      <c r="T211" s="153"/>
      <c r="U211" s="5"/>
      <c r="V211" s="5"/>
      <c r="W211" s="5"/>
      <c r="X211" s="5"/>
      <c r="Y211" s="6"/>
      <c r="Z211" s="148"/>
      <c r="AA211" s="148"/>
    </row>
    <row r="212" spans="19:27" ht="48" customHeight="1">
      <c r="S212" s="88" t="s">
        <v>340</v>
      </c>
      <c r="T212" s="94" t="s">
        <v>135</v>
      </c>
      <c r="U212" s="377"/>
      <c r="V212" s="377"/>
      <c r="W212" s="377"/>
      <c r="X212" s="377"/>
      <c r="Y212" s="465"/>
      <c r="Z212" s="148"/>
      <c r="AA212" s="148"/>
    </row>
    <row r="213" spans="19:27" ht="15.6">
      <c r="S213" s="88" t="s">
        <v>340</v>
      </c>
      <c r="T213" s="94" t="s">
        <v>135</v>
      </c>
      <c r="U213" s="129">
        <f>Database!$C$45*(($O$59+273.15)-(Database!$H$12))+((Database!$D$45*(($O$59+273.15)^2-(Database!$H$12)^2))/2)+((Database!$E$45*(($O$59+273.15)^3-(Database!$H$12)^3))/3)+((Database!$F$45*(($O$59+273.15)^4-(Database!$H$12)^4))/4)</f>
        <v>-33788.612870734447</v>
      </c>
      <c r="V213" s="5" t="s">
        <v>279</v>
      </c>
      <c r="W213" s="5"/>
      <c r="X213" s="5"/>
      <c r="Y213" s="6"/>
      <c r="Z213" s="148"/>
      <c r="AA213" s="148"/>
    </row>
    <row r="214" spans="19:27" ht="15.6">
      <c r="S214" s="181"/>
      <c r="T214" s="153"/>
      <c r="U214" s="5"/>
      <c r="V214" s="5"/>
      <c r="W214" s="5"/>
      <c r="X214" s="5"/>
      <c r="Y214" s="6"/>
      <c r="Z214" s="148"/>
      <c r="AA214" s="148"/>
    </row>
    <row r="215" spans="19:27" ht="15.6">
      <c r="S215" s="88" t="s">
        <v>292</v>
      </c>
      <c r="T215" s="94" t="s">
        <v>135</v>
      </c>
      <c r="U215" s="9" t="s">
        <v>339</v>
      </c>
      <c r="V215" s="117" t="s">
        <v>284</v>
      </c>
      <c r="W215" s="9" t="s">
        <v>343</v>
      </c>
      <c r="X215" s="117" t="s">
        <v>284</v>
      </c>
      <c r="Y215" s="121" t="s">
        <v>340</v>
      </c>
      <c r="Z215" s="148"/>
      <c r="AA215" s="148"/>
    </row>
    <row r="216" spans="19:27" ht="15.6">
      <c r="S216" s="135" t="s">
        <v>292</v>
      </c>
      <c r="T216" s="182" t="s">
        <v>135</v>
      </c>
      <c r="U216" s="119">
        <f>U213+U209+U205</f>
        <v>-70731.297503821334</v>
      </c>
      <c r="V216" s="11" t="s">
        <v>279</v>
      </c>
      <c r="W216" s="11"/>
      <c r="X216" s="11"/>
      <c r="Y216" s="12"/>
      <c r="Z216" s="148"/>
      <c r="AA216" s="148"/>
    </row>
    <row r="217" spans="19:27" ht="15.75" customHeight="1">
      <c r="S217" s="148"/>
      <c r="T217" s="148"/>
      <c r="U217" s="148"/>
      <c r="V217" s="148"/>
      <c r="W217" s="148"/>
      <c r="X217" s="148"/>
      <c r="Y217" s="148"/>
      <c r="Z217" s="148"/>
      <c r="AA217" s="148"/>
    </row>
    <row r="218" spans="19:27" ht="15.6">
      <c r="S218" s="1"/>
      <c r="T218" s="2"/>
      <c r="U218" s="91" t="s">
        <v>345</v>
      </c>
      <c r="V218" s="2"/>
      <c r="W218" s="2"/>
      <c r="X218" s="2"/>
      <c r="Y218" s="3"/>
      <c r="Z218" s="148"/>
      <c r="AA218" s="148"/>
    </row>
    <row r="219" spans="19:27" ht="15.6">
      <c r="S219" s="116" t="s">
        <v>355</v>
      </c>
      <c r="T219" s="5"/>
      <c r="U219" s="5"/>
      <c r="V219" s="5"/>
      <c r="W219" s="109" t="s">
        <v>472</v>
      </c>
      <c r="X219" s="5"/>
      <c r="Y219" s="6"/>
      <c r="Z219" s="148"/>
      <c r="AA219" s="148"/>
    </row>
    <row r="220" spans="19:27" ht="15.6">
      <c r="S220" s="156" t="s">
        <v>348</v>
      </c>
      <c r="T220" s="5"/>
      <c r="U220" s="5"/>
      <c r="V220" s="5"/>
      <c r="W220" s="64" t="s">
        <v>349</v>
      </c>
      <c r="X220" s="5"/>
      <c r="Y220" s="6"/>
      <c r="Z220" s="148"/>
      <c r="AA220" s="148"/>
    </row>
    <row r="221" spans="19:27" ht="15.6">
      <c r="S221" s="172"/>
      <c r="T221" s="5"/>
      <c r="U221" s="5"/>
      <c r="V221" s="5"/>
      <c r="W221" s="148"/>
      <c r="X221" s="5"/>
      <c r="Y221" s="6"/>
      <c r="Z221" s="148"/>
      <c r="AA221" s="148"/>
    </row>
    <row r="222" spans="19:27" ht="15.6">
      <c r="S222" s="4"/>
      <c r="T222" s="9" t="s">
        <v>359</v>
      </c>
      <c r="U222" s="9" t="s">
        <v>352</v>
      </c>
      <c r="V222" s="9" t="s">
        <v>360</v>
      </c>
      <c r="W222" s="5"/>
      <c r="X222" s="5"/>
      <c r="Y222" s="6"/>
      <c r="Z222" s="148"/>
      <c r="AA222" s="148"/>
    </row>
    <row r="223" spans="19:27" ht="15.6">
      <c r="S223" s="4"/>
      <c r="T223" s="5"/>
      <c r="U223" s="148"/>
      <c r="V223" s="5"/>
      <c r="W223" s="5"/>
      <c r="X223" s="5"/>
      <c r="Y223" s="6"/>
      <c r="Z223" s="148"/>
      <c r="AA223" s="148"/>
    </row>
    <row r="224" spans="19:27" ht="15.6">
      <c r="S224" s="4" t="s">
        <v>579</v>
      </c>
      <c r="T224" s="9"/>
      <c r="U224" s="5"/>
      <c r="V224" s="148"/>
      <c r="W224" s="5"/>
      <c r="X224" s="5"/>
      <c r="Y224" s="6"/>
      <c r="Z224" s="148"/>
      <c r="AA224" s="148"/>
    </row>
    <row r="225" spans="19:27" ht="46.2" customHeight="1">
      <c r="S225" s="88" t="s">
        <v>348</v>
      </c>
      <c r="T225" s="94" t="s">
        <v>135</v>
      </c>
      <c r="U225" s="377"/>
      <c r="V225" s="377"/>
      <c r="W225" s="377"/>
      <c r="X225" s="377"/>
      <c r="Y225" s="465"/>
      <c r="Z225" s="148"/>
      <c r="AA225" s="148"/>
    </row>
    <row r="226" spans="19:27" ht="15.6">
      <c r="S226" s="116" t="s">
        <v>348</v>
      </c>
      <c r="T226" s="117" t="s">
        <v>135</v>
      </c>
      <c r="U226" s="96">
        <f>(Database!$C$34*((Database!$H$13)-($V$55+273.15)))+(((Database!$D$34)*((Database!$H$13)^2-($V$55+273.15)^2))/2)+((Database!$E$34*((Database!$H$13)^3-($V$55+273.15)^3))/3)+((Database!$F$34*((Database!$H$13)^4-($V$55+273.15)^4))/4)+((Database!$G$34)*((Database!$H$13)^(5)-($V$55+273.15)^5))/5</f>
        <v>44168.085339864891</v>
      </c>
      <c r="V226" s="148"/>
      <c r="W226" s="5"/>
      <c r="X226" s="5"/>
      <c r="Y226" s="6"/>
      <c r="Z226" s="148"/>
      <c r="AA226" s="148"/>
    </row>
    <row r="227" spans="19:27" ht="15.6">
      <c r="S227" s="4"/>
      <c r="T227" s="148"/>
      <c r="U227" s="148"/>
      <c r="V227" s="5"/>
      <c r="W227" s="5"/>
      <c r="X227" s="5"/>
      <c r="Y227" s="6"/>
      <c r="Z227" s="148"/>
      <c r="AA227" s="148"/>
    </row>
    <row r="228" spans="19:27" ht="15.6">
      <c r="S228" s="4" t="s">
        <v>362</v>
      </c>
      <c r="T228" s="9"/>
      <c r="U228" s="5"/>
      <c r="V228" s="5"/>
      <c r="W228" s="5"/>
      <c r="X228" s="5"/>
      <c r="Y228" s="6"/>
      <c r="Z228" s="148"/>
      <c r="AA228" s="148"/>
    </row>
    <row r="229" spans="19:27" ht="15.6">
      <c r="S229" s="116" t="s">
        <v>352</v>
      </c>
      <c r="T229" s="117" t="s">
        <v>135</v>
      </c>
      <c r="U229" s="94" t="s">
        <v>553</v>
      </c>
      <c r="V229" s="5"/>
      <c r="W229" s="5"/>
      <c r="X229" s="5"/>
      <c r="Y229" s="6"/>
      <c r="Z229" s="148"/>
      <c r="AA229" s="148"/>
    </row>
    <row r="230" spans="19:27" ht="15.6">
      <c r="S230" s="116" t="s">
        <v>352</v>
      </c>
      <c r="T230" s="117" t="s">
        <v>135</v>
      </c>
      <c r="U230" s="9">
        <f>Database!$I$23*1000*-1</f>
        <v>-64459.999999999993</v>
      </c>
      <c r="V230" s="5" t="s">
        <v>279</v>
      </c>
      <c r="W230" s="5"/>
      <c r="X230" s="5"/>
      <c r="Y230" s="6"/>
      <c r="Z230" s="148"/>
      <c r="AA230" s="148"/>
    </row>
    <row r="231" spans="19:27" ht="15.6">
      <c r="S231" s="4"/>
      <c r="T231" s="9"/>
      <c r="U231" s="5"/>
      <c r="V231" s="5"/>
      <c r="W231" s="5"/>
      <c r="X231" s="5"/>
      <c r="Y231" s="6"/>
      <c r="Z231" s="148"/>
      <c r="AA231" s="148"/>
    </row>
    <row r="232" spans="19:27" ht="15.6">
      <c r="S232" s="4" t="s">
        <v>589</v>
      </c>
      <c r="T232" s="5"/>
      <c r="U232" s="5"/>
      <c r="V232" s="5"/>
      <c r="W232" s="5"/>
      <c r="X232" s="5"/>
      <c r="Y232" s="6"/>
      <c r="Z232" s="148"/>
      <c r="AA232" s="148"/>
    </row>
    <row r="233" spans="19:27" ht="49.8" customHeight="1">
      <c r="S233" s="88" t="s">
        <v>349</v>
      </c>
      <c r="T233" s="94" t="s">
        <v>135</v>
      </c>
      <c r="U233" s="377"/>
      <c r="V233" s="377"/>
      <c r="W233" s="377"/>
      <c r="X233" s="377"/>
      <c r="Y233" s="465"/>
      <c r="Z233" s="148"/>
      <c r="AA233" s="148"/>
    </row>
    <row r="234" spans="19:27" ht="15.6">
      <c r="S234" s="116" t="s">
        <v>349</v>
      </c>
      <c r="T234" s="117" t="s">
        <v>135</v>
      </c>
      <c r="U234" s="129">
        <f>Database!$C$46*(($O$59+273.15)-(Database!$H$13))+((Database!$D$46*(($O$59+273.15)^2-(Database!$H$13)^2))/2)+((Database!$E$46*(($O$59+273.15)^3-(Database!$H$13)^3))/3)+((Database!$F$46*(($O$59+273.15)^4-(Database!$H$13)^4))/4)</f>
        <v>-68158.77530188841</v>
      </c>
      <c r="V234" s="5" t="s">
        <v>279</v>
      </c>
      <c r="W234" s="5"/>
      <c r="X234" s="5"/>
      <c r="Y234" s="6"/>
      <c r="Z234" s="148"/>
      <c r="AA234" s="148"/>
    </row>
    <row r="235" spans="19:27" ht="15.6">
      <c r="S235" s="4"/>
      <c r="T235" s="5"/>
      <c r="U235" s="5"/>
      <c r="V235" s="5"/>
      <c r="W235" s="5"/>
      <c r="X235" s="5"/>
      <c r="Y235" s="6"/>
      <c r="Z235" s="148"/>
      <c r="AA235" s="148"/>
    </row>
    <row r="236" spans="19:27" ht="15.6">
      <c r="S236" s="116" t="s">
        <v>345</v>
      </c>
      <c r="T236" s="117" t="s">
        <v>135</v>
      </c>
      <c r="U236" s="9" t="s">
        <v>348</v>
      </c>
      <c r="V236" s="117" t="s">
        <v>284</v>
      </c>
      <c r="W236" s="9" t="s">
        <v>352</v>
      </c>
      <c r="X236" s="117" t="s">
        <v>284</v>
      </c>
      <c r="Y236" s="121" t="s">
        <v>349</v>
      </c>
      <c r="Z236" s="148"/>
      <c r="AA236" s="148"/>
    </row>
    <row r="237" spans="19:27" ht="15.6">
      <c r="S237" s="85" t="s">
        <v>345</v>
      </c>
      <c r="T237" s="118" t="s">
        <v>135</v>
      </c>
      <c r="U237" s="119">
        <f>U234+U230+U226</f>
        <v>-88450.68996202352</v>
      </c>
      <c r="V237" s="11" t="s">
        <v>279</v>
      </c>
      <c r="W237" s="11"/>
      <c r="X237" s="11"/>
      <c r="Y237" s="12"/>
      <c r="Z237" s="148"/>
      <c r="AA237" s="148"/>
    </row>
    <row r="238" spans="19:27" ht="15.75" customHeight="1">
      <c r="S238" s="148"/>
      <c r="T238" s="148"/>
      <c r="U238" s="148"/>
      <c r="V238" s="148"/>
      <c r="W238" s="148"/>
      <c r="X238" s="148"/>
      <c r="Y238" s="148"/>
      <c r="Z238" s="148"/>
      <c r="AA238" s="148"/>
    </row>
    <row r="239" spans="19:27" ht="15.6">
      <c r="S239" s="1"/>
      <c r="T239" s="2"/>
      <c r="U239" s="91" t="s">
        <v>354</v>
      </c>
      <c r="V239" s="2"/>
      <c r="W239" s="2"/>
      <c r="X239" s="2"/>
      <c r="Y239" s="3"/>
      <c r="Z239" s="148"/>
      <c r="AA239" s="148"/>
    </row>
    <row r="240" spans="19:27" ht="15.6">
      <c r="S240" s="116" t="s">
        <v>490</v>
      </c>
      <c r="T240" s="5"/>
      <c r="U240" s="5"/>
      <c r="V240" s="5"/>
      <c r="W240" s="9" t="s">
        <v>491</v>
      </c>
      <c r="X240" s="5"/>
      <c r="Y240" s="6"/>
      <c r="Z240" s="148"/>
      <c r="AA240" s="148"/>
    </row>
    <row r="241" spans="19:27" ht="15.6">
      <c r="S241" s="156" t="s">
        <v>357</v>
      </c>
      <c r="T241" s="5"/>
      <c r="U241" s="5"/>
      <c r="V241" s="5"/>
      <c r="W241" s="64" t="s">
        <v>358</v>
      </c>
      <c r="X241" s="5"/>
      <c r="Y241" s="6"/>
      <c r="Z241" s="148"/>
      <c r="AA241" s="148"/>
    </row>
    <row r="242" spans="19:27" ht="15.6">
      <c r="S242" s="172"/>
      <c r="T242" s="5"/>
      <c r="U242" s="5"/>
      <c r="V242" s="5"/>
      <c r="W242" s="148"/>
      <c r="X242" s="5"/>
      <c r="Y242" s="6"/>
      <c r="Z242" s="148"/>
      <c r="AA242" s="148"/>
    </row>
    <row r="243" spans="19:27" ht="15.6">
      <c r="S243" s="4"/>
      <c r="T243" s="9" t="s">
        <v>492</v>
      </c>
      <c r="U243" s="9" t="s">
        <v>361</v>
      </c>
      <c r="V243" s="9" t="s">
        <v>493</v>
      </c>
      <c r="W243" s="5"/>
      <c r="X243" s="5"/>
      <c r="Y243" s="6"/>
      <c r="Z243" s="148"/>
      <c r="AA243" s="148"/>
    </row>
    <row r="244" spans="19:27" ht="15.6">
      <c r="S244" s="4"/>
      <c r="T244" s="5"/>
      <c r="U244" s="148"/>
      <c r="V244" s="5"/>
      <c r="W244" s="5"/>
      <c r="X244" s="5"/>
      <c r="Y244" s="6"/>
      <c r="Z244" s="148"/>
      <c r="AA244" s="148"/>
    </row>
    <row r="245" spans="19:27" ht="15.6">
      <c r="S245" s="4" t="s">
        <v>590</v>
      </c>
      <c r="T245" s="9"/>
      <c r="U245" s="5"/>
      <c r="V245" s="148"/>
      <c r="W245" s="5"/>
      <c r="X245" s="5"/>
      <c r="Y245" s="6"/>
      <c r="Z245" s="148"/>
      <c r="AA245" s="148"/>
    </row>
    <row r="246" spans="19:27" ht="47.4" customHeight="1">
      <c r="S246" s="88" t="s">
        <v>357</v>
      </c>
      <c r="T246" s="94" t="s">
        <v>135</v>
      </c>
      <c r="U246" s="377"/>
      <c r="V246" s="377"/>
      <c r="W246" s="377"/>
      <c r="X246" s="377"/>
      <c r="Y246" s="465"/>
      <c r="Z246" s="148"/>
      <c r="AA246" s="148"/>
    </row>
    <row r="247" spans="19:27" ht="15.6">
      <c r="S247" s="88" t="s">
        <v>357</v>
      </c>
      <c r="T247" s="94" t="s">
        <v>135</v>
      </c>
      <c r="U247" s="96">
        <f>(Database!$C$36*((Database!$H$15)-($V$55+273.15)))+(((Database!$D$36)*((Database!$H$15)^2-($V$55+273.15)^2))/2)+((Database!$E$36*((Database!$H$15)^3-($V$55+273.15)^3))/3)+((Database!$F$36*((Database!$H$15)^4-($V$55+273.15)^4))/4)+((Database!$G$36)*((Database!$H$15)^(5)-($V$55+273.15)^5))/5</f>
        <v>19072.824354840286</v>
      </c>
      <c r="V247" s="148"/>
      <c r="W247" s="5"/>
      <c r="X247" s="5"/>
      <c r="Y247" s="6"/>
      <c r="Z247" s="148"/>
      <c r="AA247" s="148"/>
    </row>
    <row r="248" spans="19:27" ht="15.6">
      <c r="S248" s="181"/>
      <c r="T248" s="168"/>
      <c r="U248" s="148"/>
      <c r="V248" s="5"/>
      <c r="W248" s="5"/>
      <c r="X248" s="5"/>
      <c r="Y248" s="6"/>
      <c r="Z248" s="148"/>
      <c r="AA248" s="148"/>
    </row>
    <row r="249" spans="19:27" ht="15.6">
      <c r="S249" s="181" t="s">
        <v>513</v>
      </c>
      <c r="T249" s="21"/>
      <c r="U249" s="5"/>
      <c r="V249" s="5"/>
      <c r="W249" s="5"/>
      <c r="X249" s="5"/>
      <c r="Y249" s="6"/>
      <c r="Z249" s="148"/>
      <c r="AA249" s="148"/>
    </row>
    <row r="250" spans="19:27" ht="15.6">
      <c r="S250" s="88" t="s">
        <v>361</v>
      </c>
      <c r="T250" s="94" t="s">
        <v>135</v>
      </c>
      <c r="U250" s="94" t="s">
        <v>558</v>
      </c>
      <c r="V250" s="5"/>
      <c r="W250" s="5"/>
      <c r="X250" s="5"/>
      <c r="Y250" s="6"/>
      <c r="Z250" s="148"/>
      <c r="AA250" s="148"/>
    </row>
    <row r="251" spans="19:27" ht="15.6">
      <c r="S251" s="88" t="s">
        <v>361</v>
      </c>
      <c r="T251" s="94" t="s">
        <v>135</v>
      </c>
      <c r="U251" s="9">
        <f>Database!$I$25*1000*-1</f>
        <v>-56900</v>
      </c>
      <c r="V251" s="5" t="s">
        <v>279</v>
      </c>
      <c r="W251" s="5"/>
      <c r="X251" s="5"/>
      <c r="Y251" s="6"/>
      <c r="Z251" s="148"/>
      <c r="AA251" s="148"/>
    </row>
    <row r="252" spans="19:27" ht="15.6">
      <c r="S252" s="181"/>
      <c r="T252" s="21"/>
      <c r="U252" s="5"/>
      <c r="V252" s="5"/>
      <c r="W252" s="5"/>
      <c r="X252" s="5"/>
      <c r="Y252" s="6"/>
      <c r="Z252" s="148"/>
      <c r="AA252" s="148"/>
    </row>
    <row r="253" spans="19:27" ht="15.6">
      <c r="S253" s="181" t="s">
        <v>589</v>
      </c>
      <c r="T253" s="153"/>
      <c r="U253" s="5"/>
      <c r="V253" s="5"/>
      <c r="W253" s="5"/>
      <c r="X253" s="5"/>
      <c r="Y253" s="6"/>
      <c r="Z253" s="148"/>
      <c r="AA253" s="148"/>
    </row>
    <row r="254" spans="19:27" ht="48.6" customHeight="1">
      <c r="S254" s="88" t="s">
        <v>358</v>
      </c>
      <c r="T254" s="94" t="s">
        <v>135</v>
      </c>
      <c r="U254" s="377"/>
      <c r="V254" s="377"/>
      <c r="W254" s="377"/>
      <c r="X254" s="377"/>
      <c r="Y254" s="465"/>
      <c r="Z254" s="148"/>
      <c r="AA254" s="148"/>
    </row>
    <row r="255" spans="19:27" ht="15.6">
      <c r="S255" s="88" t="s">
        <v>358</v>
      </c>
      <c r="T255" s="94" t="s">
        <v>135</v>
      </c>
      <c r="U255" s="129">
        <f>Database!$C$48*(($O$59+273.15)-(Database!$H$15))+((Database!$D$48*(($O$59+273.15)^2-(Database!$H$15)^2))/2)+((Database!$E$48*(($O$59+273.15)^3-(Database!$H$15)^3))/3)+((Database!$F$48*(($O$59+273.15)^4-(Database!$H$15)^4))/4)</f>
        <v>-33400.811304313756</v>
      </c>
      <c r="V255" s="5" t="s">
        <v>279</v>
      </c>
      <c r="W255" s="5"/>
      <c r="X255" s="5"/>
      <c r="Y255" s="6"/>
      <c r="Z255" s="148"/>
      <c r="AA255" s="148"/>
    </row>
    <row r="256" spans="19:27" ht="15.6">
      <c r="S256" s="181"/>
      <c r="T256" s="153"/>
      <c r="U256" s="5"/>
      <c r="V256" s="5"/>
      <c r="W256" s="5"/>
      <c r="X256" s="5"/>
      <c r="Y256" s="6"/>
      <c r="Z256" s="148"/>
      <c r="AA256" s="148"/>
    </row>
    <row r="257" spans="19:27" ht="15.6">
      <c r="S257" s="88" t="s">
        <v>354</v>
      </c>
      <c r="T257" s="94" t="s">
        <v>135</v>
      </c>
      <c r="U257" s="9" t="s">
        <v>357</v>
      </c>
      <c r="V257" s="117" t="s">
        <v>284</v>
      </c>
      <c r="W257" s="9" t="s">
        <v>361</v>
      </c>
      <c r="X257" s="117" t="s">
        <v>284</v>
      </c>
      <c r="Y257" s="121" t="s">
        <v>358</v>
      </c>
      <c r="Z257" s="148"/>
      <c r="AA257" s="148"/>
    </row>
    <row r="258" spans="19:27" ht="15.6">
      <c r="S258" s="135" t="s">
        <v>354</v>
      </c>
      <c r="T258" s="182" t="s">
        <v>135</v>
      </c>
      <c r="U258" s="119">
        <f>U255+U251+U247</f>
        <v>-71227.986949473474</v>
      </c>
      <c r="V258" s="11" t="s">
        <v>279</v>
      </c>
      <c r="W258" s="11"/>
      <c r="X258" s="11"/>
      <c r="Y258" s="12"/>
      <c r="Z258" s="148"/>
      <c r="AA258" s="148"/>
    </row>
    <row r="259" spans="19:27" ht="15.75" customHeight="1">
      <c r="S259" s="148"/>
      <c r="T259" s="148"/>
      <c r="U259" s="148"/>
      <c r="V259" s="148"/>
      <c r="W259" s="148"/>
      <c r="X259" s="148"/>
      <c r="Y259" s="148"/>
      <c r="Z259" s="148"/>
      <c r="AA259" s="148"/>
    </row>
    <row r="260" spans="19:27" ht="15.75" customHeight="1">
      <c r="S260" s="148"/>
      <c r="T260" s="148"/>
      <c r="U260" s="148"/>
      <c r="V260" s="148"/>
      <c r="W260" s="148"/>
      <c r="X260" s="148"/>
      <c r="Y260" s="148"/>
      <c r="Z260" s="148"/>
      <c r="AA260" s="148"/>
    </row>
  </sheetData>
  <mergeCells count="77">
    <mergeCell ref="X68:Y68"/>
    <mergeCell ref="F69:G69"/>
    <mergeCell ref="U233:Y233"/>
    <mergeCell ref="U120:Y120"/>
    <mergeCell ref="U128:Y128"/>
    <mergeCell ref="U141:Y141"/>
    <mergeCell ref="U149:Y149"/>
    <mergeCell ref="U162:Y162"/>
    <mergeCell ref="U78:Y78"/>
    <mergeCell ref="U86:Y86"/>
    <mergeCell ref="U99:Y99"/>
    <mergeCell ref="U107:Y107"/>
    <mergeCell ref="U254:Y254"/>
    <mergeCell ref="U246:Y246"/>
    <mergeCell ref="U170:Y170"/>
    <mergeCell ref="U183:Y183"/>
    <mergeCell ref="U204:Y204"/>
    <mergeCell ref="U212:Y212"/>
    <mergeCell ref="U225:Y225"/>
    <mergeCell ref="M59:N59"/>
    <mergeCell ref="M60:N60"/>
    <mergeCell ref="F68:G68"/>
    <mergeCell ref="T68:U68"/>
    <mergeCell ref="V68:W68"/>
    <mergeCell ref="M61:N61"/>
    <mergeCell ref="F65:G65"/>
    <mergeCell ref="F66:G66"/>
    <mergeCell ref="F67:G67"/>
    <mergeCell ref="Z68:AA68"/>
    <mergeCell ref="C16:D16"/>
    <mergeCell ref="W16:Y16"/>
    <mergeCell ref="C17:D17"/>
    <mergeCell ref="S17:U17"/>
    <mergeCell ref="Z56:AA56"/>
    <mergeCell ref="C36:D36"/>
    <mergeCell ref="K33:L33"/>
    <mergeCell ref="X56:Y56"/>
    <mergeCell ref="C35:D35"/>
    <mergeCell ref="K31:L31"/>
    <mergeCell ref="K32:L32"/>
    <mergeCell ref="S34:T34"/>
    <mergeCell ref="C18:E18"/>
    <mergeCell ref="C25:E25"/>
    <mergeCell ref="C32:D32"/>
    <mergeCell ref="C33:D33"/>
    <mergeCell ref="C34:D34"/>
    <mergeCell ref="S25:T25"/>
    <mergeCell ref="K22:M22"/>
    <mergeCell ref="K29:L29"/>
    <mergeCell ref="S29:T29"/>
    <mergeCell ref="K30:L30"/>
    <mergeCell ref="W13:Y13"/>
    <mergeCell ref="K14:L14"/>
    <mergeCell ref="S14:U14"/>
    <mergeCell ref="W14:Y14"/>
    <mergeCell ref="K15:M15"/>
    <mergeCell ref="W15:Y15"/>
    <mergeCell ref="K13:L13"/>
    <mergeCell ref="S13:U13"/>
    <mergeCell ref="S15:U16"/>
    <mergeCell ref="V15:V16"/>
    <mergeCell ref="S39:T39"/>
    <mergeCell ref="M41:N41"/>
    <mergeCell ref="M42:N42"/>
    <mergeCell ref="S43:T43"/>
    <mergeCell ref="F45:G45"/>
    <mergeCell ref="M43:O43"/>
    <mergeCell ref="F46:G46"/>
    <mergeCell ref="F47:H47"/>
    <mergeCell ref="V56:W56"/>
    <mergeCell ref="M57:N57"/>
    <mergeCell ref="M58:N58"/>
    <mergeCell ref="M50:O50"/>
    <mergeCell ref="F54:H54"/>
    <mergeCell ref="T55:U55"/>
    <mergeCell ref="S56:S57"/>
    <mergeCell ref="T56:U56"/>
  </mergeCells>
  <phoneticPr fontId="23" type="noConversion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N280"/>
  <sheetViews>
    <sheetView topLeftCell="A16" zoomScale="54" zoomScaleNormal="54" workbookViewId="0">
      <selection activeCell="E35" sqref="E35"/>
    </sheetView>
  </sheetViews>
  <sheetFormatPr defaultColWidth="12.6640625" defaultRowHeight="15.75" customHeight="1"/>
  <cols>
    <col min="4" max="4" width="17.33203125" customWidth="1"/>
    <col min="5" max="5" width="15.77734375" bestFit="1" customWidth="1"/>
    <col min="7" max="7" width="17.21875" customWidth="1"/>
    <col min="8" max="8" width="14.6640625" bestFit="1" customWidth="1"/>
    <col min="11" max="11" width="16.5546875" customWidth="1"/>
    <col min="12" max="12" width="15.77734375" bestFit="1" customWidth="1"/>
    <col min="14" max="14" width="13.88671875" customWidth="1"/>
    <col min="19" max="19" width="18.77734375" customWidth="1"/>
    <col min="20" max="20" width="26.88671875" customWidth="1"/>
    <col min="22" max="22" width="36.33203125" customWidth="1"/>
    <col min="23" max="23" width="26" customWidth="1"/>
    <col min="24" max="24" width="22" customWidth="1"/>
    <col min="25" max="25" width="26.33203125" customWidth="1"/>
    <col min="26" max="26" width="27.33203125" customWidth="1"/>
    <col min="27" max="28" width="21.109375" customWidth="1"/>
    <col min="29" max="29" width="13.88671875" customWidth="1"/>
  </cols>
  <sheetData>
    <row r="1" spans="1:40" ht="15.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40" ht="15.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40" ht="15.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40" ht="15.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40" ht="15.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S5" s="15" t="s">
        <v>6</v>
      </c>
      <c r="T5" s="15" t="s">
        <v>7</v>
      </c>
      <c r="V5" s="449" t="s">
        <v>432</v>
      </c>
      <c r="W5" s="391"/>
      <c r="X5" s="391"/>
      <c r="Y5" s="391"/>
      <c r="Z5" s="389"/>
      <c r="AA5" s="32"/>
    </row>
    <row r="6" spans="1:40" ht="15.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38" t="s">
        <v>87</v>
      </c>
      <c r="M6" s="5"/>
      <c r="N6" s="5"/>
      <c r="O6" s="5"/>
      <c r="P6" s="5"/>
      <c r="Q6" s="5"/>
      <c r="S6" s="19" t="s">
        <v>30</v>
      </c>
      <c r="T6" s="20">
        <f>17.031</f>
        <v>17.030999999999999</v>
      </c>
      <c r="V6" s="478" t="s">
        <v>201</v>
      </c>
      <c r="W6" s="389"/>
      <c r="X6" s="22">
        <v>5</v>
      </c>
      <c r="Y6" s="479" t="s">
        <v>495</v>
      </c>
      <c r="Z6" s="389"/>
      <c r="AA6" s="5"/>
    </row>
    <row r="7" spans="1:40" ht="15.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M7" s="5"/>
      <c r="N7" s="5"/>
      <c r="O7" s="5"/>
      <c r="P7" s="5"/>
      <c r="Q7" s="5"/>
      <c r="S7" s="19" t="s">
        <v>48</v>
      </c>
      <c r="T7" s="20">
        <v>44.052999999999997</v>
      </c>
      <c r="V7" s="478" t="s">
        <v>434</v>
      </c>
      <c r="W7" s="389"/>
      <c r="X7" s="135">
        <v>-4</v>
      </c>
      <c r="Y7" s="479" t="s">
        <v>603</v>
      </c>
      <c r="Z7" s="389"/>
      <c r="AA7" s="5"/>
    </row>
    <row r="8" spans="1:40" ht="15.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M8" s="5"/>
      <c r="N8" s="5"/>
      <c r="O8" s="5"/>
      <c r="P8" s="5"/>
      <c r="Q8" s="5"/>
      <c r="S8" s="19" t="s">
        <v>59</v>
      </c>
      <c r="T8" s="20">
        <v>61.082999999999998</v>
      </c>
      <c r="V8" s="492" t="s">
        <v>209</v>
      </c>
      <c r="W8" s="391"/>
      <c r="X8" s="135">
        <v>-1</v>
      </c>
      <c r="Y8" s="484" t="s">
        <v>496</v>
      </c>
      <c r="Z8" s="439"/>
      <c r="AA8" s="5"/>
    </row>
    <row r="9" spans="1:40" ht="15.6">
      <c r="A9" s="5"/>
      <c r="B9" s="5"/>
      <c r="C9" s="5"/>
      <c r="D9" s="5"/>
      <c r="E9" s="5"/>
      <c r="F9" s="5"/>
      <c r="G9" s="5"/>
      <c r="H9" s="5"/>
      <c r="I9" s="5"/>
      <c r="J9" s="401" t="s">
        <v>79</v>
      </c>
      <c r="K9" s="402"/>
      <c r="L9" s="33">
        <f>L14*T8+L15*T9+L17*T11</f>
        <v>19520.659622981686</v>
      </c>
      <c r="M9" s="5"/>
      <c r="N9" s="5"/>
      <c r="O9" s="5"/>
      <c r="P9" s="5"/>
      <c r="Q9" s="5"/>
      <c r="S9" s="19" t="s">
        <v>61</v>
      </c>
      <c r="T9" s="20">
        <v>105.136</v>
      </c>
      <c r="V9" s="480"/>
      <c r="W9" s="405"/>
      <c r="X9" s="126">
        <f>SUM(X6:X8)</f>
        <v>0</v>
      </c>
      <c r="Y9" s="479" t="s">
        <v>438</v>
      </c>
      <c r="Z9" s="391"/>
      <c r="AA9" s="5"/>
    </row>
    <row r="10" spans="1:40" ht="15.6">
      <c r="A10" s="5"/>
      <c r="B10" s="5"/>
      <c r="C10" s="5"/>
      <c r="D10" s="5"/>
      <c r="E10" s="5"/>
      <c r="F10" s="5"/>
      <c r="G10" s="5"/>
      <c r="H10" s="5"/>
      <c r="I10" s="5"/>
      <c r="J10" s="401" t="s">
        <v>80</v>
      </c>
      <c r="K10" s="402"/>
      <c r="L10" s="33">
        <f>SUM(L12:L17)</f>
        <v>314.44203343676708</v>
      </c>
      <c r="M10" s="5"/>
      <c r="N10" s="5"/>
      <c r="O10" s="5"/>
      <c r="P10" s="5"/>
      <c r="Q10" s="5"/>
      <c r="S10" s="19" t="s">
        <v>63</v>
      </c>
      <c r="T10" s="20">
        <v>149.18799999999999</v>
      </c>
    </row>
    <row r="11" spans="1:40" ht="15.6">
      <c r="A11" s="5"/>
      <c r="B11" s="5"/>
      <c r="C11" s="5"/>
      <c r="D11" s="5"/>
      <c r="E11" s="5"/>
      <c r="F11" s="5"/>
      <c r="G11" s="5"/>
      <c r="H11" s="5"/>
      <c r="I11" s="5"/>
      <c r="J11" s="401" t="s">
        <v>66</v>
      </c>
      <c r="K11" s="403"/>
      <c r="L11" s="402"/>
      <c r="M11" s="5"/>
      <c r="N11" s="5"/>
      <c r="O11" s="5"/>
      <c r="P11" s="5"/>
      <c r="Q11" s="5"/>
      <c r="S11" s="19" t="s">
        <v>65</v>
      </c>
      <c r="T11" s="24">
        <v>62.07</v>
      </c>
    </row>
    <row r="12" spans="1:40" ht="15.6">
      <c r="A12" s="5"/>
      <c r="B12" s="5"/>
      <c r="C12" s="5"/>
      <c r="D12" s="5"/>
      <c r="E12" s="5"/>
      <c r="F12" s="5"/>
      <c r="G12" s="5"/>
      <c r="H12" s="5"/>
      <c r="I12" s="5"/>
      <c r="J12" s="34" t="s">
        <v>67</v>
      </c>
      <c r="K12" s="35"/>
      <c r="L12" s="35"/>
      <c r="M12" s="5"/>
      <c r="N12" s="5"/>
      <c r="O12" s="5"/>
      <c r="P12" s="5"/>
      <c r="Q12" s="5"/>
      <c r="V12" s="11" t="s">
        <v>311</v>
      </c>
      <c r="W12" s="5"/>
      <c r="X12" s="5"/>
      <c r="Y12" s="5"/>
      <c r="Z12" s="5"/>
    </row>
    <row r="13" spans="1:40" ht="15.6">
      <c r="A13" s="5"/>
      <c r="B13" s="5"/>
      <c r="C13" s="5"/>
      <c r="D13" s="5"/>
      <c r="E13" s="5"/>
      <c r="F13" s="5"/>
      <c r="G13" s="5"/>
      <c r="H13" s="5"/>
      <c r="I13" s="5"/>
      <c r="J13" s="34" t="s">
        <v>68</v>
      </c>
      <c r="K13" s="35"/>
      <c r="L13" s="35"/>
      <c r="M13" s="5"/>
      <c r="N13" s="5"/>
      <c r="O13" s="5"/>
      <c r="P13" s="5"/>
      <c r="Q13" s="5"/>
      <c r="V13" s="5" t="s">
        <v>497</v>
      </c>
      <c r="W13" s="5"/>
      <c r="X13" s="5"/>
      <c r="Y13" s="5"/>
      <c r="Z13" s="5"/>
    </row>
    <row r="14" spans="1:40" ht="15.6">
      <c r="A14" s="5"/>
      <c r="B14" s="5"/>
      <c r="C14" s="5"/>
      <c r="D14" s="5"/>
      <c r="E14" s="5"/>
      <c r="F14" s="5"/>
      <c r="G14" s="5"/>
      <c r="H14" s="5"/>
      <c r="I14" s="5"/>
      <c r="J14" s="34" t="s">
        <v>69</v>
      </c>
      <c r="K14" s="40" t="s">
        <v>96</v>
      </c>
      <c r="L14" s="41">
        <f>X24</f>
        <v>1.4044148382332082</v>
      </c>
      <c r="M14" s="5"/>
      <c r="N14" s="5"/>
      <c r="O14" s="5"/>
      <c r="P14" s="5"/>
      <c r="Q14" s="5"/>
      <c r="V14" s="95" t="s">
        <v>498</v>
      </c>
      <c r="W14" s="117" t="s">
        <v>135</v>
      </c>
      <c r="X14" s="9" t="s">
        <v>499</v>
      </c>
      <c r="Y14" s="5"/>
      <c r="Z14" s="5"/>
    </row>
    <row r="15" spans="1:40" ht="15.6">
      <c r="A15" s="5"/>
      <c r="B15" s="5"/>
      <c r="F15" s="5"/>
      <c r="G15" s="5"/>
      <c r="H15" s="5"/>
      <c r="I15" s="5"/>
      <c r="J15" s="34" t="s">
        <v>70</v>
      </c>
      <c r="K15" s="40" t="s">
        <v>97</v>
      </c>
      <c r="L15" s="41">
        <f>X28</f>
        <v>0.10748072741580565</v>
      </c>
      <c r="P15" s="5"/>
      <c r="Q15" s="5"/>
      <c r="V15" s="95" t="s">
        <v>498</v>
      </c>
      <c r="W15" s="117" t="s">
        <v>135</v>
      </c>
      <c r="X15" s="96">
        <f>99%*E22</f>
        <v>139.03706898508614</v>
      </c>
      <c r="Y15" s="5" t="s">
        <v>240</v>
      </c>
      <c r="Z15" s="5"/>
      <c r="AM15" s="32"/>
      <c r="AN15" s="32"/>
    </row>
    <row r="16" spans="1:40" ht="15.6">
      <c r="A16" s="5"/>
      <c r="B16" s="5"/>
      <c r="F16" s="5"/>
      <c r="G16" s="5"/>
      <c r="H16" s="5"/>
      <c r="I16" s="5"/>
      <c r="J16" s="34" t="s">
        <v>71</v>
      </c>
      <c r="K16" s="35"/>
      <c r="L16" s="35"/>
      <c r="P16" s="5"/>
      <c r="Q16" s="5"/>
      <c r="V16" s="9"/>
      <c r="W16" s="9"/>
      <c r="X16" s="9"/>
      <c r="Y16" s="5"/>
      <c r="Z16" s="5"/>
      <c r="AM16" s="5"/>
      <c r="AN16" s="5"/>
    </row>
    <row r="17" spans="1:40" ht="15.6">
      <c r="A17" s="5"/>
      <c r="B17" s="5"/>
      <c r="C17" s="407" t="s">
        <v>79</v>
      </c>
      <c r="D17" s="389"/>
      <c r="E17" s="33">
        <f>E21*T7+E22*T8+E23*T9+E25*T11</f>
        <v>28073.435655272449</v>
      </c>
      <c r="F17" s="5"/>
      <c r="G17" s="5"/>
      <c r="H17" s="5"/>
      <c r="I17" s="5"/>
      <c r="J17" s="34" t="s">
        <v>72</v>
      </c>
      <c r="K17" s="40" t="s">
        <v>98</v>
      </c>
      <c r="L17" s="36">
        <f>X32</f>
        <v>312.93013787111806</v>
      </c>
      <c r="P17" s="5"/>
      <c r="Q17" s="5"/>
      <c r="V17" s="66" t="s">
        <v>466</v>
      </c>
      <c r="W17" s="9"/>
      <c r="X17" s="9"/>
      <c r="Y17" s="5"/>
      <c r="Z17" s="5"/>
      <c r="AM17" s="5"/>
      <c r="AN17" s="5"/>
    </row>
    <row r="18" spans="1:40" ht="17.25" customHeight="1">
      <c r="A18" s="5"/>
      <c r="B18" s="5"/>
      <c r="C18" s="407" t="s">
        <v>80</v>
      </c>
      <c r="D18" s="389"/>
      <c r="E18" s="33">
        <f>SUM(E20:E25)</f>
        <v>454.84052496912011</v>
      </c>
      <c r="F18" s="5"/>
      <c r="G18" s="5"/>
      <c r="H18" s="5"/>
      <c r="I18" s="5"/>
      <c r="J18" s="408" t="s">
        <v>85</v>
      </c>
      <c r="K18" s="409"/>
      <c r="L18" s="410"/>
      <c r="P18" s="5"/>
      <c r="Q18" s="5"/>
      <c r="V18" s="95" t="s">
        <v>108</v>
      </c>
      <c r="W18" s="117" t="s">
        <v>135</v>
      </c>
      <c r="X18" s="95" t="s">
        <v>500</v>
      </c>
      <c r="Y18" s="5"/>
      <c r="Z18" s="5"/>
      <c r="AM18" s="5"/>
      <c r="AN18" s="5"/>
    </row>
    <row r="19" spans="1:40" ht="15.6">
      <c r="A19" s="5"/>
      <c r="B19" s="5"/>
      <c r="C19" s="401" t="s">
        <v>66</v>
      </c>
      <c r="D19" s="391"/>
      <c r="E19" s="389"/>
      <c r="F19" s="5"/>
      <c r="G19" s="5"/>
      <c r="H19" s="5"/>
      <c r="I19" s="5"/>
      <c r="J19" s="34" t="s">
        <v>67</v>
      </c>
      <c r="K19" s="35"/>
      <c r="L19" s="46"/>
      <c r="P19" s="5"/>
      <c r="Q19" s="5"/>
      <c r="V19" s="95" t="s">
        <v>500</v>
      </c>
      <c r="W19" s="117" t="s">
        <v>135</v>
      </c>
      <c r="X19" s="96">
        <f>E21</f>
        <v>1.3614225472668693</v>
      </c>
      <c r="Y19" s="5" t="s">
        <v>148</v>
      </c>
      <c r="Z19" s="5"/>
      <c r="AM19" s="5"/>
      <c r="AN19" s="5"/>
    </row>
    <row r="20" spans="1:40" ht="15.6">
      <c r="A20" s="5"/>
      <c r="B20" s="5"/>
      <c r="C20" s="34" t="s">
        <v>67</v>
      </c>
      <c r="D20" s="35"/>
      <c r="E20" s="35"/>
      <c r="F20" s="5"/>
      <c r="G20" s="5"/>
      <c r="H20" s="5"/>
      <c r="I20" s="5"/>
      <c r="J20" s="34" t="s">
        <v>68</v>
      </c>
      <c r="K20" s="35"/>
      <c r="L20" s="46"/>
      <c r="P20" s="5"/>
      <c r="Q20" s="5"/>
      <c r="V20" s="9"/>
      <c r="W20" s="9"/>
      <c r="X20" s="9"/>
      <c r="Y20" s="5"/>
      <c r="Z20" s="5"/>
    </row>
    <row r="21" spans="1:40" ht="15.6">
      <c r="A21" s="5"/>
      <c r="B21" s="5"/>
      <c r="C21" s="34" t="s">
        <v>68</v>
      </c>
      <c r="D21" s="40" t="s">
        <v>108</v>
      </c>
      <c r="E21" s="41">
        <f>'Liquid-liquid Extractor '!O45</f>
        <v>1.3614225472668693</v>
      </c>
      <c r="F21" s="5"/>
      <c r="G21" s="5"/>
      <c r="H21" s="5"/>
      <c r="I21" s="5"/>
      <c r="J21" s="34" t="s">
        <v>69</v>
      </c>
      <c r="K21" s="35"/>
      <c r="L21" s="41">
        <f>L14/$L$10</f>
        <v>4.4663711873483671E-3</v>
      </c>
      <c r="P21" s="5"/>
      <c r="Q21" s="5"/>
      <c r="V21" s="66" t="s">
        <v>482</v>
      </c>
      <c r="W21" s="9"/>
      <c r="X21" s="9"/>
      <c r="Y21" s="5"/>
      <c r="Z21" s="5"/>
    </row>
    <row r="22" spans="1:40" ht="15.6">
      <c r="A22" s="5"/>
      <c r="B22" s="5"/>
      <c r="C22" s="34" t="s">
        <v>69</v>
      </c>
      <c r="D22" s="40" t="s">
        <v>110</v>
      </c>
      <c r="E22" s="41">
        <f>'Liquid-liquid Extractor '!O46</f>
        <v>140.44148382331934</v>
      </c>
      <c r="F22" s="5"/>
      <c r="G22" s="5"/>
      <c r="H22" s="5"/>
      <c r="I22" s="5"/>
      <c r="J22" s="34" t="s">
        <v>70</v>
      </c>
      <c r="K22" s="35"/>
      <c r="L22" s="41">
        <f>L15/$L$10</f>
        <v>3.4181412148073884E-4</v>
      </c>
      <c r="P22" s="5"/>
      <c r="Q22" s="5"/>
      <c r="V22" s="95" t="s">
        <v>110</v>
      </c>
      <c r="W22" s="117" t="s">
        <v>135</v>
      </c>
      <c r="X22" s="95" t="s">
        <v>498</v>
      </c>
      <c r="Y22" s="117" t="s">
        <v>284</v>
      </c>
      <c r="Z22" s="95" t="s">
        <v>96</v>
      </c>
    </row>
    <row r="23" spans="1:40" ht="15.6">
      <c r="A23" s="5"/>
      <c r="B23" s="5"/>
      <c r="C23" s="34" t="s">
        <v>70</v>
      </c>
      <c r="D23" s="40" t="s">
        <v>111</v>
      </c>
      <c r="E23" s="41">
        <f>'Liquid-liquid Extractor '!O47</f>
        <v>0.10748072741580565</v>
      </c>
      <c r="F23" s="5"/>
      <c r="G23" s="5"/>
      <c r="H23" s="5"/>
      <c r="I23" s="5"/>
      <c r="J23" s="34" t="s">
        <v>71</v>
      </c>
      <c r="K23" s="35"/>
      <c r="L23" s="132"/>
      <c r="P23" s="5"/>
      <c r="Q23" s="5"/>
      <c r="V23" s="95" t="s">
        <v>96</v>
      </c>
      <c r="W23" s="117" t="s">
        <v>135</v>
      </c>
      <c r="X23" s="9" t="s">
        <v>501</v>
      </c>
      <c r="Y23" s="9"/>
      <c r="Z23" s="9"/>
    </row>
    <row r="24" spans="1:40" ht="15.6">
      <c r="A24" s="5"/>
      <c r="B24" s="5"/>
      <c r="C24" s="34" t="s">
        <v>71</v>
      </c>
      <c r="D24" s="35"/>
      <c r="E24" s="35"/>
      <c r="F24" s="5"/>
      <c r="G24" s="5"/>
      <c r="H24" s="5"/>
      <c r="I24" s="5"/>
      <c r="J24" s="34" t="s">
        <v>72</v>
      </c>
      <c r="K24" s="35"/>
      <c r="L24" s="41">
        <f>L17/$L$10</f>
        <v>0.99519181469117091</v>
      </c>
      <c r="P24" s="5"/>
      <c r="Q24" s="5"/>
      <c r="V24" s="95" t="s">
        <v>96</v>
      </c>
      <c r="W24" s="117" t="s">
        <v>135</v>
      </c>
      <c r="X24" s="96">
        <f>E22-X15</f>
        <v>1.4044148382332082</v>
      </c>
      <c r="Y24" s="64" t="s">
        <v>240</v>
      </c>
      <c r="Z24" s="9"/>
    </row>
    <row r="25" spans="1:40" ht="15.6">
      <c r="A25" s="5"/>
      <c r="B25" s="5"/>
      <c r="C25" s="34" t="s">
        <v>72</v>
      </c>
      <c r="D25" s="40" t="s">
        <v>112</v>
      </c>
      <c r="E25" s="41">
        <f>'Liquid-liquid Extractor '!O49</f>
        <v>312.93013787111806</v>
      </c>
      <c r="F25" s="5"/>
      <c r="G25" s="5"/>
      <c r="H25" s="5"/>
      <c r="I25" s="5"/>
      <c r="J25" s="406" t="s">
        <v>99</v>
      </c>
      <c r="K25" s="411"/>
      <c r="L25" s="50">
        <v>0</v>
      </c>
      <c r="P25" s="5"/>
      <c r="Q25" s="5"/>
      <c r="V25" s="9"/>
      <c r="W25" s="9"/>
      <c r="X25" s="9"/>
      <c r="Y25" s="5"/>
      <c r="Z25" s="5"/>
    </row>
    <row r="26" spans="1:40" ht="15.6">
      <c r="A26" s="5"/>
      <c r="B26" s="5"/>
      <c r="C26" s="404" t="s">
        <v>85</v>
      </c>
      <c r="D26" s="405"/>
      <c r="E26" s="398"/>
      <c r="F26" s="5"/>
      <c r="G26" s="5"/>
      <c r="H26" s="5"/>
      <c r="I26" s="5"/>
      <c r="J26" s="396" t="s">
        <v>92</v>
      </c>
      <c r="K26" s="399"/>
      <c r="L26" s="40">
        <f>SUM(L19:L24)</f>
        <v>1</v>
      </c>
      <c r="P26" s="5"/>
      <c r="Q26" s="5"/>
      <c r="V26" s="66" t="s">
        <v>321</v>
      </c>
      <c r="W26" s="9"/>
      <c r="X26" s="9"/>
      <c r="Y26" s="5"/>
      <c r="Z26" s="5"/>
    </row>
    <row r="27" spans="1:40" ht="15.6">
      <c r="A27" s="5"/>
      <c r="B27" s="5"/>
      <c r="C27" s="34" t="s">
        <v>67</v>
      </c>
      <c r="D27" s="35"/>
      <c r="E27" s="46"/>
      <c r="F27" s="5"/>
      <c r="G27" s="5"/>
      <c r="H27" s="5"/>
      <c r="I27" s="5"/>
      <c r="J27" s="396" t="s">
        <v>75</v>
      </c>
      <c r="K27" s="399"/>
      <c r="L27" s="40">
        <v>190</v>
      </c>
      <c r="P27" s="5"/>
      <c r="Q27" s="5"/>
      <c r="V27" s="95" t="s">
        <v>111</v>
      </c>
      <c r="W27" s="117" t="s">
        <v>135</v>
      </c>
      <c r="X27" s="95" t="s">
        <v>97</v>
      </c>
      <c r="Y27" s="5"/>
      <c r="Z27" s="5"/>
    </row>
    <row r="28" spans="1:40" ht="15.6">
      <c r="A28" s="5"/>
      <c r="B28" s="5"/>
      <c r="C28" s="34" t="s">
        <v>68</v>
      </c>
      <c r="D28" s="35"/>
      <c r="E28" s="41">
        <f t="shared" ref="E28:E30" si="0">E21/$E$18</f>
        <v>2.9931865621676927E-3</v>
      </c>
      <c r="F28" s="5"/>
      <c r="G28" s="5"/>
      <c r="H28" s="5"/>
      <c r="I28" s="5"/>
      <c r="J28" s="460" t="s">
        <v>76</v>
      </c>
      <c r="K28" s="461"/>
      <c r="L28" s="45">
        <v>1</v>
      </c>
      <c r="P28" s="5"/>
      <c r="Q28" s="5"/>
      <c r="V28" s="95" t="s">
        <v>97</v>
      </c>
      <c r="W28" s="117" t="s">
        <v>135</v>
      </c>
      <c r="X28" s="96">
        <f>E23</f>
        <v>0.10748072741580565</v>
      </c>
      <c r="Y28" s="5" t="s">
        <v>250</v>
      </c>
      <c r="Z28" s="5"/>
    </row>
    <row r="29" spans="1:40" ht="15.6">
      <c r="A29" s="5"/>
      <c r="B29" s="5"/>
      <c r="C29" s="34" t="s">
        <v>69</v>
      </c>
      <c r="D29" s="35"/>
      <c r="E29" s="41">
        <f t="shared" si="0"/>
        <v>0.3087708243078256</v>
      </c>
      <c r="F29" s="5"/>
      <c r="G29" s="5"/>
      <c r="H29" s="5"/>
      <c r="I29" s="5"/>
      <c r="J29" s="400" t="s">
        <v>548</v>
      </c>
      <c r="K29" s="400"/>
      <c r="L29" s="216">
        <f>AA57</f>
        <v>-12312097.440022456</v>
      </c>
      <c r="P29" s="5"/>
      <c r="Q29" s="5"/>
      <c r="V29" s="9"/>
      <c r="W29" s="9"/>
      <c r="X29" s="9"/>
      <c r="Y29" s="5"/>
      <c r="Z29" s="5"/>
    </row>
    <row r="30" spans="1:40" ht="15.6">
      <c r="A30" s="5"/>
      <c r="B30" s="5"/>
      <c r="C30" s="34" t="s">
        <v>70</v>
      </c>
      <c r="D30" s="35"/>
      <c r="E30" s="41">
        <f t="shared" si="0"/>
        <v>2.3630420227639722E-4</v>
      </c>
      <c r="F30" s="5"/>
      <c r="G30" s="5"/>
      <c r="H30" s="5"/>
      <c r="I30" s="5"/>
      <c r="P30" s="5"/>
      <c r="Q30" s="5"/>
      <c r="V30" s="66" t="s">
        <v>502</v>
      </c>
      <c r="W30" s="9"/>
      <c r="X30" s="9"/>
      <c r="Y30" s="5"/>
      <c r="Z30" s="5"/>
    </row>
    <row r="31" spans="1:40" ht="15.6">
      <c r="A31" s="5"/>
      <c r="B31" s="5"/>
      <c r="C31" s="34" t="s">
        <v>71</v>
      </c>
      <c r="D31" s="35"/>
      <c r="E31" s="132"/>
      <c r="F31" s="5"/>
      <c r="G31" s="5"/>
      <c r="H31" s="5"/>
      <c r="I31" s="5"/>
      <c r="J31" s="5"/>
      <c r="K31" s="5"/>
      <c r="L31" s="5"/>
      <c r="P31" s="5"/>
      <c r="Q31" s="5"/>
      <c r="V31" s="95" t="s">
        <v>112</v>
      </c>
      <c r="W31" s="117" t="s">
        <v>135</v>
      </c>
      <c r="X31" s="95" t="s">
        <v>98</v>
      </c>
      <c r="Y31" s="5"/>
      <c r="Z31" s="5"/>
    </row>
    <row r="32" spans="1:40" ht="15.6">
      <c r="A32" s="5"/>
      <c r="B32" s="5"/>
      <c r="C32" s="34" t="s">
        <v>72</v>
      </c>
      <c r="D32" s="35"/>
      <c r="E32" s="41">
        <f>E25/$E$18</f>
        <v>0.68799968492773023</v>
      </c>
      <c r="F32" s="5"/>
      <c r="G32" s="5"/>
      <c r="H32" s="5"/>
      <c r="I32" s="5"/>
      <c r="J32" s="5"/>
      <c r="K32" s="5"/>
      <c r="L32" s="5"/>
      <c r="P32" s="5"/>
      <c r="Q32" s="5"/>
      <c r="V32" s="95" t="s">
        <v>98</v>
      </c>
      <c r="W32" s="117" t="s">
        <v>135</v>
      </c>
      <c r="X32" s="96">
        <f>E25</f>
        <v>312.93013787111806</v>
      </c>
      <c r="Y32" s="5" t="s">
        <v>503</v>
      </c>
      <c r="Z32" s="5"/>
    </row>
    <row r="33" spans="1:29" ht="15.6">
      <c r="A33" s="5"/>
      <c r="B33" s="5"/>
      <c r="C33" s="406" t="s">
        <v>99</v>
      </c>
      <c r="D33" s="389"/>
      <c r="E33" s="50">
        <v>0</v>
      </c>
      <c r="F33" s="5"/>
      <c r="G33" s="5"/>
      <c r="H33" s="5"/>
      <c r="I33" s="5"/>
      <c r="J33" s="5"/>
      <c r="K33" s="5"/>
      <c r="L33" s="5"/>
      <c r="P33" s="5"/>
      <c r="Q33" s="5"/>
      <c r="V33" s="5"/>
      <c r="W33" s="5"/>
      <c r="X33" s="5"/>
      <c r="Y33" s="5"/>
    </row>
    <row r="34" spans="1:29" ht="15.6">
      <c r="A34" s="5"/>
      <c r="B34" s="5"/>
      <c r="C34" s="397" t="s">
        <v>92</v>
      </c>
      <c r="D34" s="398"/>
      <c r="E34" s="40">
        <f>SUM(E27:E32)</f>
        <v>0.99999999999999989</v>
      </c>
      <c r="F34" s="5"/>
      <c r="G34" s="5"/>
      <c r="H34" s="5"/>
      <c r="I34" s="5"/>
      <c r="J34" s="5"/>
      <c r="K34" s="5"/>
      <c r="L34" s="5"/>
      <c r="P34" s="5"/>
      <c r="Q34" s="5"/>
    </row>
    <row r="35" spans="1:29" ht="15.6">
      <c r="A35" s="5"/>
      <c r="B35" s="5"/>
      <c r="C35" s="397" t="s">
        <v>75</v>
      </c>
      <c r="D35" s="398"/>
      <c r="E35" s="40">
        <v>6</v>
      </c>
      <c r="F35" s="5"/>
      <c r="G35" s="5"/>
      <c r="H35" s="5"/>
      <c r="I35" s="5"/>
      <c r="J35" s="5"/>
      <c r="K35" s="5"/>
      <c r="L35" s="5"/>
      <c r="P35" s="5"/>
      <c r="Q35" s="5"/>
    </row>
    <row r="36" spans="1:29" ht="15.6">
      <c r="A36" s="5"/>
      <c r="B36" s="5"/>
      <c r="C36" s="396" t="s">
        <v>76</v>
      </c>
      <c r="D36" s="389"/>
      <c r="E36" s="45">
        <v>1</v>
      </c>
      <c r="F36" s="5"/>
      <c r="G36" s="5"/>
      <c r="H36" s="5"/>
      <c r="I36" s="5"/>
      <c r="J36" s="5"/>
      <c r="K36" s="5"/>
      <c r="L36" s="5"/>
      <c r="Q36" s="5"/>
      <c r="V36" s="11" t="s">
        <v>256</v>
      </c>
      <c r="W36" s="5"/>
      <c r="X36" s="5"/>
      <c r="Y36" s="5"/>
      <c r="Z36" s="5"/>
      <c r="AA36" s="148"/>
      <c r="AB36" s="148"/>
      <c r="AC36" s="148"/>
    </row>
    <row r="37" spans="1:29" ht="15.6">
      <c r="A37" s="5"/>
      <c r="B37" s="5"/>
      <c r="C37" s="400" t="s">
        <v>548</v>
      </c>
      <c r="D37" s="400"/>
      <c r="E37" s="216">
        <f>W57</f>
        <v>-32268994.750618525</v>
      </c>
      <c r="F37" s="5"/>
      <c r="G37" s="5"/>
      <c r="H37" s="5"/>
      <c r="I37" s="5"/>
      <c r="J37" s="5"/>
      <c r="K37" s="5"/>
      <c r="L37" s="5"/>
      <c r="P37" s="5"/>
      <c r="Q37" s="5"/>
      <c r="V37" s="107" t="s">
        <v>257</v>
      </c>
      <c r="W37" s="5"/>
      <c r="X37" s="5"/>
      <c r="Y37" s="5"/>
      <c r="Z37" s="5"/>
      <c r="AA37" s="148"/>
      <c r="AB37" s="148"/>
      <c r="AC37" s="148"/>
    </row>
    <row r="38" spans="1:29" ht="15.6">
      <c r="A38" s="5"/>
      <c r="B38" s="32" t="s">
        <v>104</v>
      </c>
      <c r="C38" s="5"/>
      <c r="D38" s="5"/>
      <c r="E38" s="5"/>
      <c r="F38" s="5"/>
      <c r="G38" s="5"/>
      <c r="H38" s="5"/>
      <c r="I38" s="5"/>
      <c r="J38" s="5"/>
      <c r="K38" s="5"/>
      <c r="L38" s="5"/>
      <c r="P38" s="5"/>
      <c r="Q38" s="5"/>
      <c r="V38" s="5"/>
      <c r="W38" s="5"/>
      <c r="X38" s="5"/>
      <c r="Y38" s="5"/>
      <c r="Z38" s="5"/>
      <c r="AA38" s="148"/>
      <c r="AB38" s="148"/>
      <c r="AC38" s="148"/>
    </row>
    <row r="39" spans="1:29" ht="15.6">
      <c r="A39" s="5"/>
      <c r="C39" s="5"/>
      <c r="D39" s="5"/>
      <c r="E39" s="5"/>
      <c r="F39" s="5"/>
      <c r="G39" s="5"/>
      <c r="H39" s="5"/>
      <c r="I39" s="5"/>
      <c r="J39" s="5"/>
      <c r="K39" s="5"/>
      <c r="L39" s="5"/>
      <c r="P39" s="5"/>
      <c r="Q39" s="5"/>
      <c r="V39" s="108" t="s">
        <v>258</v>
      </c>
      <c r="W39" s="5"/>
      <c r="X39" s="5"/>
      <c r="Y39" s="5"/>
      <c r="Z39" s="5"/>
      <c r="AA39" s="148"/>
      <c r="AB39" s="148"/>
      <c r="AC39" s="148"/>
    </row>
    <row r="40" spans="1:29" ht="15.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P40" s="5"/>
      <c r="Q40" s="5"/>
      <c r="V40" s="109">
        <v>1</v>
      </c>
      <c r="W40" s="5" t="s">
        <v>259</v>
      </c>
      <c r="X40" s="5"/>
      <c r="Y40" s="5"/>
      <c r="Z40" s="5"/>
      <c r="AA40" s="148"/>
      <c r="AB40" s="148"/>
      <c r="AC40" s="148"/>
    </row>
    <row r="41" spans="1:29" ht="15.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V41" s="109">
        <v>2</v>
      </c>
      <c r="W41" s="5" t="s">
        <v>260</v>
      </c>
      <c r="X41" s="5"/>
      <c r="Y41" s="5"/>
      <c r="Z41" s="5"/>
      <c r="AA41" s="148"/>
      <c r="AB41" s="148"/>
      <c r="AC41" s="148"/>
    </row>
    <row r="42" spans="1:29" ht="15.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V42" s="109">
        <v>3</v>
      </c>
      <c r="W42" s="5" t="s">
        <v>261</v>
      </c>
      <c r="X42" s="5"/>
      <c r="Y42" s="5"/>
      <c r="Z42" s="5"/>
      <c r="AA42" s="148"/>
      <c r="AB42" s="148"/>
      <c r="AC42" s="148"/>
    </row>
    <row r="43" spans="1:29" ht="15.6">
      <c r="A43" s="5"/>
      <c r="B43" s="5"/>
      <c r="C43" s="5"/>
      <c r="D43" s="5"/>
      <c r="E43" s="5"/>
      <c r="I43" s="5"/>
      <c r="J43" s="5"/>
      <c r="K43" s="5"/>
      <c r="L43" s="5"/>
      <c r="M43" s="5"/>
      <c r="N43" s="5"/>
      <c r="O43" s="5"/>
      <c r="P43" s="5"/>
      <c r="Q43" s="5"/>
      <c r="V43" s="5"/>
      <c r="W43" s="5"/>
      <c r="X43" s="5"/>
      <c r="Y43" s="5"/>
      <c r="Z43" s="5"/>
      <c r="AA43" s="148"/>
      <c r="AB43" s="148"/>
      <c r="AC43" s="148"/>
    </row>
    <row r="44" spans="1:29" ht="15.6">
      <c r="A44" s="5"/>
      <c r="B44" s="5"/>
      <c r="C44" s="5"/>
      <c r="D44" s="5"/>
      <c r="E44" s="5"/>
      <c r="I44" s="5"/>
      <c r="J44" s="5"/>
      <c r="K44" s="5"/>
      <c r="L44" s="5"/>
      <c r="M44" s="5"/>
      <c r="N44" s="5"/>
      <c r="O44" s="5"/>
      <c r="P44" s="5"/>
      <c r="Q44" s="5"/>
      <c r="V44" s="5" t="s">
        <v>262</v>
      </c>
      <c r="W44" s="463" t="s">
        <v>504</v>
      </c>
      <c r="X44" s="445"/>
      <c r="Y44" s="64">
        <v>25</v>
      </c>
      <c r="Z44" s="5" t="s">
        <v>326</v>
      </c>
      <c r="AA44" s="5"/>
      <c r="AB44" s="5"/>
      <c r="AC44" s="5"/>
    </row>
    <row r="45" spans="1:29" ht="15.6">
      <c r="A45" s="5"/>
      <c r="B45" s="5"/>
      <c r="C45" s="5"/>
      <c r="D45" s="5"/>
      <c r="E45" s="5"/>
      <c r="I45" s="5"/>
      <c r="J45" s="5"/>
      <c r="K45" s="5"/>
      <c r="L45" s="5"/>
      <c r="M45" s="5"/>
      <c r="N45" s="5"/>
      <c r="O45" s="5"/>
      <c r="P45" s="5"/>
      <c r="Q45" s="5"/>
      <c r="V45" s="458" t="s">
        <v>152</v>
      </c>
      <c r="W45" s="456" t="s">
        <v>487</v>
      </c>
      <c r="X45" s="464"/>
      <c r="Y45" s="456" t="s">
        <v>505</v>
      </c>
      <c r="Z45" s="464"/>
      <c r="AA45" s="456" t="s">
        <v>506</v>
      </c>
      <c r="AB45" s="464"/>
      <c r="AC45" s="148"/>
    </row>
    <row r="46" spans="1:29" ht="15.6">
      <c r="A46" s="5"/>
      <c r="B46" s="5"/>
      <c r="C46" s="5"/>
      <c r="D46" s="5"/>
      <c r="E46" s="5"/>
      <c r="I46" s="5"/>
      <c r="J46" s="5"/>
      <c r="K46" s="5"/>
      <c r="L46" s="5"/>
      <c r="M46" s="5"/>
      <c r="N46" s="5"/>
      <c r="O46" s="5"/>
      <c r="P46" s="5"/>
      <c r="Q46" s="5"/>
      <c r="V46" s="459"/>
      <c r="W46" s="221" t="s">
        <v>267</v>
      </c>
      <c r="X46" s="221" t="s">
        <v>400</v>
      </c>
      <c r="Y46" s="221" t="s">
        <v>328</v>
      </c>
      <c r="Z46" s="221" t="s">
        <v>329</v>
      </c>
      <c r="AA46" s="221" t="s">
        <v>328</v>
      </c>
      <c r="AB46" s="221" t="s">
        <v>329</v>
      </c>
      <c r="AC46" s="148"/>
    </row>
    <row r="47" spans="1:29" ht="15.6">
      <c r="A47" s="5"/>
      <c r="B47" s="5"/>
      <c r="C47" s="5"/>
      <c r="D47" s="5"/>
      <c r="E47" s="5"/>
      <c r="I47" s="5"/>
      <c r="J47" s="5"/>
      <c r="K47" s="5"/>
      <c r="L47" s="5"/>
      <c r="M47" s="5"/>
      <c r="N47" s="5"/>
      <c r="O47" s="5"/>
      <c r="P47" s="5"/>
      <c r="Q47" s="5"/>
      <c r="V47" s="20" t="s">
        <v>271</v>
      </c>
      <c r="W47" s="20" t="s">
        <v>193</v>
      </c>
      <c r="X47" s="20" t="s">
        <v>193</v>
      </c>
      <c r="Y47" s="20" t="s">
        <v>193</v>
      </c>
      <c r="Z47" s="20" t="s">
        <v>193</v>
      </c>
      <c r="AA47" s="20" t="s">
        <v>193</v>
      </c>
      <c r="AB47" s="20" t="s">
        <v>193</v>
      </c>
      <c r="AC47" s="148"/>
    </row>
    <row r="48" spans="1:29" ht="15.6">
      <c r="A48" s="5"/>
      <c r="B48" s="5"/>
      <c r="C48" s="5"/>
      <c r="D48" s="5"/>
      <c r="E48" s="5"/>
      <c r="F48" s="5"/>
      <c r="G48" s="5"/>
      <c r="H48" s="38" t="s">
        <v>114</v>
      </c>
      <c r="I48" s="5"/>
      <c r="J48" s="5"/>
      <c r="K48" s="5"/>
      <c r="L48" s="5"/>
      <c r="M48" s="5"/>
      <c r="N48" s="5"/>
      <c r="O48" s="5"/>
      <c r="P48" s="5"/>
      <c r="Q48" s="5"/>
      <c r="V48" s="20" t="s">
        <v>331</v>
      </c>
      <c r="W48" s="20" t="s">
        <v>193</v>
      </c>
      <c r="X48" s="20" t="s">
        <v>193</v>
      </c>
      <c r="Y48" s="20" t="s">
        <v>193</v>
      </c>
      <c r="Z48" s="20" t="s">
        <v>193</v>
      </c>
      <c r="AA48" s="20" t="s">
        <v>193</v>
      </c>
      <c r="AB48" s="20" t="s">
        <v>193</v>
      </c>
      <c r="AC48" s="148"/>
    </row>
    <row r="49" spans="1:34" ht="15.6">
      <c r="A49" s="5"/>
      <c r="B49" s="5"/>
      <c r="C49" s="5"/>
      <c r="D49" s="5"/>
      <c r="E49" s="5"/>
      <c r="F49" s="401" t="s">
        <v>79</v>
      </c>
      <c r="G49" s="402"/>
      <c r="H49" s="33">
        <f>H53*T7+H54*T8</f>
        <v>8552.7760322907634</v>
      </c>
      <c r="I49" s="5"/>
      <c r="K49" s="5"/>
      <c r="L49" s="5"/>
      <c r="M49" s="5"/>
      <c r="N49" s="5"/>
      <c r="O49" s="5"/>
      <c r="P49" s="5"/>
      <c r="Q49" s="5"/>
      <c r="V49" s="20" t="s">
        <v>273</v>
      </c>
      <c r="W49" s="20" t="s">
        <v>193</v>
      </c>
      <c r="X49" s="20" t="s">
        <v>193</v>
      </c>
      <c r="Y49" s="20" t="s">
        <v>193</v>
      </c>
      <c r="Z49" s="20" t="s">
        <v>193</v>
      </c>
      <c r="AA49" s="20" t="s">
        <v>193</v>
      </c>
      <c r="AB49" s="20" t="s">
        <v>193</v>
      </c>
      <c r="AC49" s="148"/>
    </row>
    <row r="50" spans="1:34" ht="15.6">
      <c r="A50" s="5"/>
      <c r="B50" s="5"/>
      <c r="C50" s="5"/>
      <c r="D50" s="5"/>
      <c r="E50" s="5"/>
      <c r="F50" s="401" t="s">
        <v>80</v>
      </c>
      <c r="G50" s="402"/>
      <c r="H50" s="33">
        <f>SUM(H52:H57)</f>
        <v>140.39849153235301</v>
      </c>
      <c r="I50" s="5"/>
      <c r="J50" s="5"/>
      <c r="K50" s="5"/>
      <c r="L50" s="5"/>
      <c r="M50" s="5"/>
      <c r="N50" s="5"/>
      <c r="O50" s="5"/>
      <c r="P50" s="5"/>
      <c r="Q50" s="5"/>
      <c r="V50" s="20" t="s">
        <v>333</v>
      </c>
      <c r="W50" s="20" t="s">
        <v>193</v>
      </c>
      <c r="X50" s="20" t="s">
        <v>193</v>
      </c>
      <c r="Y50" s="20" t="s">
        <v>193</v>
      </c>
      <c r="Z50" s="20" t="s">
        <v>193</v>
      </c>
      <c r="AA50" s="20" t="s">
        <v>193</v>
      </c>
      <c r="AB50" s="20" t="s">
        <v>193</v>
      </c>
      <c r="AC50" s="148"/>
    </row>
    <row r="51" spans="1:34" ht="15.6">
      <c r="A51" s="5"/>
      <c r="B51" s="5"/>
      <c r="C51" s="5"/>
      <c r="D51" s="5"/>
      <c r="E51" s="5"/>
      <c r="F51" s="401" t="s">
        <v>66</v>
      </c>
      <c r="G51" s="403"/>
      <c r="H51" s="402"/>
      <c r="I51" s="5"/>
      <c r="J51" s="5"/>
      <c r="K51" s="5"/>
      <c r="L51" s="5"/>
      <c r="M51" s="5"/>
      <c r="N51" s="5"/>
      <c r="O51" s="5"/>
      <c r="P51" s="5"/>
      <c r="Q51" s="5"/>
      <c r="V51" s="20" t="s">
        <v>275</v>
      </c>
      <c r="W51" s="20" t="s">
        <v>193</v>
      </c>
      <c r="X51" s="20" t="s">
        <v>193</v>
      </c>
      <c r="Y51" s="20" t="s">
        <v>193</v>
      </c>
      <c r="Z51" s="20" t="s">
        <v>193</v>
      </c>
      <c r="AA51" s="20" t="s">
        <v>193</v>
      </c>
      <c r="AB51" s="20" t="s">
        <v>193</v>
      </c>
      <c r="AC51" s="148"/>
    </row>
    <row r="52" spans="1:34" ht="15.6">
      <c r="A52" s="5"/>
      <c r="B52" s="5"/>
      <c r="C52" s="5"/>
      <c r="D52" s="5"/>
      <c r="E52" s="5"/>
      <c r="F52" s="34" t="s">
        <v>67</v>
      </c>
      <c r="G52" s="35"/>
      <c r="H52" s="35"/>
      <c r="I52" s="5"/>
      <c r="J52" s="5"/>
      <c r="K52" s="5"/>
      <c r="L52" s="5"/>
      <c r="M52" s="5"/>
      <c r="N52" s="5"/>
      <c r="O52" s="5"/>
      <c r="P52" s="5"/>
      <c r="Q52" s="5"/>
      <c r="V52" s="20" t="s">
        <v>416</v>
      </c>
      <c r="W52" s="33">
        <f>E21</f>
        <v>1.3614225472668693</v>
      </c>
      <c r="X52" s="110">
        <f>X79</f>
        <v>-26807.147882190926</v>
      </c>
      <c r="Y52" s="33">
        <f>H53</f>
        <v>1.3614225472668693</v>
      </c>
      <c r="Z52" s="110">
        <f>X163</f>
        <v>-444.61248001291324</v>
      </c>
      <c r="AA52" s="20" t="s">
        <v>193</v>
      </c>
      <c r="AB52" s="20" t="s">
        <v>193</v>
      </c>
      <c r="AC52" s="148"/>
    </row>
    <row r="53" spans="1:34" ht="15.6">
      <c r="A53" s="5"/>
      <c r="B53" s="5"/>
      <c r="C53" s="5"/>
      <c r="D53" s="5"/>
      <c r="E53" s="5"/>
      <c r="F53" s="34" t="s">
        <v>68</v>
      </c>
      <c r="G53" s="40" t="s">
        <v>500</v>
      </c>
      <c r="H53" s="41">
        <f>X19</f>
        <v>1.3614225472668693</v>
      </c>
      <c r="I53" s="5"/>
      <c r="J53" s="5"/>
      <c r="K53" s="5"/>
      <c r="L53" s="5"/>
      <c r="M53" s="5"/>
      <c r="N53" s="5"/>
      <c r="O53" s="5"/>
      <c r="P53" s="5"/>
      <c r="Q53" s="5"/>
      <c r="V53" s="20" t="s">
        <v>417</v>
      </c>
      <c r="W53" s="33">
        <f>E22</f>
        <v>140.44148382331934</v>
      </c>
      <c r="X53" s="110">
        <f>X100</f>
        <v>-70731.297503821334</v>
      </c>
      <c r="Y53" s="33">
        <f>H54</f>
        <v>139.03706898508614</v>
      </c>
      <c r="Z53" s="110">
        <f>X184</f>
        <v>-38269.437377814989</v>
      </c>
      <c r="AA53" s="33">
        <f>L14</f>
        <v>1.4044148382332082</v>
      </c>
      <c r="AB53" s="110">
        <f>X205</f>
        <v>-32674.389982581979</v>
      </c>
      <c r="AC53" s="148"/>
    </row>
    <row r="54" spans="1:34" ht="15.6">
      <c r="A54" s="5"/>
      <c r="B54" s="5"/>
      <c r="C54" s="5"/>
      <c r="D54" s="5"/>
      <c r="E54" s="5"/>
      <c r="F54" s="34" t="s">
        <v>69</v>
      </c>
      <c r="G54" s="40" t="s">
        <v>498</v>
      </c>
      <c r="H54" s="41">
        <f>X15</f>
        <v>139.03706898508614</v>
      </c>
      <c r="I54" s="5"/>
      <c r="J54" s="5"/>
      <c r="K54" s="5"/>
      <c r="L54" s="5"/>
      <c r="M54" s="5"/>
      <c r="N54" s="5"/>
      <c r="O54" s="5"/>
      <c r="P54" s="5"/>
      <c r="Q54" s="5"/>
      <c r="V54" s="20" t="s">
        <v>418</v>
      </c>
      <c r="W54" s="33">
        <f>E23</f>
        <v>0.10748072741580565</v>
      </c>
      <c r="X54" s="110">
        <f>X121</f>
        <v>-88450.68996202352</v>
      </c>
      <c r="Y54" s="20" t="s">
        <v>193</v>
      </c>
      <c r="Z54" s="20" t="s">
        <v>193</v>
      </c>
      <c r="AA54" s="33">
        <f>L15</f>
        <v>0.10748072741580565</v>
      </c>
      <c r="AB54" s="110">
        <f>X226</f>
        <v>-42276.727280220832</v>
      </c>
      <c r="AC54" s="148"/>
    </row>
    <row r="55" spans="1:34" ht="15.6">
      <c r="A55" s="5"/>
      <c r="B55" s="5"/>
      <c r="C55" s="5"/>
      <c r="D55" s="5"/>
      <c r="E55" s="5"/>
      <c r="F55" s="34" t="s">
        <v>70</v>
      </c>
      <c r="G55" s="35"/>
      <c r="H55" s="35"/>
      <c r="I55" s="5"/>
      <c r="J55" s="5"/>
      <c r="K55" s="5"/>
      <c r="L55" s="5"/>
      <c r="M55" s="5"/>
      <c r="N55" s="5"/>
      <c r="O55" s="5"/>
      <c r="P55" s="5"/>
      <c r="Q55" s="5"/>
      <c r="V55" s="20" t="s">
        <v>337</v>
      </c>
      <c r="W55" s="20" t="s">
        <v>193</v>
      </c>
      <c r="X55" s="20" t="s">
        <v>193</v>
      </c>
      <c r="Y55" s="20" t="s">
        <v>193</v>
      </c>
      <c r="Z55" s="20" t="s">
        <v>193</v>
      </c>
      <c r="AA55" s="20" t="s">
        <v>193</v>
      </c>
      <c r="AB55" s="20" t="s">
        <v>193</v>
      </c>
      <c r="AC55" s="148"/>
    </row>
    <row r="56" spans="1:34" ht="15.6">
      <c r="A56" s="5"/>
      <c r="B56" s="5"/>
      <c r="C56" s="5"/>
      <c r="D56" s="5"/>
      <c r="E56" s="5"/>
      <c r="F56" s="34" t="s">
        <v>71</v>
      </c>
      <c r="G56" s="35"/>
      <c r="H56" s="35"/>
      <c r="I56" s="5"/>
      <c r="J56" s="5"/>
      <c r="K56" s="5"/>
      <c r="L56" s="5"/>
      <c r="M56" s="5"/>
      <c r="N56" s="5"/>
      <c r="O56" s="5"/>
      <c r="P56" s="5"/>
      <c r="Q56" s="5"/>
      <c r="V56" s="20" t="s">
        <v>455</v>
      </c>
      <c r="W56" s="33">
        <f>E25</f>
        <v>312.93013787111806</v>
      </c>
      <c r="X56" s="110">
        <f>X142</f>
        <v>-71227.986949473474</v>
      </c>
      <c r="Y56" s="20" t="s">
        <v>193</v>
      </c>
      <c r="Z56" s="20" t="s">
        <v>193</v>
      </c>
      <c r="AA56" s="33">
        <f>L17</f>
        <v>312.93013787111806</v>
      </c>
      <c r="AB56" s="110">
        <f>X247</f>
        <v>-39183.394708853171</v>
      </c>
      <c r="AC56" s="148"/>
    </row>
    <row r="57" spans="1:34" ht="15.6">
      <c r="A57" s="5"/>
      <c r="B57" s="5"/>
      <c r="C57" s="5"/>
      <c r="D57" s="5"/>
      <c r="E57" s="5"/>
      <c r="F57" s="34" t="s">
        <v>72</v>
      </c>
      <c r="G57" s="35"/>
      <c r="H57" s="35"/>
      <c r="I57" s="5"/>
      <c r="J57" s="5"/>
      <c r="K57" s="5"/>
      <c r="L57" s="5"/>
      <c r="M57" s="5"/>
      <c r="N57" s="5"/>
      <c r="O57" s="5"/>
      <c r="P57" s="5"/>
      <c r="Q57" s="5"/>
      <c r="V57" s="222" t="s">
        <v>469</v>
      </c>
      <c r="W57" s="441">
        <f>W52*X52+W53*X53+W54*X54+W56*X56</f>
        <v>-32268994.750618525</v>
      </c>
      <c r="X57" s="493"/>
      <c r="Y57" s="441">
        <f>Y52*Z52+Y53*Z53</f>
        <v>-5321475.7101747822</v>
      </c>
      <c r="Z57" s="493"/>
      <c r="AA57" s="441">
        <f>AA53*AB53+AA54*AB54+AA56*AB56</f>
        <v>-12312097.440022456</v>
      </c>
      <c r="AB57" s="493"/>
      <c r="AC57" s="148"/>
    </row>
    <row r="58" spans="1:34" ht="15.6">
      <c r="A58" s="5"/>
      <c r="B58" s="5"/>
      <c r="C58" s="5"/>
      <c r="D58" s="5"/>
      <c r="E58" s="5"/>
      <c r="F58" s="408" t="s">
        <v>85</v>
      </c>
      <c r="G58" s="409"/>
      <c r="H58" s="410"/>
      <c r="I58" s="5"/>
      <c r="J58" s="5"/>
      <c r="K58" s="5"/>
      <c r="L58" s="5"/>
      <c r="M58" s="5"/>
      <c r="N58" s="5"/>
      <c r="O58" s="5"/>
      <c r="P58" s="5"/>
      <c r="Q58" s="5"/>
      <c r="V58" s="9"/>
      <c r="W58" s="9"/>
      <c r="X58" s="5"/>
      <c r="Y58" s="5"/>
      <c r="Z58" s="5"/>
      <c r="AA58" s="148"/>
      <c r="AB58" s="148"/>
    </row>
    <row r="59" spans="1:34" ht="15.6">
      <c r="A59" s="5"/>
      <c r="B59" s="5"/>
      <c r="C59" s="5"/>
      <c r="D59" s="5"/>
      <c r="E59" s="5"/>
      <c r="F59" s="34" t="s">
        <v>67</v>
      </c>
      <c r="G59" s="35"/>
      <c r="H59" s="46"/>
      <c r="I59" s="5"/>
      <c r="J59" s="5"/>
      <c r="K59" s="5"/>
      <c r="L59" s="5"/>
      <c r="M59" s="5"/>
      <c r="N59" s="5"/>
      <c r="O59" s="5"/>
      <c r="P59" s="5"/>
      <c r="Q59" s="5"/>
      <c r="V59" s="9"/>
      <c r="W59" s="9"/>
      <c r="X59" s="139"/>
      <c r="Y59" s="5"/>
      <c r="Z59" s="5"/>
      <c r="AA59" s="148"/>
      <c r="AB59" s="148"/>
    </row>
    <row r="60" spans="1:34" ht="15.6">
      <c r="A60" s="5"/>
      <c r="B60" s="5"/>
      <c r="C60" s="5"/>
      <c r="D60" s="5"/>
      <c r="E60" s="5"/>
      <c r="F60" s="34" t="s">
        <v>68</v>
      </c>
      <c r="G60" s="35"/>
      <c r="H60" s="41">
        <f>H53/$H$50</f>
        <v>9.6968459732571077E-3</v>
      </c>
      <c r="I60" s="5"/>
      <c r="J60" s="5"/>
      <c r="K60" s="5"/>
      <c r="L60" s="5"/>
      <c r="M60" s="5"/>
      <c r="N60" s="5"/>
      <c r="O60" s="5"/>
      <c r="P60" s="5"/>
      <c r="Q60" s="5"/>
      <c r="V60" s="1"/>
      <c r="W60" s="2"/>
      <c r="X60" s="91" t="s">
        <v>278</v>
      </c>
      <c r="Y60" s="2"/>
      <c r="Z60" s="2"/>
      <c r="AA60" s="2"/>
      <c r="AB60" s="3"/>
      <c r="AD60" s="9"/>
      <c r="AE60" s="9"/>
      <c r="AF60" s="9"/>
      <c r="AG60" s="9"/>
      <c r="AH60" s="9"/>
    </row>
    <row r="61" spans="1:34" ht="15.6">
      <c r="A61" s="5"/>
      <c r="B61" s="5"/>
      <c r="C61" s="5"/>
      <c r="D61" s="5"/>
      <c r="E61" s="5"/>
      <c r="F61" s="34" t="s">
        <v>69</v>
      </c>
      <c r="G61" s="35"/>
      <c r="H61" s="41">
        <f>H54/$H$50</f>
        <v>0.99030315402674285</v>
      </c>
      <c r="I61" s="5"/>
      <c r="J61" s="5"/>
      <c r="K61" s="5"/>
      <c r="L61" s="5"/>
      <c r="M61" s="5"/>
      <c r="N61" s="5"/>
      <c r="O61" s="5"/>
      <c r="P61" s="5"/>
      <c r="Q61" s="5"/>
      <c r="V61" s="116" t="s">
        <v>425</v>
      </c>
      <c r="W61" s="5"/>
      <c r="X61" s="5"/>
      <c r="Y61" s="5"/>
      <c r="Z61" s="109" t="s">
        <v>508</v>
      </c>
      <c r="AA61" s="5"/>
      <c r="AB61" s="6"/>
      <c r="AD61" s="5"/>
      <c r="AE61" s="5"/>
      <c r="AF61" s="5"/>
      <c r="AG61" s="9"/>
      <c r="AH61" s="9"/>
    </row>
    <row r="62" spans="1:34" ht="15.6">
      <c r="A62" s="5"/>
      <c r="B62" s="5"/>
      <c r="C62" s="5"/>
      <c r="D62" s="5"/>
      <c r="E62" s="5"/>
      <c r="F62" s="34" t="s">
        <v>70</v>
      </c>
      <c r="G62" s="35"/>
      <c r="H62" s="35"/>
      <c r="I62" s="5"/>
      <c r="J62" s="5"/>
      <c r="K62" s="5"/>
      <c r="L62" s="5"/>
      <c r="M62" s="5"/>
      <c r="N62" s="5"/>
      <c r="O62" s="5"/>
      <c r="P62" s="5"/>
      <c r="Q62" s="5"/>
      <c r="V62" s="156" t="s">
        <v>419</v>
      </c>
      <c r="W62" s="5"/>
      <c r="X62" s="5"/>
      <c r="Y62" s="5"/>
      <c r="Z62" s="64" t="s">
        <v>420</v>
      </c>
      <c r="AA62" s="5"/>
      <c r="AB62" s="6"/>
      <c r="AD62" s="5"/>
      <c r="AE62" s="5"/>
      <c r="AF62" s="5"/>
      <c r="AG62" s="5"/>
      <c r="AH62" s="5"/>
    </row>
    <row r="63" spans="1:34" ht="15.6">
      <c r="A63" s="5"/>
      <c r="B63" s="5"/>
      <c r="C63" s="5"/>
      <c r="D63" s="5"/>
      <c r="E63" s="5"/>
      <c r="F63" s="34" t="s">
        <v>71</v>
      </c>
      <c r="G63" s="35"/>
      <c r="H63" s="35"/>
      <c r="I63" s="5"/>
      <c r="J63" s="5"/>
      <c r="K63" s="5"/>
      <c r="L63" s="5"/>
      <c r="M63" s="5"/>
      <c r="N63" s="5"/>
      <c r="O63" s="5"/>
      <c r="P63" s="5"/>
      <c r="Q63" s="5"/>
      <c r="V63" s="172"/>
      <c r="W63" s="5"/>
      <c r="X63" s="5"/>
      <c r="Y63" s="5"/>
      <c r="Z63" s="148"/>
      <c r="AA63" s="5"/>
      <c r="AB63" s="6"/>
      <c r="AD63" s="9"/>
      <c r="AE63" s="9"/>
      <c r="AF63" s="5"/>
      <c r="AG63" s="5"/>
      <c r="AH63" s="5"/>
    </row>
    <row r="64" spans="1:34" ht="15.6">
      <c r="A64" s="5"/>
      <c r="B64" s="5"/>
      <c r="C64" s="5"/>
      <c r="D64" s="5"/>
      <c r="E64" s="5"/>
      <c r="F64" s="34" t="s">
        <v>72</v>
      </c>
      <c r="G64" s="35"/>
      <c r="H64" s="35"/>
      <c r="I64" s="5"/>
      <c r="J64" s="5"/>
      <c r="K64" s="5"/>
      <c r="L64" s="5"/>
      <c r="M64" s="5"/>
      <c r="N64" s="5"/>
      <c r="O64" s="5"/>
      <c r="P64" s="5"/>
      <c r="Q64" s="5"/>
      <c r="V64" s="4"/>
      <c r="W64" s="9" t="s">
        <v>509</v>
      </c>
      <c r="X64" s="9" t="s">
        <v>421</v>
      </c>
      <c r="Y64" s="9" t="s">
        <v>510</v>
      </c>
      <c r="Z64" s="5"/>
      <c r="AA64" s="5"/>
      <c r="AB64" s="6"/>
      <c r="AD64" s="9"/>
      <c r="AE64" s="9"/>
      <c r="AF64" s="139"/>
      <c r="AG64" s="5"/>
      <c r="AH64" s="5"/>
    </row>
    <row r="65" spans="6:34" ht="15.6">
      <c r="F65" s="406" t="s">
        <v>99</v>
      </c>
      <c r="G65" s="411"/>
      <c r="H65" s="50">
        <v>0</v>
      </c>
      <c r="V65" s="4"/>
      <c r="W65" s="5"/>
      <c r="X65" s="148"/>
      <c r="Y65" s="5"/>
      <c r="Z65" s="5"/>
      <c r="AA65" s="5"/>
      <c r="AB65" s="6"/>
    </row>
    <row r="66" spans="6:34" ht="15.6">
      <c r="F66" s="396" t="s">
        <v>92</v>
      </c>
      <c r="G66" s="399"/>
      <c r="H66" s="40">
        <f>SUM(H59:H64)</f>
        <v>1</v>
      </c>
      <c r="V66" s="181" t="s">
        <v>576</v>
      </c>
      <c r="W66" s="21"/>
      <c r="X66" s="5"/>
      <c r="Y66" s="148"/>
      <c r="Z66" s="5"/>
      <c r="AA66" s="5"/>
      <c r="AB66" s="6"/>
    </row>
    <row r="67" spans="6:34" ht="46.8" customHeight="1">
      <c r="F67" s="494" t="s">
        <v>75</v>
      </c>
      <c r="G67" s="495"/>
      <c r="H67" s="212">
        <v>165</v>
      </c>
      <c r="V67" s="88" t="s">
        <v>419</v>
      </c>
      <c r="W67" s="94" t="s">
        <v>135</v>
      </c>
      <c r="X67" s="377"/>
      <c r="Y67" s="377"/>
      <c r="Z67" s="377"/>
      <c r="AA67" s="377"/>
      <c r="AB67" s="465"/>
      <c r="AD67" s="9"/>
      <c r="AE67" s="9"/>
      <c r="AF67" s="9"/>
      <c r="AG67" s="9"/>
      <c r="AH67" s="9"/>
    </row>
    <row r="68" spans="6:34" ht="15.6">
      <c r="F68" s="396" t="s">
        <v>76</v>
      </c>
      <c r="G68" s="399"/>
      <c r="H68" s="45">
        <v>1</v>
      </c>
      <c r="V68" s="88" t="s">
        <v>419</v>
      </c>
      <c r="W68" s="94" t="s">
        <v>135</v>
      </c>
      <c r="X68" s="96">
        <f>(Database!$C$32*((Database!$H$11)-($Y$44+273.15)))+(((Database!$D$32)*((Database!$H$11)^2-($Y$44+273.15)^2))/2)+((Database!$E$32*((Database!$H$11)^3-($Y$44+273.15)^3))/3)+((Database!$F$32*((Database!$H$11)^4-($Y$44+273.15)^4))/4)+((Database!$G$32)*((Database!$H$11)^(5)-($Y$44+273.15)^5))/5</f>
        <v>-695.48620406653799</v>
      </c>
      <c r="Y68" s="5" t="s">
        <v>279</v>
      </c>
      <c r="Z68" s="5"/>
      <c r="AA68" s="5"/>
      <c r="AB68" s="6"/>
      <c r="AD68" s="115"/>
      <c r="AE68" s="9"/>
      <c r="AF68" s="115"/>
      <c r="AG68" s="9"/>
      <c r="AH68" s="9"/>
    </row>
    <row r="69" spans="6:34" ht="15.6">
      <c r="F69" s="400" t="s">
        <v>548</v>
      </c>
      <c r="G69" s="400"/>
      <c r="H69" s="216">
        <f>Y57</f>
        <v>-5321475.7101747822</v>
      </c>
      <c r="V69" s="181"/>
      <c r="W69" s="168"/>
      <c r="X69" s="148"/>
      <c r="Y69" s="5"/>
      <c r="Z69" s="5"/>
      <c r="AA69" s="5"/>
      <c r="AB69" s="6"/>
      <c r="AD69" s="9"/>
      <c r="AE69" s="9"/>
      <c r="AF69" s="9"/>
      <c r="AG69" s="9"/>
      <c r="AH69" s="9"/>
    </row>
    <row r="70" spans="6:34" ht="15.6">
      <c r="V70" s="181" t="s">
        <v>344</v>
      </c>
      <c r="W70" s="21"/>
      <c r="X70" s="5"/>
      <c r="Y70" s="5"/>
      <c r="Z70" s="5"/>
      <c r="AA70" s="5"/>
      <c r="AB70" s="6"/>
      <c r="AD70" s="9"/>
      <c r="AE70" s="9"/>
      <c r="AF70" s="9"/>
      <c r="AG70" s="9"/>
      <c r="AH70" s="9"/>
    </row>
    <row r="71" spans="6:34" ht="15.6">
      <c r="V71" s="88" t="s">
        <v>421</v>
      </c>
      <c r="W71" s="94" t="s">
        <v>135</v>
      </c>
      <c r="X71" s="94" t="s">
        <v>559</v>
      </c>
      <c r="Y71" s="5"/>
      <c r="Z71" s="5"/>
      <c r="AA71" s="5"/>
      <c r="AB71" s="6"/>
      <c r="AD71" s="9"/>
      <c r="AE71" s="9"/>
      <c r="AF71" s="139"/>
      <c r="AG71" s="9"/>
      <c r="AH71" s="9"/>
    </row>
    <row r="72" spans="6:34" ht="15.6">
      <c r="V72" s="88" t="s">
        <v>421</v>
      </c>
      <c r="W72" s="94" t="s">
        <v>135</v>
      </c>
      <c r="X72" s="9">
        <f>Database!$I$21*1000*-1</f>
        <v>-25700</v>
      </c>
      <c r="Y72" s="5" t="s">
        <v>279</v>
      </c>
      <c r="Z72" s="5"/>
      <c r="AA72" s="5"/>
      <c r="AB72" s="6"/>
    </row>
    <row r="73" spans="6:34" ht="15.6">
      <c r="V73" s="181"/>
      <c r="W73" s="21"/>
      <c r="X73" s="5"/>
      <c r="Y73" s="5"/>
      <c r="Z73" s="5"/>
      <c r="AA73" s="5"/>
      <c r="AB73" s="6"/>
    </row>
    <row r="74" spans="6:34" ht="15.6">
      <c r="V74" s="181" t="s">
        <v>589</v>
      </c>
      <c r="W74" s="153"/>
      <c r="X74" s="5"/>
      <c r="Y74" s="5"/>
      <c r="Z74" s="5"/>
      <c r="AA74" s="5"/>
      <c r="AB74" s="6"/>
      <c r="AD74" s="9"/>
      <c r="AE74" s="9"/>
      <c r="AF74" s="9"/>
      <c r="AG74" s="9"/>
      <c r="AH74" s="9"/>
    </row>
    <row r="75" spans="6:34" ht="45" customHeight="1">
      <c r="V75" s="88" t="s">
        <v>420</v>
      </c>
      <c r="W75" s="94" t="s">
        <v>135</v>
      </c>
      <c r="X75" s="377"/>
      <c r="Y75" s="377"/>
      <c r="Z75" s="377"/>
      <c r="AA75" s="377"/>
      <c r="AB75" s="465"/>
      <c r="AD75" s="9"/>
      <c r="AE75" s="9"/>
      <c r="AF75" s="9"/>
      <c r="AG75" s="9"/>
      <c r="AH75" s="9"/>
    </row>
    <row r="76" spans="6:34" ht="15.6">
      <c r="V76" s="88" t="s">
        <v>420</v>
      </c>
      <c r="W76" s="94" t="s">
        <v>135</v>
      </c>
      <c r="X76" s="129">
        <f>Database!$C$44*(($E$35+273.15)-(Database!$H$11))+((Database!$D$44*(($E$35+273.15)^2-(Database!$H$11)^2))/2)+((Database!$E$44*(($E$35+273.15)^3-(Database!$H$11)^3))/3)+((Database!$F$44*(($E$35+273.15)^4-(Database!$H$11)^4))/4)</f>
        <v>-411.661678124388</v>
      </c>
      <c r="Y76" s="5" t="s">
        <v>279</v>
      </c>
      <c r="Z76" s="5"/>
      <c r="AA76" s="5"/>
      <c r="AB76" s="6"/>
      <c r="AD76" s="9"/>
      <c r="AE76" s="9"/>
      <c r="AF76" s="9"/>
      <c r="AG76" s="9"/>
      <c r="AH76" s="9"/>
    </row>
    <row r="77" spans="6:34" ht="15.6">
      <c r="V77" s="181"/>
      <c r="W77" s="153"/>
      <c r="X77" s="5"/>
      <c r="Y77" s="5"/>
      <c r="Z77" s="5"/>
      <c r="AA77" s="5"/>
      <c r="AB77" s="6"/>
      <c r="AD77" s="9"/>
      <c r="AE77" s="9"/>
      <c r="AF77" s="9"/>
      <c r="AG77" s="9"/>
      <c r="AH77" s="9"/>
    </row>
    <row r="78" spans="6:34" ht="15.6">
      <c r="V78" s="88" t="s">
        <v>278</v>
      </c>
      <c r="W78" s="94" t="s">
        <v>135</v>
      </c>
      <c r="X78" s="9" t="s">
        <v>419</v>
      </c>
      <c r="Y78" s="117" t="s">
        <v>284</v>
      </c>
      <c r="Z78" s="9" t="s">
        <v>421</v>
      </c>
      <c r="AA78" s="117" t="s">
        <v>284</v>
      </c>
      <c r="AB78" s="121" t="s">
        <v>420</v>
      </c>
      <c r="AD78" s="9"/>
      <c r="AE78" s="9"/>
      <c r="AF78" s="139"/>
      <c r="AG78" s="9"/>
      <c r="AH78" s="9"/>
    </row>
    <row r="79" spans="6:34" ht="15.6">
      <c r="V79" s="135" t="s">
        <v>278</v>
      </c>
      <c r="W79" s="182" t="s">
        <v>135</v>
      </c>
      <c r="X79" s="119">
        <f>X76+X72+X68</f>
        <v>-26807.147882190926</v>
      </c>
      <c r="Y79" s="11" t="s">
        <v>279</v>
      </c>
      <c r="Z79" s="11"/>
      <c r="AA79" s="11"/>
      <c r="AB79" s="12"/>
    </row>
    <row r="80" spans="6:34" ht="15.75" customHeight="1">
      <c r="V80" s="148"/>
      <c r="W80" s="148"/>
      <c r="X80" s="148"/>
      <c r="Y80" s="148"/>
      <c r="Z80" s="148"/>
      <c r="AA80" s="148"/>
      <c r="AB80" s="148"/>
    </row>
    <row r="81" spans="22:34" ht="15.6">
      <c r="V81" s="1"/>
      <c r="W81" s="2"/>
      <c r="X81" s="91" t="s">
        <v>280</v>
      </c>
      <c r="Y81" s="2"/>
      <c r="Z81" s="2"/>
      <c r="AA81" s="2"/>
      <c r="AB81" s="3"/>
      <c r="AD81" s="9"/>
      <c r="AE81" s="9"/>
      <c r="AF81" s="9"/>
      <c r="AG81" s="9"/>
      <c r="AH81" s="9"/>
    </row>
    <row r="82" spans="22:34" ht="15.6">
      <c r="V82" s="116" t="s">
        <v>346</v>
      </c>
      <c r="W82" s="5"/>
      <c r="X82" s="5"/>
      <c r="Y82" s="5"/>
      <c r="Z82" s="109" t="s">
        <v>471</v>
      </c>
      <c r="AA82" s="5"/>
      <c r="AB82" s="6"/>
      <c r="AD82" s="9"/>
      <c r="AE82" s="9"/>
      <c r="AF82" s="9"/>
      <c r="AG82" s="9"/>
      <c r="AH82" s="9"/>
    </row>
    <row r="83" spans="22:34" ht="15.6">
      <c r="V83" s="156" t="s">
        <v>383</v>
      </c>
      <c r="W83" s="5"/>
      <c r="X83" s="5"/>
      <c r="Y83" s="5"/>
      <c r="Z83" s="64" t="s">
        <v>384</v>
      </c>
      <c r="AA83" s="5"/>
      <c r="AB83" s="6"/>
      <c r="AD83" s="9"/>
      <c r="AE83" s="9"/>
      <c r="AF83" s="9"/>
      <c r="AG83" s="9"/>
      <c r="AH83" s="9"/>
    </row>
    <row r="84" spans="22:34" ht="15.6">
      <c r="V84" s="172"/>
      <c r="W84" s="5"/>
      <c r="X84" s="5"/>
      <c r="Y84" s="5"/>
      <c r="Z84" s="148"/>
      <c r="AA84" s="5"/>
      <c r="AB84" s="6"/>
      <c r="AD84" s="9"/>
      <c r="AE84" s="9"/>
      <c r="AF84" s="9"/>
      <c r="AG84" s="9"/>
      <c r="AH84" s="9"/>
    </row>
    <row r="85" spans="22:34" ht="15.6">
      <c r="V85" s="4"/>
      <c r="W85" s="9" t="s">
        <v>350</v>
      </c>
      <c r="X85" s="9" t="s">
        <v>385</v>
      </c>
      <c r="Y85" s="9" t="s">
        <v>351</v>
      </c>
      <c r="Z85" s="5"/>
      <c r="AA85" s="5"/>
      <c r="AB85" s="6"/>
      <c r="AD85" s="9"/>
      <c r="AE85" s="9"/>
      <c r="AF85" s="139"/>
      <c r="AG85" s="9"/>
      <c r="AH85" s="9"/>
    </row>
    <row r="86" spans="22:34" ht="15.6">
      <c r="V86" s="4"/>
      <c r="W86" s="5"/>
      <c r="X86" s="148"/>
      <c r="Y86" s="5"/>
      <c r="Z86" s="5"/>
      <c r="AA86" s="5"/>
      <c r="AB86" s="6"/>
    </row>
    <row r="87" spans="22:34" ht="15.6">
      <c r="V87" s="4" t="s">
        <v>578</v>
      </c>
      <c r="W87" s="9"/>
      <c r="X87" s="5"/>
      <c r="Y87" s="148"/>
      <c r="Z87" s="5"/>
      <c r="AA87" s="5"/>
      <c r="AB87" s="6"/>
    </row>
    <row r="88" spans="22:34" ht="48" customHeight="1">
      <c r="V88" s="88" t="s">
        <v>383</v>
      </c>
      <c r="W88" s="94" t="s">
        <v>135</v>
      </c>
      <c r="X88" s="377"/>
      <c r="Y88" s="377"/>
      <c r="Z88" s="377"/>
      <c r="AA88" s="377"/>
      <c r="AB88" s="465"/>
      <c r="AD88" s="9"/>
      <c r="AE88" s="9"/>
      <c r="AF88" s="9"/>
      <c r="AG88" s="9"/>
      <c r="AH88" s="9"/>
    </row>
    <row r="89" spans="22:34" ht="15.6">
      <c r="V89" s="116" t="s">
        <v>383</v>
      </c>
      <c r="W89" s="117" t="s">
        <v>135</v>
      </c>
      <c r="X89" s="96">
        <f>(Database!$C$33*((Database!$H$12)-($Y$44+273.15)))+(((Database!$D$33)*((Database!$H$12)^2-($Y$44+273.15)^2))/2)+((Database!$E$33*((Database!$H$12)^3-($Y$44+273.15)^3))/3)+((Database!$F$33*((Database!$H$12)^4-($Y$44+273.15)^4))/4)+((Database!$G$33)*((Database!$H$12)^(5)-($Y$44+273.15)^5))/5</f>
        <v>14587.315366913117</v>
      </c>
      <c r="Y89" s="5" t="s">
        <v>279</v>
      </c>
      <c r="Z89" s="5"/>
      <c r="AA89" s="5"/>
      <c r="AB89" s="6"/>
      <c r="AD89" s="5"/>
      <c r="AE89" s="5"/>
      <c r="AF89" s="5"/>
      <c r="AG89" s="9"/>
      <c r="AH89" s="9"/>
    </row>
    <row r="90" spans="22:34" ht="15.6">
      <c r="V90" s="4"/>
      <c r="W90" s="148"/>
      <c r="X90" s="148"/>
      <c r="Y90" s="5"/>
      <c r="Z90" s="5"/>
      <c r="AA90" s="5"/>
      <c r="AB90" s="6"/>
      <c r="AD90" s="5"/>
      <c r="AE90" s="5"/>
      <c r="AF90" s="5"/>
      <c r="AG90" s="5"/>
      <c r="AH90" s="5"/>
    </row>
    <row r="91" spans="22:34" ht="15.6">
      <c r="V91" s="4" t="s">
        <v>353</v>
      </c>
      <c r="W91" s="9"/>
      <c r="X91" s="5"/>
      <c r="Y91" s="5"/>
      <c r="Z91" s="5"/>
      <c r="AA91" s="5"/>
      <c r="AB91" s="6"/>
      <c r="AD91" s="9"/>
      <c r="AE91" s="9"/>
      <c r="AF91" s="5"/>
      <c r="AG91" s="5"/>
      <c r="AH91" s="5"/>
    </row>
    <row r="92" spans="22:34" ht="15.6">
      <c r="V92" s="116" t="s">
        <v>385</v>
      </c>
      <c r="W92" s="117" t="s">
        <v>135</v>
      </c>
      <c r="X92" s="94" t="s">
        <v>552</v>
      </c>
      <c r="Y92" s="5"/>
      <c r="Z92" s="5"/>
      <c r="AA92" s="5"/>
      <c r="AB92" s="6"/>
      <c r="AD92" s="9"/>
      <c r="AE92" s="9"/>
      <c r="AF92" s="139"/>
      <c r="AG92" s="5"/>
      <c r="AH92" s="5"/>
    </row>
    <row r="93" spans="22:34" ht="15.6">
      <c r="V93" s="116" t="s">
        <v>385</v>
      </c>
      <c r="W93" s="117" t="s">
        <v>135</v>
      </c>
      <c r="X93" s="9">
        <f>Database!$I$22*1000*-1</f>
        <v>-51530</v>
      </c>
      <c r="Y93" s="5" t="s">
        <v>279</v>
      </c>
      <c r="Z93" s="5"/>
      <c r="AA93" s="5"/>
      <c r="AB93" s="6"/>
    </row>
    <row r="94" spans="22:34" ht="15.6">
      <c r="V94" s="4"/>
      <c r="W94" s="9"/>
      <c r="X94" s="5"/>
      <c r="Y94" s="5"/>
      <c r="Z94" s="5"/>
      <c r="AA94" s="5"/>
      <c r="AB94" s="6"/>
    </row>
    <row r="95" spans="22:34" ht="15.6">
      <c r="V95" s="4" t="s">
        <v>589</v>
      </c>
      <c r="W95" s="5"/>
      <c r="X95" s="5"/>
      <c r="Y95" s="5"/>
      <c r="Z95" s="5"/>
      <c r="AA95" s="5"/>
      <c r="AB95" s="6"/>
      <c r="AD95" s="9"/>
      <c r="AE95" s="9"/>
      <c r="AF95" s="9"/>
      <c r="AG95" s="9"/>
      <c r="AH95" s="9"/>
    </row>
    <row r="96" spans="22:34" ht="48.6" customHeight="1">
      <c r="V96" s="88" t="s">
        <v>384</v>
      </c>
      <c r="W96" s="94" t="s">
        <v>135</v>
      </c>
      <c r="X96" s="377"/>
      <c r="Y96" s="377"/>
      <c r="Z96" s="377"/>
      <c r="AA96" s="377"/>
      <c r="AB96" s="465"/>
      <c r="AD96" s="115"/>
      <c r="AE96" s="9"/>
      <c r="AF96" s="115"/>
      <c r="AG96" s="9"/>
      <c r="AH96" s="9"/>
    </row>
    <row r="97" spans="22:36" ht="15.6">
      <c r="V97" s="116" t="s">
        <v>384</v>
      </c>
      <c r="W97" s="117" t="s">
        <v>135</v>
      </c>
      <c r="X97" s="129">
        <f>Database!$C$45*(($E$35+273.15)-(Database!$H$12))+((Database!$D$45*(($E$35+273.15)^2-(Database!$H$12)^2))/2)+((Database!$E$45*(($E$35+273.15)^3-(Database!$H$12)^3))/3)+((Database!$F$45*(($E$35+273.15)^4-(Database!$H$12)^4))/4)</f>
        <v>-33788.612870734447</v>
      </c>
      <c r="Y97" s="5" t="s">
        <v>279</v>
      </c>
      <c r="Z97" s="5"/>
      <c r="AA97" s="5"/>
      <c r="AB97" s="6"/>
      <c r="AD97" s="9"/>
      <c r="AE97" s="9"/>
      <c r="AF97" s="9"/>
      <c r="AG97" s="9"/>
      <c r="AH97" s="9"/>
    </row>
    <row r="98" spans="22:36" ht="15.6">
      <c r="V98" s="4"/>
      <c r="W98" s="5"/>
      <c r="X98" s="5"/>
      <c r="Y98" s="5"/>
      <c r="Z98" s="5"/>
      <c r="AA98" s="5"/>
      <c r="AB98" s="6"/>
      <c r="AD98" s="9"/>
      <c r="AE98" s="9"/>
      <c r="AF98" s="9"/>
      <c r="AG98" s="9"/>
      <c r="AH98" s="9"/>
    </row>
    <row r="99" spans="22:36" ht="15.6">
      <c r="V99" s="116" t="s">
        <v>280</v>
      </c>
      <c r="W99" s="117" t="s">
        <v>135</v>
      </c>
      <c r="X99" s="9" t="s">
        <v>383</v>
      </c>
      <c r="Y99" s="117" t="s">
        <v>284</v>
      </c>
      <c r="Z99" s="9" t="s">
        <v>385</v>
      </c>
      <c r="AA99" s="117" t="s">
        <v>284</v>
      </c>
      <c r="AB99" s="121" t="s">
        <v>384</v>
      </c>
      <c r="AD99" s="9"/>
      <c r="AE99" s="9"/>
      <c r="AF99" s="139"/>
      <c r="AG99" s="9"/>
      <c r="AH99" s="9"/>
    </row>
    <row r="100" spans="22:36" ht="15.6">
      <c r="V100" s="85" t="s">
        <v>280</v>
      </c>
      <c r="W100" s="118" t="s">
        <v>135</v>
      </c>
      <c r="X100" s="119">
        <f>X97+X93+X89</f>
        <v>-70731.297503821334</v>
      </c>
      <c r="Y100" s="11" t="s">
        <v>279</v>
      </c>
      <c r="Z100" s="11"/>
      <c r="AA100" s="11"/>
      <c r="AB100" s="12"/>
    </row>
    <row r="101" spans="22:36" ht="15.75" customHeight="1">
      <c r="V101" s="148"/>
      <c r="W101" s="148"/>
      <c r="X101" s="148"/>
      <c r="Y101" s="148"/>
      <c r="Z101" s="148"/>
      <c r="AA101" s="148"/>
      <c r="AB101" s="148"/>
    </row>
    <row r="102" spans="22:36" ht="15.6">
      <c r="V102" s="1"/>
      <c r="W102" s="2"/>
      <c r="X102" s="91" t="s">
        <v>287</v>
      </c>
      <c r="Y102" s="2"/>
      <c r="Z102" s="2"/>
      <c r="AA102" s="2"/>
      <c r="AB102" s="3"/>
      <c r="AD102" s="140"/>
      <c r="AE102" s="140"/>
      <c r="AF102" s="9"/>
      <c r="AG102" s="140"/>
      <c r="AH102" s="140"/>
      <c r="AI102" s="140"/>
      <c r="AJ102" s="140"/>
    </row>
    <row r="103" spans="22:36" ht="15.6">
      <c r="V103" s="116" t="s">
        <v>355</v>
      </c>
      <c r="W103" s="5"/>
      <c r="X103" s="5"/>
      <c r="Y103" s="5"/>
      <c r="Z103" s="109" t="s">
        <v>472</v>
      </c>
      <c r="AA103" s="5"/>
      <c r="AB103" s="6"/>
      <c r="AD103" s="115"/>
      <c r="AE103" s="140"/>
      <c r="AF103" s="141"/>
      <c r="AG103" s="140"/>
      <c r="AH103" s="115"/>
      <c r="AI103" s="140"/>
      <c r="AJ103" s="140"/>
    </row>
    <row r="104" spans="22:36" ht="15.6">
      <c r="V104" s="156" t="s">
        <v>386</v>
      </c>
      <c r="W104" s="5"/>
      <c r="X104" s="5"/>
      <c r="Y104" s="5"/>
      <c r="Z104" s="64" t="s">
        <v>387</v>
      </c>
      <c r="AA104" s="5"/>
      <c r="AB104" s="6"/>
      <c r="AD104" s="140"/>
      <c r="AE104" s="140"/>
      <c r="AF104" s="140"/>
      <c r="AG104" s="140"/>
      <c r="AH104" s="140"/>
      <c r="AI104" s="140"/>
      <c r="AJ104" s="140"/>
    </row>
    <row r="105" spans="22:36" ht="15.6">
      <c r="V105" s="172"/>
      <c r="W105" s="5"/>
      <c r="X105" s="5"/>
      <c r="Y105" s="5"/>
      <c r="Z105" s="148"/>
      <c r="AA105" s="5"/>
      <c r="AB105" s="6"/>
      <c r="AD105" s="9"/>
      <c r="AE105" s="140"/>
      <c r="AF105" s="140"/>
      <c r="AG105" s="140"/>
      <c r="AH105" s="9"/>
      <c r="AI105" s="140"/>
      <c r="AJ105" s="140"/>
    </row>
    <row r="106" spans="22:36" ht="15.6">
      <c r="V106" s="4"/>
      <c r="W106" s="9" t="s">
        <v>359</v>
      </c>
      <c r="X106" s="9" t="s">
        <v>388</v>
      </c>
      <c r="Y106" s="9" t="s">
        <v>360</v>
      </c>
      <c r="Z106" s="5"/>
      <c r="AA106" s="5"/>
      <c r="AB106" s="6"/>
      <c r="AD106" s="140"/>
      <c r="AE106" s="115"/>
      <c r="AF106" s="142"/>
      <c r="AG106" s="115"/>
      <c r="AH106" s="140"/>
      <c r="AI106" s="140"/>
      <c r="AJ106" s="140"/>
    </row>
    <row r="107" spans="22:36" ht="15.6">
      <c r="V107" s="4"/>
      <c r="W107" s="5"/>
      <c r="X107" s="148"/>
      <c r="Y107" s="5"/>
      <c r="Z107" s="5"/>
      <c r="AA107" s="5"/>
      <c r="AB107" s="6"/>
      <c r="AD107" s="140"/>
      <c r="AE107" s="140"/>
      <c r="AF107" s="9"/>
      <c r="AG107" s="140"/>
      <c r="AH107" s="140"/>
      <c r="AI107" s="140"/>
      <c r="AJ107" s="140"/>
    </row>
    <row r="108" spans="22:36" ht="15.6">
      <c r="V108" s="4" t="s">
        <v>579</v>
      </c>
      <c r="W108" s="9"/>
      <c r="X108" s="5"/>
      <c r="Y108" s="148"/>
      <c r="Z108" s="5"/>
      <c r="AA108" s="5"/>
      <c r="AB108" s="6"/>
      <c r="AD108" s="5"/>
      <c r="AE108" s="140"/>
      <c r="AF108" s="140"/>
      <c r="AG108" s="140"/>
      <c r="AH108" s="140"/>
      <c r="AI108" s="140"/>
      <c r="AJ108" s="140"/>
    </row>
    <row r="109" spans="22:36" ht="49.8" customHeight="1">
      <c r="V109" s="88" t="s">
        <v>386</v>
      </c>
      <c r="W109" s="94" t="s">
        <v>135</v>
      </c>
      <c r="X109" s="5"/>
      <c r="Y109" s="148"/>
      <c r="Z109" s="5"/>
      <c r="AA109" s="5"/>
      <c r="AB109" s="6"/>
      <c r="AD109" s="9"/>
      <c r="AE109" s="9"/>
      <c r="AF109" s="140"/>
      <c r="AG109" s="140"/>
      <c r="AH109" s="140"/>
      <c r="AI109" s="140"/>
      <c r="AJ109" s="140"/>
    </row>
    <row r="110" spans="22:36" ht="15.6">
      <c r="V110" s="88" t="s">
        <v>386</v>
      </c>
      <c r="W110" s="94" t="s">
        <v>135</v>
      </c>
      <c r="X110" s="96">
        <f>(Database!$C$34*((Database!$H$13)-($Y$44+273.15)))+(((Database!$D$34)*((Database!$H$13)^2-($Y$44+273.15)^2))/2)+((Database!$E$34*((Database!$H$13)^3-($Y$44+273.15)^3))/3)+((Database!$F$34*((Database!$H$13)^4-($Y$44+273.15)^4))/4)+((Database!$G$34)*((Database!$H$13)^(5)-($Y$44+273.15)^5))/5</f>
        <v>44168.085339864891</v>
      </c>
      <c r="Y110" s="5" t="s">
        <v>279</v>
      </c>
      <c r="Z110" s="5"/>
      <c r="AA110" s="5"/>
      <c r="AB110" s="6"/>
      <c r="AD110" s="115"/>
      <c r="AE110" s="9"/>
      <c r="AF110" s="129"/>
      <c r="AG110" s="5"/>
      <c r="AH110" s="141"/>
      <c r="AI110" s="140"/>
      <c r="AJ110" s="140"/>
    </row>
    <row r="111" spans="22:36" ht="15.6">
      <c r="V111" s="181"/>
      <c r="W111" s="168"/>
      <c r="X111" s="148"/>
      <c r="Y111" s="5"/>
      <c r="Z111" s="5"/>
      <c r="AA111" s="5"/>
      <c r="AB111" s="6"/>
      <c r="AD111" s="140"/>
      <c r="AE111" s="140"/>
      <c r="AF111" s="140"/>
      <c r="AG111" s="140"/>
      <c r="AH111" s="140"/>
      <c r="AI111" s="140"/>
      <c r="AJ111" s="140"/>
    </row>
    <row r="112" spans="22:36" ht="15.6">
      <c r="V112" s="181" t="s">
        <v>362</v>
      </c>
      <c r="W112" s="21"/>
      <c r="X112" s="5"/>
      <c r="Y112" s="5"/>
      <c r="Z112" s="5"/>
      <c r="AA112" s="5"/>
      <c r="AB112" s="6"/>
      <c r="AD112" s="5"/>
      <c r="AE112" s="140"/>
      <c r="AF112" s="140"/>
      <c r="AG112" s="140"/>
      <c r="AH112" s="140"/>
      <c r="AI112" s="140"/>
      <c r="AJ112" s="140"/>
    </row>
    <row r="113" spans="22:36" ht="15.6">
      <c r="V113" s="88" t="s">
        <v>388</v>
      </c>
      <c r="W113" s="94" t="s">
        <v>135</v>
      </c>
      <c r="X113" s="94" t="s">
        <v>553</v>
      </c>
      <c r="Y113" s="5"/>
      <c r="Z113" s="5"/>
      <c r="AA113" s="5"/>
      <c r="AB113" s="6"/>
      <c r="AD113" s="9"/>
      <c r="AE113" s="115"/>
      <c r="AF113" s="140"/>
      <c r="AG113" s="141"/>
      <c r="AH113" s="140"/>
      <c r="AI113" s="140"/>
      <c r="AJ113" s="140"/>
    </row>
    <row r="114" spans="22:36" ht="15.6">
      <c r="V114" s="88" t="s">
        <v>388</v>
      </c>
      <c r="W114" s="94" t="s">
        <v>135</v>
      </c>
      <c r="X114" s="9">
        <f>Database!$I$23*1000*-1</f>
        <v>-64459.999999999993</v>
      </c>
      <c r="Y114" s="5" t="s">
        <v>279</v>
      </c>
      <c r="Z114" s="5"/>
      <c r="AA114" s="5"/>
      <c r="AB114" s="6"/>
      <c r="AD114" s="9"/>
      <c r="AE114" s="9"/>
      <c r="AF114" s="9"/>
      <c r="AG114" s="5"/>
      <c r="AH114" s="140"/>
      <c r="AI114" s="140"/>
      <c r="AJ114" s="140"/>
    </row>
    <row r="115" spans="22:36" ht="15.6">
      <c r="V115" s="181"/>
      <c r="W115" s="21"/>
      <c r="X115" s="5"/>
      <c r="Y115" s="5"/>
      <c r="Z115" s="5"/>
      <c r="AA115" s="5"/>
      <c r="AB115" s="6"/>
      <c r="AD115" s="140"/>
      <c r="AE115" s="140"/>
      <c r="AF115" s="140"/>
      <c r="AG115" s="140"/>
      <c r="AH115" s="140"/>
      <c r="AI115" s="140"/>
      <c r="AJ115" s="140"/>
    </row>
    <row r="116" spans="22:36" ht="15.6">
      <c r="V116" s="181" t="s">
        <v>589</v>
      </c>
      <c r="W116" s="153"/>
      <c r="X116" s="5"/>
      <c r="Y116" s="5"/>
      <c r="Z116" s="5"/>
      <c r="AA116" s="5"/>
      <c r="AB116" s="6"/>
      <c r="AD116" s="5"/>
      <c r="AE116" s="140"/>
      <c r="AF116" s="140"/>
      <c r="AG116" s="140"/>
      <c r="AH116" s="140"/>
      <c r="AI116" s="140"/>
      <c r="AJ116" s="140"/>
    </row>
    <row r="117" spans="22:36" ht="46.8" customHeight="1">
      <c r="V117" s="88" t="s">
        <v>387</v>
      </c>
      <c r="W117" s="94" t="s">
        <v>135</v>
      </c>
      <c r="X117" s="5"/>
      <c r="Y117" s="5"/>
      <c r="Z117" s="5"/>
      <c r="AA117" s="5"/>
      <c r="AB117" s="6"/>
      <c r="AD117" s="9"/>
      <c r="AE117" s="9"/>
      <c r="AF117" s="143"/>
      <c r="AG117" s="140"/>
      <c r="AH117" s="140"/>
      <c r="AI117" s="140"/>
      <c r="AJ117" s="140"/>
    </row>
    <row r="118" spans="22:36" ht="15.6">
      <c r="V118" s="88" t="s">
        <v>387</v>
      </c>
      <c r="W118" s="94" t="s">
        <v>135</v>
      </c>
      <c r="X118" s="129">
        <f>Database!$C$46*(($E$35+273.15)-(Database!$H$13))+((Database!$D$46*(($E$35+273.15)^2-(Database!$H$13)^2))/2)+((Database!$E$46*(($E$35+273.15)^3-(Database!$H$13)^3))/3)+((Database!$F$46*(($E$35+273.15)^4-(Database!$H$13)^4))/4)</f>
        <v>-68158.77530188841</v>
      </c>
      <c r="Y118" s="5" t="s">
        <v>279</v>
      </c>
      <c r="Z118" s="5"/>
      <c r="AA118" s="5"/>
      <c r="AB118" s="6"/>
      <c r="AD118" s="9"/>
      <c r="AE118" s="9"/>
      <c r="AF118" s="96"/>
      <c r="AG118" s="5"/>
      <c r="AH118" s="140"/>
      <c r="AI118" s="140"/>
      <c r="AJ118" s="140"/>
    </row>
    <row r="119" spans="22:36" ht="15.6">
      <c r="V119" s="181"/>
      <c r="W119" s="153"/>
      <c r="X119" s="5"/>
      <c r="Y119" s="5"/>
      <c r="Z119" s="5"/>
      <c r="AA119" s="5"/>
      <c r="AB119" s="6"/>
      <c r="AD119" s="140"/>
      <c r="AE119" s="140"/>
      <c r="AF119" s="140"/>
      <c r="AG119" s="140"/>
      <c r="AH119" s="140"/>
      <c r="AI119" s="140"/>
      <c r="AJ119" s="140"/>
    </row>
    <row r="120" spans="22:36" ht="15.6">
      <c r="V120" s="116" t="s">
        <v>287</v>
      </c>
      <c r="W120" s="117" t="s">
        <v>135</v>
      </c>
      <c r="X120" s="9" t="s">
        <v>386</v>
      </c>
      <c r="Y120" s="117" t="s">
        <v>284</v>
      </c>
      <c r="Z120" s="9" t="s">
        <v>388</v>
      </c>
      <c r="AA120" s="117" t="s">
        <v>284</v>
      </c>
      <c r="AB120" s="121" t="s">
        <v>387</v>
      </c>
      <c r="AD120" s="9"/>
      <c r="AE120" s="9"/>
      <c r="AF120" s="9"/>
      <c r="AG120" s="9"/>
      <c r="AH120" s="9"/>
      <c r="AI120" s="9"/>
      <c r="AJ120" s="9"/>
    </row>
    <row r="121" spans="22:36" ht="15.6">
      <c r="V121" s="85" t="s">
        <v>287</v>
      </c>
      <c r="W121" s="118" t="s">
        <v>135</v>
      </c>
      <c r="X121" s="119">
        <f>X118+X114+X110</f>
        <v>-88450.68996202352</v>
      </c>
      <c r="Y121" s="11" t="s">
        <v>279</v>
      </c>
      <c r="Z121" s="11"/>
      <c r="AA121" s="11"/>
      <c r="AB121" s="12"/>
      <c r="AD121" s="9"/>
      <c r="AE121" s="9"/>
      <c r="AF121" s="129"/>
      <c r="AG121" s="5"/>
      <c r="AH121" s="140"/>
      <c r="AI121" s="140"/>
      <c r="AJ121" s="140"/>
    </row>
    <row r="122" spans="22:36" ht="15.6">
      <c r="V122" s="148"/>
      <c r="W122" s="148"/>
      <c r="X122" s="148"/>
      <c r="Y122" s="148"/>
      <c r="Z122" s="148"/>
      <c r="AA122" s="148"/>
      <c r="AB122" s="148"/>
      <c r="AD122" s="5"/>
      <c r="AE122" s="9"/>
      <c r="AF122" s="5"/>
      <c r="AG122" s="5"/>
      <c r="AH122" s="5"/>
      <c r="AI122" s="5"/>
      <c r="AJ122" s="5"/>
    </row>
    <row r="123" spans="22:36" ht="15.6">
      <c r="V123" s="1"/>
      <c r="W123" s="2"/>
      <c r="X123" s="91" t="s">
        <v>288</v>
      </c>
      <c r="Y123" s="2"/>
      <c r="Z123" s="2"/>
      <c r="AA123" s="2"/>
      <c r="AB123" s="3"/>
      <c r="AD123" s="5"/>
      <c r="AE123" s="9"/>
      <c r="AF123" s="5"/>
      <c r="AG123" s="5"/>
      <c r="AH123" s="5"/>
      <c r="AI123" s="5"/>
      <c r="AJ123" s="5"/>
    </row>
    <row r="124" spans="22:36" ht="15.6">
      <c r="V124" s="116" t="s">
        <v>490</v>
      </c>
      <c r="W124" s="5"/>
      <c r="X124" s="5"/>
      <c r="Y124" s="5"/>
      <c r="Z124" s="109" t="s">
        <v>491</v>
      </c>
      <c r="AA124" s="5"/>
      <c r="AB124" s="6"/>
      <c r="AD124" s="140"/>
      <c r="AE124" s="140"/>
      <c r="AF124" s="9"/>
      <c r="AG124" s="140"/>
      <c r="AH124" s="140"/>
      <c r="AI124" s="140"/>
      <c r="AJ124" s="140"/>
    </row>
    <row r="125" spans="22:36" ht="15.6">
      <c r="V125" s="156" t="s">
        <v>389</v>
      </c>
      <c r="W125" s="5"/>
      <c r="X125" s="5"/>
      <c r="Y125" s="5"/>
      <c r="Z125" s="64" t="s">
        <v>390</v>
      </c>
      <c r="AA125" s="5"/>
      <c r="AB125" s="6"/>
      <c r="AD125" s="115"/>
      <c r="AE125" s="140"/>
      <c r="AF125" s="144"/>
      <c r="AG125" s="140"/>
      <c r="AH125" s="115"/>
      <c r="AI125" s="140"/>
      <c r="AJ125" s="140"/>
    </row>
    <row r="126" spans="22:36" ht="15.6">
      <c r="V126" s="172"/>
      <c r="W126" s="5"/>
      <c r="X126" s="5"/>
      <c r="Y126" s="5"/>
      <c r="Z126" s="148"/>
      <c r="AA126" s="5"/>
      <c r="AB126" s="6"/>
      <c r="AD126" s="140"/>
      <c r="AE126" s="140"/>
      <c r="AF126" s="140"/>
      <c r="AG126" s="140"/>
      <c r="AH126" s="140"/>
      <c r="AI126" s="140"/>
      <c r="AJ126" s="140"/>
    </row>
    <row r="127" spans="22:36" ht="15.6">
      <c r="V127" s="4"/>
      <c r="W127" s="9" t="s">
        <v>492</v>
      </c>
      <c r="X127" s="9" t="s">
        <v>391</v>
      </c>
      <c r="Y127" s="9" t="s">
        <v>493</v>
      </c>
      <c r="Z127" s="5"/>
      <c r="AA127" s="5"/>
      <c r="AB127" s="6"/>
      <c r="AD127" s="9"/>
      <c r="AE127" s="140"/>
      <c r="AF127" s="140"/>
      <c r="AG127" s="140"/>
      <c r="AH127" s="9"/>
      <c r="AI127" s="140"/>
      <c r="AJ127" s="140"/>
    </row>
    <row r="128" spans="22:36" ht="15.6">
      <c r="V128" s="4"/>
      <c r="W128" s="5"/>
      <c r="X128" s="148"/>
      <c r="Y128" s="5"/>
      <c r="Z128" s="5"/>
      <c r="AA128" s="5"/>
      <c r="AB128" s="6"/>
      <c r="AD128" s="140"/>
      <c r="AE128" s="115"/>
      <c r="AF128" s="140"/>
      <c r="AG128" s="115"/>
      <c r="AH128" s="140"/>
      <c r="AI128" s="140"/>
      <c r="AJ128" s="140"/>
    </row>
    <row r="129" spans="22:36" ht="15.6">
      <c r="V129" s="4" t="s">
        <v>590</v>
      </c>
      <c r="W129" s="9"/>
      <c r="X129" s="5"/>
      <c r="Y129" s="148"/>
      <c r="Z129" s="5"/>
      <c r="AA129" s="5"/>
      <c r="AB129" s="6"/>
      <c r="AD129" s="140"/>
      <c r="AE129" s="140"/>
      <c r="AF129" s="9"/>
      <c r="AG129" s="140"/>
      <c r="AH129" s="140"/>
      <c r="AI129" s="140"/>
      <c r="AJ129" s="140"/>
    </row>
    <row r="130" spans="22:36" ht="48" customHeight="1">
      <c r="V130" s="88" t="s">
        <v>389</v>
      </c>
      <c r="W130" s="94" t="s">
        <v>135</v>
      </c>
      <c r="X130" s="377"/>
      <c r="Y130" s="377"/>
      <c r="Z130" s="377"/>
      <c r="AA130" s="377"/>
      <c r="AB130" s="465"/>
      <c r="AD130" s="5"/>
      <c r="AE130" s="140"/>
      <c r="AF130" s="140"/>
      <c r="AG130" s="140"/>
      <c r="AH130" s="140"/>
      <c r="AI130" s="140"/>
      <c r="AJ130" s="140"/>
    </row>
    <row r="131" spans="22:36" ht="15.6">
      <c r="V131" s="88" t="s">
        <v>389</v>
      </c>
      <c r="W131" s="94" t="s">
        <v>135</v>
      </c>
      <c r="X131" s="96">
        <f>(Database!$C$36*((Database!$H$15)-($Y$44+273.15)))+(((Database!$D$36)*((Database!$H$15)^2-($Y$44+273.15)^2))/2)+((Database!$E$36*((Database!$H$15)^3-($Y$44+273.15)^3))/3)+((Database!$F$36*((Database!$H$15)^4-($Y$44+273.15)^4))/4)+((Database!$G$36)*((Database!$H$15)^(5)-($Y$44+273.15)^5))/5</f>
        <v>19072.824354840286</v>
      </c>
      <c r="Y131" s="5" t="s">
        <v>279</v>
      </c>
      <c r="Z131" s="5"/>
      <c r="AA131" s="5"/>
      <c r="AB131" s="6"/>
      <c r="AD131" s="9"/>
      <c r="AE131" s="9"/>
      <c r="AF131" s="140"/>
      <c r="AG131" s="140"/>
      <c r="AH131" s="140"/>
      <c r="AI131" s="140"/>
      <c r="AJ131" s="140"/>
    </row>
    <row r="132" spans="22:36" ht="15.6">
      <c r="V132" s="181"/>
      <c r="W132" s="168"/>
      <c r="X132" s="148"/>
      <c r="Y132" s="5"/>
      <c r="Z132" s="5"/>
      <c r="AA132" s="5"/>
      <c r="AB132" s="6"/>
      <c r="AD132" s="115"/>
      <c r="AE132" s="9"/>
      <c r="AF132" s="129"/>
      <c r="AG132" s="5"/>
      <c r="AH132" s="141"/>
      <c r="AI132" s="140"/>
      <c r="AJ132" s="140"/>
    </row>
    <row r="133" spans="22:36" ht="15.6">
      <c r="V133" s="181" t="s">
        <v>513</v>
      </c>
      <c r="W133" s="21"/>
      <c r="X133" s="5"/>
      <c r="Y133" s="5"/>
      <c r="Z133" s="5"/>
      <c r="AA133" s="5"/>
      <c r="AB133" s="6"/>
      <c r="AD133" s="140"/>
      <c r="AE133" s="140"/>
      <c r="AF133" s="140"/>
      <c r="AG133" s="140"/>
      <c r="AH133" s="140"/>
      <c r="AI133" s="140"/>
      <c r="AJ133" s="140"/>
    </row>
    <row r="134" spans="22:36" ht="15.6">
      <c r="V134" s="88" t="s">
        <v>391</v>
      </c>
      <c r="W134" s="94" t="s">
        <v>135</v>
      </c>
      <c r="X134" s="94" t="s">
        <v>558</v>
      </c>
      <c r="Y134" s="5"/>
      <c r="Z134" s="5"/>
      <c r="AA134" s="5"/>
      <c r="AB134" s="6"/>
      <c r="AD134" s="5"/>
      <c r="AE134" s="140"/>
      <c r="AF134" s="140"/>
      <c r="AG134" s="140"/>
      <c r="AH134" s="140"/>
      <c r="AI134" s="140"/>
      <c r="AJ134" s="140"/>
    </row>
    <row r="135" spans="22:36" ht="15.6">
      <c r="V135" s="88" t="s">
        <v>391</v>
      </c>
      <c r="W135" s="94" t="s">
        <v>135</v>
      </c>
      <c r="X135" s="9">
        <f>Database!$I$25*1000*-1</f>
        <v>-56900</v>
      </c>
      <c r="Y135" s="5" t="s">
        <v>279</v>
      </c>
      <c r="Z135" s="5"/>
      <c r="AA135" s="5"/>
      <c r="AB135" s="6"/>
      <c r="AD135" s="9"/>
      <c r="AE135" s="115"/>
      <c r="AF135" s="140"/>
      <c r="AG135" s="141"/>
      <c r="AH135" s="140"/>
      <c r="AI135" s="140"/>
      <c r="AJ135" s="140"/>
    </row>
    <row r="136" spans="22:36" ht="15.6">
      <c r="V136" s="181"/>
      <c r="W136" s="21"/>
      <c r="X136" s="5"/>
      <c r="Y136" s="5"/>
      <c r="Z136" s="5"/>
      <c r="AA136" s="5"/>
      <c r="AB136" s="6"/>
      <c r="AD136" s="9"/>
      <c r="AE136" s="9"/>
      <c r="AF136" s="9"/>
      <c r="AG136" s="5"/>
      <c r="AH136" s="140"/>
      <c r="AI136" s="140"/>
      <c r="AJ136" s="140"/>
    </row>
    <row r="137" spans="22:36" ht="15.6">
      <c r="V137" s="181" t="s">
        <v>589</v>
      </c>
      <c r="W137" s="153"/>
      <c r="X137" s="5"/>
      <c r="Y137" s="5"/>
      <c r="Z137" s="5"/>
      <c r="AA137" s="5"/>
      <c r="AB137" s="6"/>
      <c r="AD137" s="140"/>
      <c r="AE137" s="140"/>
      <c r="AF137" s="140"/>
      <c r="AG137" s="140"/>
      <c r="AH137" s="140"/>
      <c r="AI137" s="140"/>
      <c r="AJ137" s="140"/>
    </row>
    <row r="138" spans="22:36" ht="46.8" customHeight="1">
      <c r="V138" s="88" t="s">
        <v>390</v>
      </c>
      <c r="W138" s="94" t="s">
        <v>135</v>
      </c>
      <c r="X138" s="377"/>
      <c r="Y138" s="377"/>
      <c r="Z138" s="377"/>
      <c r="AA138" s="377"/>
      <c r="AB138" s="465"/>
      <c r="AD138" s="5"/>
      <c r="AE138" s="140"/>
      <c r="AF138" s="140"/>
      <c r="AG138" s="140"/>
      <c r="AH138" s="140"/>
      <c r="AI138" s="140"/>
      <c r="AJ138" s="140"/>
    </row>
    <row r="139" spans="22:36" ht="15.6">
      <c r="V139" s="116" t="s">
        <v>390</v>
      </c>
      <c r="W139" s="117" t="s">
        <v>135</v>
      </c>
      <c r="X139" s="129">
        <f>Database!$C$48*(($E$35+273.15)-(Database!$H$15))+((Database!$D$48*(($E$35+273.15)^2-(Database!$H$15)^2))/2)+((Database!$E$48*(($E$35+273.15)^3-(Database!$H$15)^3))/3)+((Database!$F$48*(($E$35+273.15)^4-(Database!$H$15)^4))/4)</f>
        <v>-33400.811304313756</v>
      </c>
      <c r="Y139" s="5" t="s">
        <v>279</v>
      </c>
      <c r="Z139" s="5"/>
      <c r="AA139" s="5"/>
      <c r="AB139" s="6"/>
      <c r="AD139" s="9"/>
      <c r="AE139" s="9"/>
      <c r="AF139" s="143"/>
      <c r="AG139" s="140"/>
      <c r="AH139" s="140"/>
      <c r="AI139" s="140"/>
      <c r="AJ139" s="140"/>
    </row>
    <row r="140" spans="22:36" ht="15.6">
      <c r="V140" s="4"/>
      <c r="W140" s="5"/>
      <c r="X140" s="5"/>
      <c r="Y140" s="5"/>
      <c r="Z140" s="5"/>
      <c r="AA140" s="5"/>
      <c r="AB140" s="6"/>
      <c r="AD140" s="9"/>
      <c r="AE140" s="9"/>
      <c r="AF140" s="96"/>
      <c r="AG140" s="5"/>
      <c r="AH140" s="140"/>
      <c r="AI140" s="140"/>
      <c r="AJ140" s="140"/>
    </row>
    <row r="141" spans="22:36" ht="15.6">
      <c r="V141" s="116" t="s">
        <v>288</v>
      </c>
      <c r="W141" s="117" t="s">
        <v>135</v>
      </c>
      <c r="X141" s="9" t="s">
        <v>389</v>
      </c>
      <c r="Y141" s="117" t="s">
        <v>284</v>
      </c>
      <c r="Z141" s="9" t="s">
        <v>391</v>
      </c>
      <c r="AA141" s="117" t="s">
        <v>284</v>
      </c>
      <c r="AB141" s="121" t="s">
        <v>390</v>
      </c>
      <c r="AD141" s="140"/>
      <c r="AE141" s="140"/>
      <c r="AF141" s="140"/>
      <c r="AG141" s="140"/>
      <c r="AH141" s="140"/>
      <c r="AI141" s="140"/>
      <c r="AJ141" s="140"/>
    </row>
    <row r="142" spans="22:36" ht="15.6">
      <c r="V142" s="85" t="s">
        <v>288</v>
      </c>
      <c r="W142" s="118" t="s">
        <v>135</v>
      </c>
      <c r="X142" s="119">
        <f>X139+X135+X131</f>
        <v>-71227.986949473474</v>
      </c>
      <c r="Y142" s="11" t="s">
        <v>279</v>
      </c>
      <c r="Z142" s="11"/>
      <c r="AA142" s="11"/>
      <c r="AB142" s="12"/>
      <c r="AD142" s="9"/>
      <c r="AE142" s="9"/>
      <c r="AF142" s="9"/>
      <c r="AG142" s="9"/>
      <c r="AH142" s="9"/>
      <c r="AI142" s="9"/>
      <c r="AJ142" s="9"/>
    </row>
    <row r="143" spans="22:36" ht="15.6">
      <c r="V143" s="148"/>
      <c r="W143" s="148"/>
      <c r="X143" s="148"/>
      <c r="Y143" s="148"/>
      <c r="Z143" s="148"/>
      <c r="AA143" s="148"/>
      <c r="AB143" s="148"/>
      <c r="AD143" s="9"/>
      <c r="AE143" s="9"/>
      <c r="AF143" s="129"/>
      <c r="AG143" s="5"/>
      <c r="AH143" s="140"/>
      <c r="AI143" s="140"/>
      <c r="AJ143" s="140"/>
    </row>
    <row r="144" spans="22:36" ht="15.6">
      <c r="V144" s="1"/>
      <c r="W144" s="2"/>
      <c r="X144" s="91" t="s">
        <v>289</v>
      </c>
      <c r="Y144" s="2"/>
      <c r="Z144" s="2"/>
      <c r="AA144" s="2"/>
      <c r="AB144" s="3"/>
      <c r="AD144" s="5"/>
      <c r="AE144" s="9"/>
      <c r="AF144" s="5"/>
      <c r="AG144" s="5"/>
      <c r="AH144" s="5"/>
      <c r="AI144" s="5"/>
      <c r="AJ144" s="5"/>
    </row>
    <row r="145" spans="22:36" ht="15.6">
      <c r="V145" s="116" t="s">
        <v>425</v>
      </c>
      <c r="W145" s="5"/>
      <c r="X145" s="5"/>
      <c r="Y145" s="5"/>
      <c r="Z145" s="9" t="s">
        <v>511</v>
      </c>
      <c r="AA145" s="5"/>
      <c r="AB145" s="6"/>
      <c r="AD145" s="5"/>
      <c r="AE145" s="9"/>
      <c r="AF145" s="5"/>
      <c r="AG145" s="5"/>
      <c r="AH145" s="5"/>
      <c r="AI145" s="5"/>
      <c r="AJ145" s="5"/>
    </row>
    <row r="146" spans="22:36" ht="15.6">
      <c r="V146" s="156" t="s">
        <v>392</v>
      </c>
      <c r="W146" s="5"/>
      <c r="X146" s="5"/>
      <c r="Y146" s="5"/>
      <c r="Z146" s="64" t="s">
        <v>393</v>
      </c>
      <c r="AA146" s="5"/>
      <c r="AB146" s="6"/>
      <c r="AD146" s="140"/>
      <c r="AE146" s="140"/>
      <c r="AF146" s="9"/>
      <c r="AG146" s="140"/>
      <c r="AH146" s="140"/>
      <c r="AI146" s="140"/>
      <c r="AJ146" s="140"/>
    </row>
    <row r="147" spans="22:36" ht="15.6">
      <c r="V147" s="172"/>
      <c r="W147" s="5"/>
      <c r="X147" s="5"/>
      <c r="Y147" s="5"/>
      <c r="Z147" s="148"/>
      <c r="AA147" s="5"/>
      <c r="AB147" s="6"/>
      <c r="AD147" s="115"/>
      <c r="AE147" s="140"/>
      <c r="AF147" s="144"/>
      <c r="AG147" s="140"/>
      <c r="AH147" s="115"/>
      <c r="AI147" s="140"/>
      <c r="AJ147" s="140"/>
    </row>
    <row r="148" spans="22:36" ht="15.6">
      <c r="V148" s="4"/>
      <c r="W148" s="9" t="s">
        <v>509</v>
      </c>
      <c r="X148" s="9" t="s">
        <v>394</v>
      </c>
      <c r="Y148" s="9" t="s">
        <v>510</v>
      </c>
      <c r="Z148" s="5"/>
      <c r="AA148" s="5"/>
      <c r="AB148" s="6"/>
      <c r="AD148" s="140"/>
      <c r="AE148" s="140"/>
      <c r="AF148" s="140"/>
      <c r="AG148" s="140"/>
      <c r="AH148" s="140"/>
      <c r="AI148" s="140"/>
      <c r="AJ148" s="140"/>
    </row>
    <row r="149" spans="22:36" ht="15.6">
      <c r="V149" s="4"/>
      <c r="W149" s="5"/>
      <c r="X149" s="148"/>
      <c r="Y149" s="5"/>
      <c r="Z149" s="5"/>
      <c r="AA149" s="5"/>
      <c r="AB149" s="6"/>
      <c r="AD149" s="9"/>
      <c r="AE149" s="140"/>
      <c r="AF149" s="140"/>
      <c r="AG149" s="140"/>
      <c r="AH149" s="9"/>
      <c r="AI149" s="140"/>
      <c r="AJ149" s="140"/>
    </row>
    <row r="150" spans="22:36" ht="15.6">
      <c r="V150" s="4" t="s">
        <v>576</v>
      </c>
      <c r="W150" s="9"/>
      <c r="X150" s="5"/>
      <c r="Y150" s="148"/>
      <c r="Z150" s="5"/>
      <c r="AA150" s="5"/>
      <c r="AB150" s="6"/>
      <c r="AD150" s="140"/>
      <c r="AE150" s="115"/>
      <c r="AF150" s="140"/>
      <c r="AG150" s="115"/>
      <c r="AH150" s="140"/>
      <c r="AI150" s="140"/>
      <c r="AJ150" s="140"/>
    </row>
    <row r="151" spans="22:36" ht="48.6" customHeight="1">
      <c r="V151" s="88" t="s">
        <v>392</v>
      </c>
      <c r="W151" s="94" t="s">
        <v>135</v>
      </c>
      <c r="X151" s="377"/>
      <c r="Y151" s="377"/>
      <c r="Z151" s="377"/>
      <c r="AA151" s="377"/>
      <c r="AB151" s="465"/>
      <c r="AD151" s="140"/>
      <c r="AE151" s="140"/>
      <c r="AF151" s="9"/>
      <c r="AG151" s="140"/>
      <c r="AH151" s="140"/>
      <c r="AI151" s="140"/>
      <c r="AJ151" s="140"/>
    </row>
    <row r="152" spans="22:36" ht="15.6">
      <c r="V152" s="116" t="s">
        <v>392</v>
      </c>
      <c r="W152" s="117" t="s">
        <v>135</v>
      </c>
      <c r="X152" s="96">
        <f>(Database!$C$32*((Database!$H$11)-($Y$44+273.15)))+(((Database!$D$32)*((Database!$H$11)^2-($Y$44+273.15)^2))/2)+((Database!$E$32*((Database!$H$11)^3-($Y$44+273.15)^3))/3)+((Database!$F$32*((Database!$H$11)^4-($Y$44+273.15)^4))/4)+((Database!$G$32)*((Database!$H$11)^(5)-($Y$44+273.15)^5))/5</f>
        <v>-695.48620406653799</v>
      </c>
      <c r="Y152" s="5" t="s">
        <v>279</v>
      </c>
      <c r="Z152" s="5"/>
      <c r="AA152" s="5"/>
      <c r="AB152" s="6"/>
      <c r="AD152" s="5"/>
      <c r="AE152" s="140"/>
      <c r="AF152" s="140"/>
      <c r="AG152" s="140"/>
      <c r="AH152" s="140"/>
      <c r="AI152" s="140"/>
      <c r="AJ152" s="140"/>
    </row>
    <row r="153" spans="22:36" ht="15.6">
      <c r="V153" s="4"/>
      <c r="W153" s="148"/>
      <c r="X153" s="148"/>
      <c r="Y153" s="5"/>
      <c r="Z153" s="5"/>
      <c r="AA153" s="5"/>
      <c r="AB153" s="6"/>
      <c r="AD153" s="9"/>
      <c r="AE153" s="9"/>
      <c r="AF153" s="140"/>
      <c r="AG153" s="140"/>
      <c r="AH153" s="140"/>
      <c r="AI153" s="140"/>
      <c r="AJ153" s="140"/>
    </row>
    <row r="154" spans="22:36" ht="15.6">
      <c r="V154" s="4" t="s">
        <v>344</v>
      </c>
      <c r="W154" s="9"/>
      <c r="X154" s="5"/>
      <c r="Y154" s="5"/>
      <c r="Z154" s="5"/>
      <c r="AA154" s="5"/>
      <c r="AB154" s="6"/>
      <c r="AD154" s="115"/>
      <c r="AE154" s="9"/>
      <c r="AF154" s="129"/>
      <c r="AG154" s="5"/>
      <c r="AH154" s="141"/>
      <c r="AI154" s="140"/>
      <c r="AJ154" s="140"/>
    </row>
    <row r="155" spans="22:36" ht="15.6">
      <c r="V155" s="116" t="s">
        <v>394</v>
      </c>
      <c r="W155" s="117" t="s">
        <v>135</v>
      </c>
      <c r="X155" s="94" t="s">
        <v>559</v>
      </c>
      <c r="Y155" s="5"/>
      <c r="Z155" s="5"/>
      <c r="AA155" s="5"/>
      <c r="AB155" s="6"/>
      <c r="AD155" s="140"/>
      <c r="AE155" s="140"/>
      <c r="AF155" s="140"/>
      <c r="AG155" s="140"/>
      <c r="AH155" s="140"/>
      <c r="AI155" s="140"/>
      <c r="AJ155" s="140"/>
    </row>
    <row r="156" spans="22:36" ht="15.6">
      <c r="V156" s="116" t="s">
        <v>394</v>
      </c>
      <c r="W156" s="117" t="s">
        <v>135</v>
      </c>
      <c r="X156" s="9">
        <f>Database!$I$21*1000*-1</f>
        <v>-25700</v>
      </c>
      <c r="Y156" s="5" t="s">
        <v>279</v>
      </c>
      <c r="Z156" s="5"/>
      <c r="AA156" s="5"/>
      <c r="AB156" s="6"/>
      <c r="AD156" s="5"/>
      <c r="AE156" s="140"/>
      <c r="AF156" s="140"/>
      <c r="AG156" s="140"/>
      <c r="AH156" s="140"/>
      <c r="AI156" s="140"/>
      <c r="AJ156" s="140"/>
    </row>
    <row r="157" spans="22:36" ht="15.6">
      <c r="V157" s="4"/>
      <c r="W157" s="9"/>
      <c r="X157" s="5"/>
      <c r="Y157" s="5"/>
      <c r="Z157" s="5"/>
      <c r="AA157" s="5"/>
      <c r="AB157" s="6"/>
      <c r="AD157" s="9"/>
      <c r="AE157" s="115"/>
      <c r="AF157" s="140"/>
      <c r="AG157" s="141"/>
      <c r="AH157" s="140"/>
      <c r="AI157" s="140"/>
      <c r="AJ157" s="140"/>
    </row>
    <row r="158" spans="22:36" ht="15.6">
      <c r="V158" s="4" t="s">
        <v>591</v>
      </c>
      <c r="W158" s="5"/>
      <c r="X158" s="5"/>
      <c r="Y158" s="5"/>
      <c r="Z158" s="5"/>
      <c r="AA158" s="5"/>
      <c r="AB158" s="6"/>
      <c r="AD158" s="9"/>
      <c r="AE158" s="9"/>
      <c r="AF158" s="9"/>
      <c r="AG158" s="5"/>
      <c r="AH158" s="140"/>
      <c r="AI158" s="140"/>
      <c r="AJ158" s="140"/>
    </row>
    <row r="159" spans="22:36" ht="48" customHeight="1">
      <c r="V159" s="88" t="s">
        <v>393</v>
      </c>
      <c r="W159" s="94" t="s">
        <v>135</v>
      </c>
      <c r="X159" s="5"/>
      <c r="Y159" s="5"/>
      <c r="Z159" s="5"/>
      <c r="AA159" s="5"/>
      <c r="AB159" s="6"/>
      <c r="AD159" s="140"/>
      <c r="AE159" s="140"/>
      <c r="AF159" s="140"/>
      <c r="AG159" s="140"/>
      <c r="AH159" s="140"/>
      <c r="AI159" s="140"/>
      <c r="AJ159" s="140"/>
    </row>
    <row r="160" spans="22:36" ht="15.6">
      <c r="V160" s="116" t="s">
        <v>393</v>
      </c>
      <c r="W160" s="117" t="s">
        <v>135</v>
      </c>
      <c r="X160" s="129">
        <f>(Database!$C$44*($H$67+273.15)-(Database!$H$11))+((Database!$D$44*(($H$67+273.15)^2-(Database!$H$11)^2))/2)+((Database!$E$44*(($H$67+273.15)^3-(Database!$H$11)^3))/3)+((Database!$F$44*(($H$67+273.15)^4-(Database!$H$11)^4))/4)</f>
        <v>25950.873724053625</v>
      </c>
      <c r="Y160" s="5" t="s">
        <v>279</v>
      </c>
      <c r="Z160" s="5"/>
      <c r="AA160" s="5"/>
      <c r="AB160" s="6"/>
      <c r="AD160" s="5"/>
      <c r="AE160" s="140"/>
      <c r="AF160" s="140"/>
      <c r="AG160" s="140"/>
      <c r="AH160" s="140"/>
      <c r="AI160" s="140"/>
      <c r="AJ160" s="140"/>
    </row>
    <row r="161" spans="22:36" ht="15.6">
      <c r="V161" s="4"/>
      <c r="W161" s="5"/>
      <c r="X161" s="5"/>
      <c r="Y161" s="5"/>
      <c r="Z161" s="5"/>
      <c r="AA161" s="5"/>
      <c r="AB161" s="6"/>
      <c r="AD161" s="9"/>
      <c r="AE161" s="9"/>
      <c r="AF161" s="143"/>
      <c r="AG161" s="140"/>
      <c r="AH161" s="140"/>
      <c r="AI161" s="140"/>
      <c r="AJ161" s="140"/>
    </row>
    <row r="162" spans="22:36" ht="15.6">
      <c r="V162" s="116" t="s">
        <v>289</v>
      </c>
      <c r="W162" s="117" t="s">
        <v>135</v>
      </c>
      <c r="X162" s="9" t="s">
        <v>392</v>
      </c>
      <c r="Y162" s="117" t="s">
        <v>284</v>
      </c>
      <c r="Z162" s="9" t="s">
        <v>394</v>
      </c>
      <c r="AA162" s="117" t="s">
        <v>284</v>
      </c>
      <c r="AB162" s="121" t="s">
        <v>393</v>
      </c>
      <c r="AD162" s="9"/>
      <c r="AE162" s="9"/>
      <c r="AF162" s="96"/>
      <c r="AG162" s="5"/>
      <c r="AH162" s="140"/>
      <c r="AI162" s="140"/>
      <c r="AJ162" s="140"/>
    </row>
    <row r="163" spans="22:36" ht="15.6">
      <c r="V163" s="85" t="s">
        <v>289</v>
      </c>
      <c r="W163" s="118" t="s">
        <v>135</v>
      </c>
      <c r="X163" s="119">
        <f>X160+X156+X152</f>
        <v>-444.61248001291324</v>
      </c>
      <c r="Y163" s="11" t="s">
        <v>279</v>
      </c>
      <c r="Z163" s="11"/>
      <c r="AA163" s="11"/>
      <c r="AB163" s="12"/>
      <c r="AD163" s="140"/>
      <c r="AE163" s="140"/>
      <c r="AF163" s="140"/>
      <c r="AG163" s="140"/>
      <c r="AH163" s="140"/>
      <c r="AI163" s="140"/>
      <c r="AJ163" s="140"/>
    </row>
    <row r="164" spans="22:36" ht="15.6">
      <c r="V164" s="148"/>
      <c r="W164" s="148"/>
      <c r="X164" s="148"/>
      <c r="Y164" s="148"/>
      <c r="Z164" s="148"/>
      <c r="AA164" s="148"/>
      <c r="AB164" s="148"/>
      <c r="AD164" s="9"/>
      <c r="AE164" s="9"/>
      <c r="AF164" s="9"/>
      <c r="AG164" s="9"/>
      <c r="AH164" s="9"/>
      <c r="AI164" s="9"/>
      <c r="AJ164" s="9"/>
    </row>
    <row r="165" spans="22:36" ht="15.6">
      <c r="V165" s="1"/>
      <c r="W165" s="2"/>
      <c r="X165" s="91" t="s">
        <v>290</v>
      </c>
      <c r="Y165" s="2"/>
      <c r="Z165" s="2"/>
      <c r="AA165" s="2"/>
      <c r="AB165" s="3"/>
      <c r="AD165" s="9"/>
      <c r="AE165" s="9"/>
      <c r="AF165" s="129"/>
      <c r="AG165" s="5"/>
      <c r="AH165" s="140"/>
      <c r="AI165" s="140"/>
      <c r="AJ165" s="140"/>
    </row>
    <row r="166" spans="22:36" ht="15.6">
      <c r="V166" s="116" t="s">
        <v>346</v>
      </c>
      <c r="W166" s="5"/>
      <c r="X166" s="5"/>
      <c r="Y166" s="5"/>
      <c r="Z166" s="109" t="s">
        <v>512</v>
      </c>
      <c r="AA166" s="5"/>
      <c r="AB166" s="6"/>
    </row>
    <row r="167" spans="22:36" ht="15.6">
      <c r="V167" s="156" t="s">
        <v>422</v>
      </c>
      <c r="W167" s="5"/>
      <c r="X167" s="5"/>
      <c r="Y167" s="5"/>
      <c r="Z167" s="64" t="s">
        <v>423</v>
      </c>
      <c r="AA167" s="5"/>
      <c r="AB167" s="6"/>
    </row>
    <row r="168" spans="22:36" ht="15.6">
      <c r="V168" s="172"/>
      <c r="W168" s="5"/>
      <c r="X168" s="5"/>
      <c r="Y168" s="5"/>
      <c r="Z168" s="148"/>
      <c r="AA168" s="5"/>
      <c r="AB168" s="6"/>
    </row>
    <row r="169" spans="22:36" ht="15.6">
      <c r="V169" s="4"/>
      <c r="W169" s="9" t="s">
        <v>350</v>
      </c>
      <c r="X169" s="9" t="s">
        <v>424</v>
      </c>
      <c r="Y169" s="9" t="s">
        <v>351</v>
      </c>
      <c r="Z169" s="5"/>
      <c r="AA169" s="5"/>
      <c r="AB169" s="6"/>
    </row>
    <row r="170" spans="22:36" ht="15.6">
      <c r="V170" s="4"/>
      <c r="W170" s="5"/>
      <c r="X170" s="148"/>
      <c r="Y170" s="5"/>
      <c r="Z170" s="5"/>
      <c r="AA170" s="5"/>
      <c r="AB170" s="6"/>
    </row>
    <row r="171" spans="22:36" ht="15.6">
      <c r="V171" s="4" t="s">
        <v>578</v>
      </c>
      <c r="W171" s="9"/>
      <c r="X171" s="5"/>
      <c r="Y171" s="148"/>
      <c r="Z171" s="5"/>
      <c r="AA171" s="5"/>
      <c r="AB171" s="6"/>
    </row>
    <row r="172" spans="22:36" ht="48" customHeight="1">
      <c r="V172" s="88" t="s">
        <v>422</v>
      </c>
      <c r="W172" s="94" t="s">
        <v>135</v>
      </c>
      <c r="X172" s="377"/>
      <c r="Y172" s="377"/>
      <c r="Z172" s="377"/>
      <c r="AA172" s="377"/>
      <c r="AB172" s="465"/>
    </row>
    <row r="173" spans="22:36" ht="15.6">
      <c r="V173" s="116" t="s">
        <v>422</v>
      </c>
      <c r="W173" s="117" t="s">
        <v>135</v>
      </c>
      <c r="X173" s="96">
        <f>(Database!$C$33*((Database!$H$12)-($Y$44+273.15)))+(((Database!$D$33)*((Database!$H$12)^2-($Y$44+273.15)^2))/2)+((Database!$E$33*((Database!$H$12)^3-($Y$44+273.15)^3))/3)+((Database!$F$33*((Database!$H$12)^4-($Y$44+273.15)^4))/4)+((Database!$G$33)*((Database!$H$12)^(5)-($Y$44+273.15)^5))/5</f>
        <v>14587.315366913117</v>
      </c>
      <c r="Y173" s="5" t="s">
        <v>279</v>
      </c>
      <c r="Z173" s="5"/>
      <c r="AA173" s="5"/>
      <c r="AB173" s="6"/>
    </row>
    <row r="174" spans="22:36" ht="15.6">
      <c r="V174" s="4"/>
      <c r="W174" s="148"/>
      <c r="X174" s="148"/>
      <c r="Y174" s="5"/>
      <c r="Z174" s="5"/>
      <c r="AA174" s="5"/>
      <c r="AB174" s="6"/>
    </row>
    <row r="175" spans="22:36" ht="15.6">
      <c r="V175" s="4" t="s">
        <v>353</v>
      </c>
      <c r="W175" s="9"/>
      <c r="X175" s="5"/>
      <c r="Y175" s="5"/>
      <c r="Z175" s="5"/>
      <c r="AA175" s="5"/>
      <c r="AB175" s="6"/>
    </row>
    <row r="176" spans="22:36" ht="15.6">
      <c r="V176" s="116" t="s">
        <v>424</v>
      </c>
      <c r="W176" s="117" t="s">
        <v>135</v>
      </c>
      <c r="X176" s="94" t="s">
        <v>560</v>
      </c>
      <c r="Y176" s="5"/>
      <c r="Z176" s="5"/>
      <c r="AA176" s="5"/>
      <c r="AB176" s="6"/>
    </row>
    <row r="177" spans="22:28" ht="15.6" customHeight="1">
      <c r="V177" s="116" t="s">
        <v>424</v>
      </c>
      <c r="W177" s="117" t="s">
        <v>135</v>
      </c>
      <c r="X177" s="9">
        <f>Database!$I$22*1000*-1</f>
        <v>-51530</v>
      </c>
      <c r="Y177" s="5" t="s">
        <v>279</v>
      </c>
      <c r="Z177" s="5"/>
      <c r="AA177" s="5"/>
      <c r="AB177" s="6"/>
    </row>
    <row r="178" spans="22:28" ht="15.6">
      <c r="V178" s="4"/>
      <c r="W178" s="9"/>
      <c r="X178" s="5"/>
      <c r="Y178" s="5"/>
      <c r="Z178" s="5"/>
      <c r="AA178" s="5"/>
      <c r="AB178" s="6"/>
    </row>
    <row r="179" spans="22:28" ht="15.6">
      <c r="V179" s="4" t="s">
        <v>591</v>
      </c>
      <c r="W179" s="5"/>
      <c r="X179" s="5"/>
      <c r="Y179" s="5"/>
      <c r="Z179" s="5"/>
      <c r="AA179" s="5"/>
      <c r="AB179" s="6"/>
    </row>
    <row r="180" spans="22:28" ht="47.4" customHeight="1">
      <c r="V180" s="88" t="s">
        <v>423</v>
      </c>
      <c r="W180" s="94" t="s">
        <v>135</v>
      </c>
      <c r="X180" s="377"/>
      <c r="Y180" s="377"/>
      <c r="Z180" s="377"/>
      <c r="AA180" s="377"/>
      <c r="AB180" s="465"/>
    </row>
    <row r="181" spans="22:28" ht="15.6">
      <c r="V181" s="116" t="s">
        <v>423</v>
      </c>
      <c r="W181" s="117" t="s">
        <v>135</v>
      </c>
      <c r="X181" s="129">
        <f>Database!$C$45*(($H$67+273.15)-(Database!$H$12))+((Database!$D$45*(($H$67+273.15)^2-(Database!$H$12)^2))/2)+((Database!$E$45*(($H$67+273.15)^3-(Database!$H$12)^3))/3)+((Database!$F$45*(($H$67+273.15)^4-(Database!$H$12)^4))/4)</f>
        <v>-1326.7527447281109</v>
      </c>
      <c r="Y181" s="5" t="s">
        <v>279</v>
      </c>
      <c r="Z181" s="5"/>
      <c r="AA181" s="5"/>
      <c r="AB181" s="6"/>
    </row>
    <row r="182" spans="22:28" ht="15.6">
      <c r="V182" s="4"/>
      <c r="W182" s="5"/>
      <c r="X182" s="5"/>
      <c r="Y182" s="5"/>
      <c r="Z182" s="5"/>
      <c r="AA182" s="5"/>
      <c r="AB182" s="6"/>
    </row>
    <row r="183" spans="22:28" ht="15.6">
      <c r="V183" s="116" t="s">
        <v>290</v>
      </c>
      <c r="W183" s="117" t="s">
        <v>135</v>
      </c>
      <c r="X183" s="9" t="s">
        <v>422</v>
      </c>
      <c r="Y183" s="117" t="s">
        <v>284</v>
      </c>
      <c r="Z183" s="9" t="s">
        <v>424</v>
      </c>
      <c r="AA183" s="117" t="s">
        <v>284</v>
      </c>
      <c r="AB183" s="121" t="s">
        <v>423</v>
      </c>
    </row>
    <row r="184" spans="22:28" ht="15.6">
      <c r="V184" s="85" t="s">
        <v>290</v>
      </c>
      <c r="W184" s="118" t="s">
        <v>135</v>
      </c>
      <c r="X184" s="119">
        <f>X181+X177+X173</f>
        <v>-38269.437377814989</v>
      </c>
      <c r="Y184" s="11" t="s">
        <v>279</v>
      </c>
      <c r="Z184" s="11"/>
      <c r="AA184" s="11"/>
      <c r="AB184" s="12"/>
    </row>
    <row r="185" spans="22:28" ht="15.75" customHeight="1">
      <c r="V185" s="148"/>
      <c r="W185" s="148"/>
      <c r="X185" s="148"/>
      <c r="Y185" s="148"/>
      <c r="Z185" s="148"/>
      <c r="AA185" s="148"/>
      <c r="AB185" s="148"/>
    </row>
    <row r="186" spans="22:28" ht="15.6">
      <c r="V186" s="1"/>
      <c r="W186" s="2"/>
      <c r="X186" s="91" t="s">
        <v>292</v>
      </c>
      <c r="Y186" s="2"/>
      <c r="Z186" s="2"/>
      <c r="AA186" s="2"/>
      <c r="AB186" s="3"/>
    </row>
    <row r="187" spans="22:28" ht="15.6">
      <c r="V187" s="116" t="s">
        <v>346</v>
      </c>
      <c r="W187" s="5"/>
      <c r="X187" s="5"/>
      <c r="Y187" s="5"/>
      <c r="Z187" s="109" t="s">
        <v>534</v>
      </c>
      <c r="AA187" s="5"/>
      <c r="AB187" s="6"/>
    </row>
    <row r="188" spans="22:28" ht="15.6">
      <c r="V188" s="156" t="s">
        <v>339</v>
      </c>
      <c r="W188" s="5"/>
      <c r="X188" s="5"/>
      <c r="Y188" s="5"/>
      <c r="Z188" s="64" t="s">
        <v>340</v>
      </c>
      <c r="AA188" s="5"/>
      <c r="AB188" s="6"/>
    </row>
    <row r="189" spans="22:28" ht="15.6">
      <c r="V189" s="172"/>
      <c r="W189" s="5"/>
      <c r="X189" s="5"/>
      <c r="Y189" s="5"/>
      <c r="Z189" s="148"/>
      <c r="AA189" s="5"/>
      <c r="AB189" s="6"/>
    </row>
    <row r="190" spans="22:28" ht="15.6">
      <c r="V190" s="4"/>
      <c r="W190" s="9" t="s">
        <v>350</v>
      </c>
      <c r="X190" s="5"/>
      <c r="Y190" s="9" t="s">
        <v>351</v>
      </c>
      <c r="Z190" s="5"/>
      <c r="AA190" s="5"/>
      <c r="AB190" s="6"/>
    </row>
    <row r="191" spans="22:28" ht="15.6">
      <c r="V191" s="4"/>
      <c r="W191" s="5"/>
      <c r="X191" s="9" t="s">
        <v>343</v>
      </c>
      <c r="Y191" s="5"/>
      <c r="Z191" s="5"/>
      <c r="AA191" s="5"/>
      <c r="AB191" s="6"/>
    </row>
    <row r="192" spans="22:28" ht="15.6">
      <c r="V192" s="4" t="s">
        <v>578</v>
      </c>
      <c r="W192" s="9"/>
      <c r="X192" s="5"/>
      <c r="Y192" s="148"/>
      <c r="Z192" s="5"/>
      <c r="AA192" s="5"/>
      <c r="AB192" s="6"/>
    </row>
    <row r="193" spans="22:28" ht="47.4" customHeight="1">
      <c r="V193" s="88" t="s">
        <v>339</v>
      </c>
      <c r="W193" s="94" t="s">
        <v>135</v>
      </c>
      <c r="X193" s="377"/>
      <c r="Y193" s="377"/>
      <c r="Z193" s="377"/>
      <c r="AA193" s="377"/>
      <c r="AB193" s="465"/>
    </row>
    <row r="194" spans="22:28" ht="15.6">
      <c r="V194" s="88" t="s">
        <v>339</v>
      </c>
      <c r="W194" s="94" t="s">
        <v>135</v>
      </c>
      <c r="X194" s="96">
        <f>(Database!$C$33*((Database!$H$12)-($Y$44+273.15)))+(((Database!$D$33)*((Database!$H$12)^2-($Y$44+273.15)^2))/2)+((Database!$E$33*((Database!$H$12)^3-($Y$44+273.15)^3))/3)+((Database!$F$33*((Database!$H$12)^4-($Y$44+273.15)^4))/4)+((Database!$G$33)*((Database!$H$12)^(5)-($Y$44+273.15)^5))/5</f>
        <v>14587.315366913117</v>
      </c>
      <c r="Y194" s="5" t="s">
        <v>279</v>
      </c>
      <c r="Z194" s="5"/>
      <c r="AA194" s="5"/>
      <c r="AB194" s="6"/>
    </row>
    <row r="195" spans="22:28" ht="15.6">
      <c r="V195" s="181"/>
      <c r="W195" s="168"/>
      <c r="X195" s="148"/>
      <c r="Y195" s="5"/>
      <c r="Z195" s="5"/>
      <c r="AA195" s="5"/>
      <c r="AB195" s="6"/>
    </row>
    <row r="196" spans="22:28" ht="15.6">
      <c r="V196" s="181" t="s">
        <v>353</v>
      </c>
      <c r="W196" s="21"/>
      <c r="X196" s="5"/>
      <c r="Y196" s="5"/>
      <c r="Z196" s="5"/>
      <c r="AA196" s="5"/>
      <c r="AB196" s="6"/>
    </row>
    <row r="197" spans="22:28" ht="15.6">
      <c r="V197" s="88" t="s">
        <v>343</v>
      </c>
      <c r="W197" s="94" t="s">
        <v>135</v>
      </c>
      <c r="X197" s="94" t="s">
        <v>560</v>
      </c>
      <c r="Y197" s="5"/>
      <c r="Z197" s="5"/>
      <c r="AA197" s="5"/>
      <c r="AB197" s="6"/>
    </row>
    <row r="198" spans="22:28" ht="15.6">
      <c r="V198" s="88" t="s">
        <v>343</v>
      </c>
      <c r="W198" s="94" t="s">
        <v>135</v>
      </c>
      <c r="X198" s="9">
        <f>Database!$I$22*1000*-1</f>
        <v>-51530</v>
      </c>
      <c r="Y198" s="5" t="s">
        <v>279</v>
      </c>
      <c r="Z198" s="5"/>
      <c r="AA198" s="5"/>
      <c r="AB198" s="6"/>
    </row>
    <row r="199" spans="22:28" ht="15.6">
      <c r="V199" s="181"/>
      <c r="W199" s="21"/>
      <c r="X199" s="5"/>
      <c r="Y199" s="5"/>
      <c r="Z199" s="5"/>
      <c r="AA199" s="5"/>
      <c r="AB199" s="6"/>
    </row>
    <row r="200" spans="22:28" ht="15.6">
      <c r="V200" s="181" t="s">
        <v>592</v>
      </c>
      <c r="W200" s="153"/>
      <c r="X200" s="5"/>
      <c r="Y200" s="5"/>
      <c r="Z200" s="5"/>
      <c r="AA200" s="5"/>
      <c r="AB200" s="6"/>
    </row>
    <row r="201" spans="22:28" ht="48" customHeight="1">
      <c r="V201" s="88" t="s">
        <v>340</v>
      </c>
      <c r="W201" s="94" t="s">
        <v>135</v>
      </c>
      <c r="X201" s="377"/>
      <c r="Y201" s="377"/>
      <c r="Z201" s="377"/>
      <c r="AA201" s="377"/>
      <c r="AB201" s="465"/>
    </row>
    <row r="202" spans="22:28" ht="15.6">
      <c r="V202" s="88" t="s">
        <v>340</v>
      </c>
      <c r="W202" s="94" t="s">
        <v>135</v>
      </c>
      <c r="X202" s="129">
        <f>Database!$C$45*(($L$27+273.15)-(Database!$H$12))+((Database!$D$45*(($L$27+273.15)^2-(Database!$H$12)^2))/2)+((Database!$E$45*(($L$27+273.15)^3-(Database!$H$12)^3))/3)+((Database!$F$45*(($L$27+273.15)^4-(Database!$H$12)^4))/4)</f>
        <v>4268.2946505049076</v>
      </c>
      <c r="Y202" s="5" t="s">
        <v>279</v>
      </c>
      <c r="Z202" s="5"/>
      <c r="AA202" s="5"/>
      <c r="AB202" s="6"/>
    </row>
    <row r="203" spans="22:28" ht="15.6">
      <c r="V203" s="181"/>
      <c r="W203" s="153"/>
      <c r="X203" s="5"/>
      <c r="Y203" s="5"/>
      <c r="Z203" s="5"/>
      <c r="AA203" s="5"/>
      <c r="AB203" s="6"/>
    </row>
    <row r="204" spans="22:28" ht="15.6">
      <c r="V204" s="88" t="s">
        <v>292</v>
      </c>
      <c r="W204" s="94" t="s">
        <v>135</v>
      </c>
      <c r="X204" s="9" t="s">
        <v>339</v>
      </c>
      <c r="Y204" s="117" t="s">
        <v>284</v>
      </c>
      <c r="Z204" s="9" t="s">
        <v>343</v>
      </c>
      <c r="AA204" s="117" t="s">
        <v>284</v>
      </c>
      <c r="AB204" s="121" t="s">
        <v>340</v>
      </c>
    </row>
    <row r="205" spans="22:28" ht="15.6">
      <c r="V205" s="135" t="s">
        <v>292</v>
      </c>
      <c r="W205" s="182" t="s">
        <v>135</v>
      </c>
      <c r="X205" s="119">
        <f>X202+X198+X194</f>
        <v>-32674.389982581979</v>
      </c>
      <c r="Y205" s="11" t="s">
        <v>279</v>
      </c>
      <c r="Z205" s="11"/>
      <c r="AA205" s="11"/>
      <c r="AB205" s="12"/>
    </row>
    <row r="206" spans="22:28" ht="15.75" customHeight="1">
      <c r="V206" s="148"/>
      <c r="W206" s="148"/>
      <c r="X206" s="148"/>
      <c r="Y206" s="148"/>
      <c r="Z206" s="148"/>
      <c r="AA206" s="148"/>
      <c r="AB206" s="148"/>
    </row>
    <row r="207" spans="22:28" ht="15.6">
      <c r="V207" s="1"/>
      <c r="W207" s="2"/>
      <c r="X207" s="91" t="s">
        <v>345</v>
      </c>
      <c r="Y207" s="2"/>
      <c r="Z207" s="2"/>
      <c r="AA207" s="2"/>
      <c r="AB207" s="3"/>
    </row>
    <row r="208" spans="22:28" ht="15.6">
      <c r="V208" s="116" t="s">
        <v>355</v>
      </c>
      <c r="W208" s="5"/>
      <c r="X208" s="5"/>
      <c r="Y208" s="5"/>
      <c r="Z208" s="109" t="s">
        <v>536</v>
      </c>
      <c r="AA208" s="5"/>
      <c r="AB208" s="6"/>
    </row>
    <row r="209" spans="22:28" ht="15.6">
      <c r="V209" s="156" t="s">
        <v>348</v>
      </c>
      <c r="W209" s="5"/>
      <c r="X209" s="5"/>
      <c r="Y209" s="5"/>
      <c r="Z209" s="64" t="s">
        <v>349</v>
      </c>
      <c r="AA209" s="5"/>
      <c r="AB209" s="6"/>
    </row>
    <row r="210" spans="22:28" ht="15.6">
      <c r="V210" s="172"/>
      <c r="W210" s="5"/>
      <c r="X210" s="5"/>
      <c r="Y210" s="5"/>
      <c r="Z210" s="148"/>
      <c r="AA210" s="5"/>
      <c r="AB210" s="6"/>
    </row>
    <row r="211" spans="22:28" ht="15.6">
      <c r="V211" s="4"/>
      <c r="W211" s="9" t="s">
        <v>359</v>
      </c>
      <c r="X211" s="9" t="s">
        <v>352</v>
      </c>
      <c r="Y211" s="9" t="s">
        <v>360</v>
      </c>
      <c r="Z211" s="5"/>
      <c r="AA211" s="5"/>
      <c r="AB211" s="6"/>
    </row>
    <row r="212" spans="22:28" ht="15.6">
      <c r="V212" s="4"/>
      <c r="W212" s="5"/>
      <c r="X212" s="148"/>
      <c r="Y212" s="5"/>
      <c r="Z212" s="5"/>
      <c r="AA212" s="5"/>
      <c r="AB212" s="6"/>
    </row>
    <row r="213" spans="22:28" ht="15.6">
      <c r="V213" s="4" t="s">
        <v>579</v>
      </c>
      <c r="W213" s="9"/>
      <c r="X213" s="5"/>
      <c r="Y213" s="148"/>
      <c r="Z213" s="5"/>
      <c r="AA213" s="5"/>
      <c r="AB213" s="6"/>
    </row>
    <row r="214" spans="22:28" ht="48.6" customHeight="1">
      <c r="V214" s="88" t="s">
        <v>348</v>
      </c>
      <c r="W214" s="94" t="s">
        <v>135</v>
      </c>
      <c r="X214" s="377"/>
      <c r="Y214" s="377"/>
      <c r="Z214" s="377"/>
      <c r="AA214" s="377"/>
      <c r="AB214" s="465"/>
    </row>
    <row r="215" spans="22:28" ht="15.6">
      <c r="V215" s="88" t="s">
        <v>348</v>
      </c>
      <c r="W215" s="94" t="s">
        <v>135</v>
      </c>
      <c r="X215" s="96">
        <f>(Database!$C$34*((Database!$H$13)-($Y$44+273.15)))+(((Database!$D$34)*((Database!$H$13)^2-($Y$44+273.15)^2))/2)+((Database!$E$34*((Database!$H$13)^3-($Y$44+273.15)^3))/3)+((Database!$F$34*((Database!$H$13)^4-($Y$44+273.15)^4))/4)+((Database!$G$34)*((Database!$H$13)^(5)-($Y$44+273.15)^5))/5</f>
        <v>44168.085339864891</v>
      </c>
      <c r="Y215" s="5" t="s">
        <v>279</v>
      </c>
      <c r="Z215" s="5"/>
      <c r="AA215" s="5"/>
      <c r="AB215" s="6"/>
    </row>
    <row r="216" spans="22:28" ht="15.6">
      <c r="V216" s="181"/>
      <c r="W216" s="168"/>
      <c r="X216" s="148"/>
      <c r="Y216" s="5"/>
      <c r="Z216" s="5"/>
      <c r="AA216" s="5"/>
      <c r="AB216" s="6"/>
    </row>
    <row r="217" spans="22:28" ht="15.6">
      <c r="V217" s="181" t="s">
        <v>362</v>
      </c>
      <c r="W217" s="21"/>
      <c r="X217" s="5"/>
      <c r="Y217" s="5"/>
      <c r="Z217" s="5"/>
      <c r="AA217" s="5"/>
      <c r="AB217" s="6"/>
    </row>
    <row r="218" spans="22:28" ht="15.6">
      <c r="V218" s="88" t="s">
        <v>352</v>
      </c>
      <c r="W218" s="94" t="s">
        <v>135</v>
      </c>
      <c r="X218" s="94" t="s">
        <v>553</v>
      </c>
      <c r="Y218" s="5"/>
      <c r="Z218" s="5"/>
      <c r="AA218" s="5"/>
      <c r="AB218" s="6"/>
    </row>
    <row r="219" spans="22:28" ht="15.6">
      <c r="V219" s="88" t="s">
        <v>352</v>
      </c>
      <c r="W219" s="94" t="s">
        <v>135</v>
      </c>
      <c r="X219" s="9">
        <f>Database!$I$23*1000*-1</f>
        <v>-64459.999999999993</v>
      </c>
      <c r="Y219" s="5" t="s">
        <v>279</v>
      </c>
      <c r="Z219" s="5"/>
      <c r="AA219" s="5"/>
      <c r="AB219" s="6"/>
    </row>
    <row r="220" spans="22:28" ht="15.6">
      <c r="V220" s="181"/>
      <c r="W220" s="21"/>
      <c r="X220" s="5"/>
      <c r="Y220" s="5"/>
      <c r="Z220" s="5"/>
      <c r="AA220" s="5"/>
      <c r="AB220" s="6"/>
    </row>
    <row r="221" spans="22:28" ht="15.6">
      <c r="V221" s="181" t="s">
        <v>592</v>
      </c>
      <c r="W221" s="153"/>
      <c r="X221" s="5"/>
      <c r="Y221" s="5"/>
      <c r="Z221" s="5"/>
      <c r="AA221" s="5"/>
      <c r="AB221" s="6"/>
    </row>
    <row r="222" spans="22:28" ht="47.4" customHeight="1">
      <c r="V222" s="88" t="s">
        <v>349</v>
      </c>
      <c r="W222" s="94" t="s">
        <v>135</v>
      </c>
      <c r="X222" s="5"/>
      <c r="Y222" s="5"/>
      <c r="Z222" s="5"/>
      <c r="AA222" s="5"/>
      <c r="AB222" s="6"/>
    </row>
    <row r="223" spans="22:28" ht="15.6">
      <c r="V223" s="88" t="s">
        <v>349</v>
      </c>
      <c r="W223" s="94" t="s">
        <v>135</v>
      </c>
      <c r="X223" s="129">
        <f>Database!$C$46*(($L$27+273.15)-(Database!$H$13))+((Database!$D$46*(($L$27+273.15)^2-(Database!$H$13)^2))/2)+((Database!$E$46*(($L$27+273.15)^3-(Database!$H$13)^3))/3)+((Database!$F$46*(($L$27+273.15)^4-(Database!$H$13)^4))/4)</f>
        <v>-21984.81262008573</v>
      </c>
      <c r="Y223" s="5" t="s">
        <v>279</v>
      </c>
      <c r="Z223" s="5"/>
      <c r="AA223" s="5"/>
      <c r="AB223" s="6"/>
    </row>
    <row r="224" spans="22:28" ht="15.6">
      <c r="V224" s="181"/>
      <c r="W224" s="153"/>
      <c r="X224" s="5"/>
      <c r="Y224" s="5"/>
      <c r="Z224" s="5"/>
      <c r="AA224" s="5"/>
      <c r="AB224" s="6"/>
    </row>
    <row r="225" spans="22:28" ht="15.6">
      <c r="V225" s="88" t="s">
        <v>345</v>
      </c>
      <c r="W225" s="94" t="s">
        <v>135</v>
      </c>
      <c r="X225" s="9" t="s">
        <v>348</v>
      </c>
      <c r="Y225" s="117" t="s">
        <v>284</v>
      </c>
      <c r="Z225" s="9" t="s">
        <v>352</v>
      </c>
      <c r="AA225" s="117" t="s">
        <v>284</v>
      </c>
      <c r="AB225" s="121" t="s">
        <v>349</v>
      </c>
    </row>
    <row r="226" spans="22:28" ht="15.6">
      <c r="V226" s="135" t="s">
        <v>345</v>
      </c>
      <c r="W226" s="182" t="s">
        <v>135</v>
      </c>
      <c r="X226" s="119">
        <f>X223+X219+X215</f>
        <v>-42276.727280220832</v>
      </c>
      <c r="Y226" s="11" t="s">
        <v>279</v>
      </c>
      <c r="Z226" s="11"/>
      <c r="AA226" s="11"/>
      <c r="AB226" s="12"/>
    </row>
    <row r="227" spans="22:28" ht="15.75" customHeight="1">
      <c r="V227" s="148"/>
      <c r="W227" s="148"/>
      <c r="X227" s="148"/>
      <c r="Y227" s="148"/>
      <c r="Z227" s="148"/>
      <c r="AA227" s="148"/>
      <c r="AB227" s="148"/>
    </row>
    <row r="228" spans="22:28" ht="15.6">
      <c r="V228" s="1"/>
      <c r="W228" s="2"/>
      <c r="X228" s="91" t="s">
        <v>354</v>
      </c>
      <c r="Y228" s="2"/>
      <c r="Z228" s="2"/>
      <c r="AA228" s="2"/>
      <c r="AB228" s="3"/>
    </row>
    <row r="229" spans="22:28" ht="15.6">
      <c r="V229" s="116" t="s">
        <v>490</v>
      </c>
      <c r="W229" s="5"/>
      <c r="X229" s="5"/>
      <c r="Y229" s="5"/>
      <c r="Z229" s="109" t="s">
        <v>535</v>
      </c>
      <c r="AA229" s="5"/>
      <c r="AB229" s="6"/>
    </row>
    <row r="230" spans="22:28" ht="15.6">
      <c r="V230" s="156" t="s">
        <v>357</v>
      </c>
      <c r="W230" s="5"/>
      <c r="X230" s="5"/>
      <c r="Y230" s="5"/>
      <c r="Z230" s="64" t="s">
        <v>358</v>
      </c>
      <c r="AA230" s="5"/>
      <c r="AB230" s="6"/>
    </row>
    <row r="231" spans="22:28" ht="15.6">
      <c r="V231" s="172"/>
      <c r="W231" s="5"/>
      <c r="X231" s="5"/>
      <c r="Y231" s="5"/>
      <c r="Z231" s="148"/>
      <c r="AA231" s="5"/>
      <c r="AB231" s="6"/>
    </row>
    <row r="232" spans="22:28" ht="15.6">
      <c r="V232" s="4"/>
      <c r="W232" s="9" t="s">
        <v>492</v>
      </c>
      <c r="X232" s="9" t="s">
        <v>361</v>
      </c>
      <c r="Y232" s="9" t="s">
        <v>493</v>
      </c>
      <c r="Z232" s="5"/>
      <c r="AA232" s="5"/>
      <c r="AB232" s="6"/>
    </row>
    <row r="233" spans="22:28" ht="15.6">
      <c r="V233" s="4"/>
      <c r="W233" s="5"/>
      <c r="X233" s="148"/>
      <c r="Y233" s="5"/>
      <c r="Z233" s="5"/>
      <c r="AA233" s="5"/>
      <c r="AB233" s="6"/>
    </row>
    <row r="234" spans="22:28" ht="15.6">
      <c r="V234" s="4" t="s">
        <v>590</v>
      </c>
      <c r="W234" s="9"/>
      <c r="X234" s="5"/>
      <c r="Y234" s="148"/>
      <c r="Z234" s="5"/>
      <c r="AA234" s="5"/>
      <c r="AB234" s="6"/>
    </row>
    <row r="235" spans="22:28" ht="48.6" customHeight="1">
      <c r="V235" s="88" t="s">
        <v>357</v>
      </c>
      <c r="W235" s="94" t="s">
        <v>135</v>
      </c>
      <c r="X235" s="377"/>
      <c r="Y235" s="377"/>
      <c r="Z235" s="377"/>
      <c r="AA235" s="377"/>
      <c r="AB235" s="465"/>
    </row>
    <row r="236" spans="22:28" ht="15.6">
      <c r="V236" s="88" t="s">
        <v>357</v>
      </c>
      <c r="W236" s="94" t="s">
        <v>135</v>
      </c>
      <c r="X236" s="96">
        <f>(Database!$C$36*((Database!$H$15)-($Y$44+273.15)))+(((Database!$D$36)*((Database!$H$15)^2-($Y$44+273.15)^2))/2)+((Database!$E$36*((Database!$H$15)^3-($Y$44+273.15)^3))/3)+((Database!$F$36*((Database!$H$15)^4-($Y$44+273.15)^4))/4)+((Database!$G$36)*((Database!$H$15)^(5)-($Y$44+273.15)^5))/5</f>
        <v>19072.824354840286</v>
      </c>
      <c r="Y236" s="5" t="s">
        <v>279</v>
      </c>
      <c r="Z236" s="5"/>
      <c r="AA236" s="5"/>
      <c r="AB236" s="6"/>
    </row>
    <row r="237" spans="22:28" ht="15.6">
      <c r="V237" s="181"/>
      <c r="W237" s="168"/>
      <c r="X237" s="148"/>
      <c r="Y237" s="5"/>
      <c r="Z237" s="5"/>
      <c r="AA237" s="5"/>
      <c r="AB237" s="6"/>
    </row>
    <row r="238" spans="22:28" ht="15.6">
      <c r="V238" s="181" t="s">
        <v>513</v>
      </c>
      <c r="W238" s="21"/>
      <c r="X238" s="5"/>
      <c r="Y238" s="5"/>
      <c r="Z238" s="5"/>
      <c r="AA238" s="5"/>
      <c r="AB238" s="6"/>
    </row>
    <row r="239" spans="22:28" ht="15.6">
      <c r="V239" s="88" t="s">
        <v>361</v>
      </c>
      <c r="W239" s="94" t="s">
        <v>135</v>
      </c>
      <c r="X239" s="94" t="s">
        <v>558</v>
      </c>
      <c r="Y239" s="5"/>
      <c r="Z239" s="5"/>
      <c r="AA239" s="5"/>
      <c r="AB239" s="6"/>
    </row>
    <row r="240" spans="22:28" ht="15.6">
      <c r="V240" s="88" t="s">
        <v>361</v>
      </c>
      <c r="W240" s="94" t="s">
        <v>135</v>
      </c>
      <c r="X240" s="9">
        <f>Database!$I$25*1000*-1</f>
        <v>-56900</v>
      </c>
      <c r="Y240" s="5" t="s">
        <v>279</v>
      </c>
      <c r="Z240" s="5"/>
      <c r="AA240" s="5"/>
      <c r="AB240" s="6"/>
    </row>
    <row r="241" spans="22:28" ht="15.6">
      <c r="V241" s="181"/>
      <c r="W241" s="21"/>
      <c r="X241" s="5"/>
      <c r="Y241" s="5"/>
      <c r="Z241" s="5"/>
      <c r="AA241" s="5"/>
      <c r="AB241" s="6"/>
    </row>
    <row r="242" spans="22:28" ht="15.6">
      <c r="V242" s="181" t="s">
        <v>592</v>
      </c>
      <c r="W242" s="153"/>
      <c r="X242" s="5"/>
      <c r="Y242" s="5"/>
      <c r="Z242" s="5"/>
      <c r="AA242" s="5"/>
      <c r="AB242" s="6"/>
    </row>
    <row r="243" spans="22:28" ht="48.6" customHeight="1">
      <c r="V243" s="88" t="s">
        <v>358</v>
      </c>
      <c r="W243" s="94" t="s">
        <v>135</v>
      </c>
      <c r="X243" s="5"/>
      <c r="Y243" s="5"/>
      <c r="Z243" s="5"/>
      <c r="AA243" s="5"/>
      <c r="AB243" s="6"/>
    </row>
    <row r="244" spans="22:28" ht="15.6">
      <c r="V244" s="88" t="s">
        <v>358</v>
      </c>
      <c r="W244" s="94" t="s">
        <v>135</v>
      </c>
      <c r="X244" s="129">
        <f>Database!$C$48*(($L$27+273.15)-(Database!$H$15))+((Database!$D$48*(($L$27+273.15)^2-(Database!$H$15)^2))/2)+((Database!$E$48*(($L$27+273.15)^3-(Database!$H$15)^3))/3)+((Database!$F$48*(($L$27+273.15)^4-(Database!$H$15)^4))/4)</f>
        <v>-1356.2190636934642</v>
      </c>
      <c r="Y244" s="5" t="s">
        <v>279</v>
      </c>
      <c r="Z244" s="5"/>
      <c r="AA244" s="5"/>
      <c r="AB244" s="6"/>
    </row>
    <row r="245" spans="22:28" ht="15.6">
      <c r="V245" s="181"/>
      <c r="W245" s="153"/>
      <c r="X245" s="5"/>
      <c r="Y245" s="5"/>
      <c r="Z245" s="5"/>
      <c r="AA245" s="5"/>
      <c r="AB245" s="6"/>
    </row>
    <row r="246" spans="22:28" ht="15.6">
      <c r="V246" s="88" t="s">
        <v>354</v>
      </c>
      <c r="W246" s="94" t="s">
        <v>135</v>
      </c>
      <c r="X246" s="9" t="s">
        <v>357</v>
      </c>
      <c r="Y246" s="117" t="s">
        <v>284</v>
      </c>
      <c r="Z246" s="9" t="s">
        <v>361</v>
      </c>
      <c r="AA246" s="117" t="s">
        <v>284</v>
      </c>
      <c r="AB246" s="121" t="s">
        <v>358</v>
      </c>
    </row>
    <row r="247" spans="22:28" ht="15.6">
      <c r="V247" s="135" t="s">
        <v>354</v>
      </c>
      <c r="W247" s="182" t="s">
        <v>135</v>
      </c>
      <c r="X247" s="119">
        <f>X244+X240+X236</f>
        <v>-39183.394708853171</v>
      </c>
      <c r="Y247" s="11" t="s">
        <v>279</v>
      </c>
      <c r="Z247" s="11"/>
      <c r="AA247" s="11"/>
      <c r="AB247" s="12"/>
    </row>
    <row r="248" spans="22:28" ht="15.75" customHeight="1">
      <c r="V248" s="148"/>
      <c r="W248" s="148"/>
      <c r="X248" s="148"/>
      <c r="Y248" s="148"/>
      <c r="Z248" s="148"/>
      <c r="AA248" s="148"/>
      <c r="AB248" s="148"/>
    </row>
    <row r="249" spans="22:28" ht="15.75" customHeight="1">
      <c r="V249" s="148"/>
      <c r="W249" s="148"/>
      <c r="X249" s="148"/>
      <c r="Y249" s="148"/>
      <c r="Z249" s="148"/>
      <c r="AA249" s="148"/>
      <c r="AB249" s="148"/>
    </row>
    <row r="250" spans="22:28" ht="15.75" customHeight="1">
      <c r="V250" s="148"/>
      <c r="W250" s="148"/>
      <c r="X250" s="148"/>
      <c r="Y250" s="148"/>
      <c r="Z250" s="148"/>
      <c r="AA250" s="148"/>
      <c r="AB250" s="148"/>
    </row>
    <row r="251" spans="22:28" ht="15.75" customHeight="1">
      <c r="V251" s="148"/>
      <c r="W251" s="148"/>
      <c r="X251" s="148"/>
      <c r="Y251" s="148"/>
      <c r="Z251" s="148"/>
      <c r="AA251" s="148"/>
      <c r="AB251" s="148"/>
    </row>
    <row r="252" spans="22:28" ht="15.75" customHeight="1">
      <c r="V252" s="148"/>
      <c r="W252" s="148"/>
      <c r="X252" s="148"/>
      <c r="Y252" s="148"/>
      <c r="Z252" s="148"/>
      <c r="AA252" s="148"/>
      <c r="AB252" s="148"/>
    </row>
    <row r="253" spans="22:28" ht="15.75" customHeight="1">
      <c r="V253" s="148"/>
      <c r="W253" s="148"/>
      <c r="X253" s="148"/>
      <c r="Y253" s="148"/>
      <c r="Z253" s="148"/>
      <c r="AA253" s="148"/>
      <c r="AB253" s="148"/>
    </row>
    <row r="254" spans="22:28" ht="15.75" customHeight="1">
      <c r="V254" s="148"/>
      <c r="W254" s="148"/>
      <c r="X254" s="148"/>
      <c r="Y254" s="148"/>
      <c r="Z254" s="148"/>
      <c r="AA254" s="148"/>
      <c r="AB254" s="148"/>
    </row>
    <row r="255" spans="22:28" ht="15.75" customHeight="1">
      <c r="V255" s="148"/>
      <c r="W255" s="148"/>
      <c r="X255" s="148"/>
      <c r="Y255" s="148"/>
      <c r="Z255" s="148"/>
      <c r="AA255" s="148"/>
      <c r="AB255" s="148"/>
    </row>
    <row r="256" spans="22:28" ht="15.75" customHeight="1">
      <c r="V256" s="148"/>
      <c r="W256" s="148"/>
      <c r="X256" s="148"/>
      <c r="Y256" s="148"/>
      <c r="Z256" s="148"/>
      <c r="AA256" s="148"/>
      <c r="AB256" s="148"/>
    </row>
    <row r="257" spans="22:28" ht="15.75" customHeight="1">
      <c r="V257" s="148"/>
      <c r="W257" s="148"/>
      <c r="X257" s="148"/>
      <c r="Y257" s="148"/>
      <c r="Z257" s="148"/>
      <c r="AA257" s="148"/>
      <c r="AB257" s="148"/>
    </row>
    <row r="258" spans="22:28" ht="15.75" customHeight="1">
      <c r="V258" s="148"/>
      <c r="W258" s="148"/>
      <c r="X258" s="148"/>
      <c r="Y258" s="148"/>
      <c r="Z258" s="148"/>
      <c r="AA258" s="148"/>
      <c r="AB258" s="148"/>
    </row>
    <row r="259" spans="22:28" ht="15.75" customHeight="1">
      <c r="V259" s="148"/>
      <c r="W259" s="148"/>
      <c r="X259" s="148"/>
      <c r="Y259" s="148"/>
      <c r="Z259" s="148"/>
      <c r="AA259" s="148"/>
      <c r="AB259" s="148"/>
    </row>
    <row r="260" spans="22:28" ht="15.75" customHeight="1">
      <c r="V260" s="148"/>
      <c r="W260" s="148"/>
      <c r="X260" s="148"/>
      <c r="Y260" s="148"/>
      <c r="Z260" s="148"/>
      <c r="AA260" s="148"/>
      <c r="AB260" s="148"/>
    </row>
    <row r="261" spans="22:28" ht="15.75" customHeight="1">
      <c r="V261" s="148"/>
      <c r="W261" s="148"/>
      <c r="X261" s="148"/>
      <c r="Y261" s="148"/>
      <c r="Z261" s="148"/>
      <c r="AA261" s="148"/>
      <c r="AB261" s="148"/>
    </row>
    <row r="262" spans="22:28" ht="15.75" customHeight="1">
      <c r="V262" s="148"/>
      <c r="W262" s="148"/>
      <c r="X262" s="148"/>
      <c r="Y262" s="148"/>
      <c r="Z262" s="148"/>
      <c r="AA262" s="148"/>
      <c r="AB262" s="148"/>
    </row>
    <row r="263" spans="22:28" ht="15.75" customHeight="1">
      <c r="V263" s="148"/>
      <c r="W263" s="148"/>
      <c r="X263" s="148"/>
      <c r="Y263" s="148"/>
      <c r="Z263" s="148"/>
      <c r="AA263" s="148"/>
      <c r="AB263" s="148"/>
    </row>
    <row r="264" spans="22:28" ht="15.75" customHeight="1">
      <c r="V264" s="148"/>
      <c r="W264" s="148"/>
      <c r="X264" s="148"/>
      <c r="Y264" s="148"/>
      <c r="Z264" s="148"/>
      <c r="AA264" s="148"/>
      <c r="AB264" s="148"/>
    </row>
    <row r="265" spans="22:28" ht="15.75" customHeight="1">
      <c r="V265" s="148"/>
      <c r="W265" s="148"/>
      <c r="X265" s="148"/>
      <c r="Y265" s="148"/>
      <c r="Z265" s="148"/>
      <c r="AA265" s="148"/>
      <c r="AB265" s="148"/>
    </row>
    <row r="266" spans="22:28" ht="15.75" customHeight="1">
      <c r="V266" s="148"/>
      <c r="W266" s="148"/>
      <c r="X266" s="148"/>
      <c r="Y266" s="148"/>
      <c r="Z266" s="148"/>
      <c r="AA266" s="148"/>
      <c r="AB266" s="148"/>
    </row>
    <row r="267" spans="22:28" ht="15.75" customHeight="1">
      <c r="V267" s="148"/>
      <c r="W267" s="148"/>
      <c r="X267" s="148"/>
      <c r="Y267" s="148"/>
      <c r="Z267" s="148"/>
      <c r="AA267" s="148"/>
      <c r="AB267" s="148"/>
    </row>
    <row r="268" spans="22:28" ht="15.75" customHeight="1">
      <c r="V268" s="148"/>
      <c r="W268" s="148"/>
      <c r="X268" s="148"/>
      <c r="Y268" s="148"/>
      <c r="Z268" s="148"/>
      <c r="AA268" s="148"/>
      <c r="AB268" s="148"/>
    </row>
    <row r="269" spans="22:28" ht="15.75" customHeight="1">
      <c r="V269" s="148"/>
      <c r="W269" s="148"/>
      <c r="X269" s="148"/>
      <c r="Y269" s="148"/>
      <c r="Z269" s="148"/>
      <c r="AA269" s="148"/>
      <c r="AB269" s="148"/>
    </row>
    <row r="270" spans="22:28" ht="15.75" customHeight="1">
      <c r="V270" s="148"/>
      <c r="W270" s="148"/>
      <c r="X270" s="148"/>
      <c r="Y270" s="148"/>
      <c r="Z270" s="148"/>
      <c r="AA270" s="148"/>
      <c r="AB270" s="148"/>
    </row>
    <row r="271" spans="22:28" ht="15.75" customHeight="1">
      <c r="V271" s="148"/>
      <c r="W271" s="148"/>
      <c r="X271" s="148"/>
      <c r="Y271" s="148"/>
      <c r="Z271" s="148"/>
      <c r="AA271" s="148"/>
      <c r="AB271" s="148"/>
    </row>
    <row r="272" spans="22:28" ht="15.75" customHeight="1">
      <c r="V272" s="148"/>
      <c r="W272" s="148"/>
      <c r="X272" s="148"/>
      <c r="Y272" s="148"/>
      <c r="Z272" s="148"/>
      <c r="AA272" s="148"/>
      <c r="AB272" s="148"/>
    </row>
    <row r="273" spans="22:28" ht="15.75" customHeight="1">
      <c r="V273" s="148"/>
      <c r="W273" s="148"/>
      <c r="X273" s="148"/>
      <c r="Y273" s="148"/>
      <c r="Z273" s="148"/>
      <c r="AA273" s="148"/>
      <c r="AB273" s="148"/>
    </row>
    <row r="274" spans="22:28" ht="15.75" customHeight="1">
      <c r="V274" s="148"/>
      <c r="W274" s="148"/>
      <c r="X274" s="148"/>
      <c r="Y274" s="148"/>
      <c r="Z274" s="148"/>
      <c r="AA274" s="148"/>
      <c r="AB274" s="148"/>
    </row>
    <row r="275" spans="22:28" ht="15.75" customHeight="1">
      <c r="V275" s="148"/>
      <c r="W275" s="148"/>
      <c r="X275" s="148"/>
      <c r="Y275" s="148"/>
      <c r="Z275" s="148"/>
      <c r="AA275" s="148"/>
      <c r="AB275" s="148"/>
    </row>
    <row r="276" spans="22:28" ht="15.75" customHeight="1">
      <c r="V276" s="148"/>
      <c r="W276" s="148"/>
      <c r="X276" s="148"/>
      <c r="Y276" s="148"/>
      <c r="Z276" s="148"/>
      <c r="AA276" s="148"/>
      <c r="AB276" s="148"/>
    </row>
    <row r="277" spans="22:28" ht="15.75" customHeight="1">
      <c r="V277" s="148"/>
      <c r="W277" s="148"/>
      <c r="X277" s="148"/>
      <c r="Y277" s="148"/>
      <c r="Z277" s="148"/>
      <c r="AA277" s="148"/>
      <c r="AB277" s="148"/>
    </row>
    <row r="278" spans="22:28" ht="15.75" customHeight="1">
      <c r="V278" s="148"/>
      <c r="W278" s="148"/>
      <c r="X278" s="148"/>
      <c r="Y278" s="148"/>
      <c r="Z278" s="148"/>
      <c r="AA278" s="148"/>
      <c r="AB278" s="148"/>
    </row>
    <row r="279" spans="22:28" ht="15.75" customHeight="1">
      <c r="V279" s="148"/>
      <c r="W279" s="148"/>
      <c r="X279" s="148"/>
      <c r="Y279" s="148"/>
      <c r="Z279" s="148"/>
      <c r="AA279" s="148"/>
      <c r="AB279" s="148"/>
    </row>
    <row r="280" spans="22:28" ht="15.75" customHeight="1">
      <c r="V280" s="148"/>
      <c r="W280" s="148"/>
      <c r="X280" s="148"/>
      <c r="Y280" s="148"/>
      <c r="Z280" s="148"/>
      <c r="AA280" s="148"/>
      <c r="AB280" s="148"/>
    </row>
  </sheetData>
  <mergeCells count="57">
    <mergeCell ref="F69:G69"/>
    <mergeCell ref="J25:K25"/>
    <mergeCell ref="J26:K26"/>
    <mergeCell ref="J9:K9"/>
    <mergeCell ref="J10:K10"/>
    <mergeCell ref="J11:L11"/>
    <mergeCell ref="J18:L18"/>
    <mergeCell ref="F49:G49"/>
    <mergeCell ref="F50:G50"/>
    <mergeCell ref="F51:H51"/>
    <mergeCell ref="F58:H58"/>
    <mergeCell ref="F65:G65"/>
    <mergeCell ref="F66:G66"/>
    <mergeCell ref="F67:G67"/>
    <mergeCell ref="F68:G68"/>
    <mergeCell ref="J27:K27"/>
    <mergeCell ref="X214:AB214"/>
    <mergeCell ref="X235:AB235"/>
    <mergeCell ref="X151:AB151"/>
    <mergeCell ref="X180:AB180"/>
    <mergeCell ref="X172:AB172"/>
    <mergeCell ref="X193:AB193"/>
    <mergeCell ref="X201:AB201"/>
    <mergeCell ref="X67:AB67"/>
    <mergeCell ref="X96:AB96"/>
    <mergeCell ref="X88:AB88"/>
    <mergeCell ref="X75:AB75"/>
    <mergeCell ref="X138:AB138"/>
    <mergeCell ref="X130:AB130"/>
    <mergeCell ref="C33:D33"/>
    <mergeCell ref="C34:D34"/>
    <mergeCell ref="C35:D35"/>
    <mergeCell ref="C36:D36"/>
    <mergeCell ref="C37:D37"/>
    <mergeCell ref="V5:Z5"/>
    <mergeCell ref="V6:W6"/>
    <mergeCell ref="Y6:Z6"/>
    <mergeCell ref="V7:W7"/>
    <mergeCell ref="Y7:Z7"/>
    <mergeCell ref="Y45:Z45"/>
    <mergeCell ref="AA45:AB45"/>
    <mergeCell ref="W57:X57"/>
    <mergeCell ref="Y57:Z57"/>
    <mergeCell ref="AA57:AB57"/>
    <mergeCell ref="J28:K28"/>
    <mergeCell ref="J29:K29"/>
    <mergeCell ref="W44:X44"/>
    <mergeCell ref="V45:V46"/>
    <mergeCell ref="W45:X45"/>
    <mergeCell ref="C17:D17"/>
    <mergeCell ref="C18:D18"/>
    <mergeCell ref="C19:E19"/>
    <mergeCell ref="C26:E26"/>
    <mergeCell ref="Y8:Z8"/>
    <mergeCell ref="Y9:Z9"/>
    <mergeCell ref="V8:W8"/>
    <mergeCell ref="V9:W9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2:Y91"/>
  <sheetViews>
    <sheetView topLeftCell="Q1" zoomScale="110" zoomScaleNormal="110" workbookViewId="0">
      <selection activeCell="AA66" sqref="AA66"/>
    </sheetView>
  </sheetViews>
  <sheetFormatPr defaultColWidth="12.6640625" defaultRowHeight="15.75" customHeight="1"/>
  <cols>
    <col min="9" max="9" width="16.77734375" customWidth="1"/>
    <col min="10" max="10" width="14.6640625" bestFit="1" customWidth="1"/>
    <col min="12" max="12" width="17" customWidth="1"/>
    <col min="13" max="13" width="13.88671875" bestFit="1" customWidth="1"/>
    <col min="16" max="16" width="18.77734375" customWidth="1"/>
    <col min="17" max="17" width="28.6640625" customWidth="1"/>
    <col min="19" max="19" width="35.109375" customWidth="1"/>
    <col min="20" max="20" width="22.6640625" customWidth="1"/>
    <col min="21" max="21" width="24.21875" customWidth="1"/>
    <col min="22" max="22" width="22.21875" customWidth="1"/>
    <col min="23" max="23" width="24.88671875" customWidth="1"/>
    <col min="24" max="24" width="15.109375" customWidth="1"/>
    <col min="25" max="25" width="19.44140625" customWidth="1"/>
  </cols>
  <sheetData>
    <row r="2" spans="1:22" ht="15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2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2" ht="15.75" customHeight="1">
      <c r="A4" s="5"/>
      <c r="B4" s="5"/>
      <c r="C4" s="5"/>
      <c r="D4" s="5"/>
      <c r="E4" s="5"/>
      <c r="F4" s="5"/>
      <c r="G4" s="5"/>
      <c r="H4" s="407" t="s">
        <v>79</v>
      </c>
      <c r="I4" s="389"/>
      <c r="J4" s="33">
        <f>J8*Q6</f>
        <v>2938.7626262626272</v>
      </c>
      <c r="K4" s="5"/>
      <c r="L4" s="5"/>
      <c r="M4" s="5"/>
      <c r="N4" s="5"/>
      <c r="O4" s="5"/>
      <c r="P4" s="15" t="s">
        <v>6</v>
      </c>
      <c r="Q4" s="15" t="s">
        <v>7</v>
      </c>
      <c r="R4" s="5"/>
      <c r="S4" s="449" t="s">
        <v>307</v>
      </c>
      <c r="T4" s="391"/>
      <c r="U4" s="389"/>
    </row>
    <row r="5" spans="1:22" ht="15.75" customHeight="1">
      <c r="A5" s="5"/>
      <c r="B5" s="5"/>
      <c r="C5" s="5"/>
      <c r="D5" s="5"/>
      <c r="E5" s="5"/>
      <c r="F5" s="5"/>
      <c r="G5" s="5"/>
      <c r="H5" s="407" t="s">
        <v>80</v>
      </c>
      <c r="I5" s="389"/>
      <c r="J5" s="33">
        <f>SUM(J7:J12)</f>
        <v>66.709704816076709</v>
      </c>
      <c r="K5" s="5"/>
      <c r="L5" s="5"/>
      <c r="M5" s="5"/>
      <c r="N5" s="5"/>
      <c r="O5" s="5"/>
      <c r="P5" s="19" t="s">
        <v>30</v>
      </c>
      <c r="Q5" s="20">
        <f>17.031</f>
        <v>17.030999999999999</v>
      </c>
      <c r="R5" s="5"/>
      <c r="S5" s="82" t="s">
        <v>201</v>
      </c>
      <c r="T5" s="85">
        <v>1</v>
      </c>
      <c r="U5" s="81" t="s">
        <v>514</v>
      </c>
    </row>
    <row r="6" spans="1:22" ht="15.75" customHeight="1">
      <c r="A6" s="5"/>
      <c r="B6" s="5"/>
      <c r="C6" s="5"/>
      <c r="D6" s="5"/>
      <c r="E6" s="5"/>
      <c r="F6" s="5"/>
      <c r="G6" s="5"/>
      <c r="H6" s="401" t="s">
        <v>66</v>
      </c>
      <c r="I6" s="391"/>
      <c r="J6" s="389"/>
      <c r="K6" s="5"/>
      <c r="L6" s="5"/>
      <c r="M6" s="5"/>
      <c r="N6" s="5"/>
      <c r="O6" s="5"/>
      <c r="P6" s="19" t="s">
        <v>48</v>
      </c>
      <c r="Q6" s="20">
        <v>44.052999999999997</v>
      </c>
      <c r="R6" s="5"/>
      <c r="S6" s="123" t="s">
        <v>309</v>
      </c>
      <c r="T6" s="124">
        <v>-1</v>
      </c>
      <c r="U6" s="81" t="s">
        <v>515</v>
      </c>
    </row>
    <row r="7" spans="1:22" ht="15.75" customHeight="1">
      <c r="A7" s="5"/>
      <c r="B7" s="5"/>
      <c r="C7" s="5"/>
      <c r="D7" s="5"/>
      <c r="E7" s="5"/>
      <c r="F7" s="5"/>
      <c r="G7" s="5"/>
      <c r="H7" s="34" t="s">
        <v>67</v>
      </c>
      <c r="I7" s="35"/>
      <c r="J7" s="35"/>
      <c r="K7" s="5"/>
      <c r="L7" s="5"/>
      <c r="M7" s="5"/>
      <c r="N7" s="5"/>
      <c r="O7" s="5"/>
      <c r="P7" s="19" t="s">
        <v>59</v>
      </c>
      <c r="Q7" s="20">
        <v>61.082999999999998</v>
      </c>
      <c r="R7" s="5"/>
      <c r="S7" s="82" t="s">
        <v>209</v>
      </c>
      <c r="T7" s="85">
        <v>0</v>
      </c>
      <c r="U7" s="81" t="s">
        <v>311</v>
      </c>
    </row>
    <row r="8" spans="1:22" ht="15.75" customHeight="1">
      <c r="A8" s="5"/>
      <c r="B8" s="5"/>
      <c r="C8" s="5"/>
      <c r="D8" s="5"/>
      <c r="E8" s="5"/>
      <c r="F8" s="5"/>
      <c r="G8" s="5"/>
      <c r="H8" s="34" t="s">
        <v>68</v>
      </c>
      <c r="I8" s="40" t="s">
        <v>113</v>
      </c>
      <c r="J8" s="41">
        <f>'Liquid-liquid Extractor '!H49</f>
        <v>66.709704816076709</v>
      </c>
      <c r="K8" s="5"/>
      <c r="L8" s="5"/>
      <c r="M8" s="5"/>
      <c r="N8" s="5"/>
      <c r="O8" s="5"/>
      <c r="P8" s="19" t="s">
        <v>61</v>
      </c>
      <c r="Q8" s="20">
        <v>105.136</v>
      </c>
      <c r="R8" s="5"/>
      <c r="S8" s="125"/>
      <c r="T8" s="126">
        <f>SUM(T5:T7)</f>
        <v>0</v>
      </c>
      <c r="U8" s="125" t="s">
        <v>214</v>
      </c>
    </row>
    <row r="9" spans="1:22" ht="15.75" customHeight="1">
      <c r="A9" s="5"/>
      <c r="B9" s="5"/>
      <c r="C9" s="5"/>
      <c r="D9" s="5"/>
      <c r="E9" s="5"/>
      <c r="F9" s="5"/>
      <c r="G9" s="5"/>
      <c r="H9" s="34" t="s">
        <v>69</v>
      </c>
      <c r="I9" s="35"/>
      <c r="J9" s="35"/>
      <c r="K9" s="5"/>
      <c r="L9" s="5"/>
      <c r="M9" s="5"/>
      <c r="N9" s="5"/>
      <c r="O9" s="5"/>
      <c r="P9" s="19" t="s">
        <v>63</v>
      </c>
      <c r="Q9" s="20">
        <v>149.18799999999999</v>
      </c>
      <c r="R9" s="5"/>
      <c r="S9" s="5"/>
    </row>
    <row r="10" spans="1:22" ht="15.75" customHeight="1">
      <c r="A10" s="5"/>
      <c r="B10" s="5"/>
      <c r="C10" s="5"/>
      <c r="D10" s="5"/>
      <c r="E10" s="5"/>
      <c r="F10" s="5"/>
      <c r="G10" s="5"/>
      <c r="H10" s="34" t="s">
        <v>70</v>
      </c>
      <c r="I10" s="35"/>
      <c r="J10" s="35"/>
      <c r="K10" s="5"/>
      <c r="L10" s="5"/>
      <c r="M10" s="5"/>
      <c r="N10" s="5"/>
      <c r="O10" s="5"/>
      <c r="P10" s="19" t="s">
        <v>65</v>
      </c>
      <c r="Q10" s="24">
        <v>62.07</v>
      </c>
      <c r="R10" s="5"/>
      <c r="S10" s="5"/>
    </row>
    <row r="11" spans="1:22" ht="15.75" customHeight="1">
      <c r="A11" s="5"/>
      <c r="B11" s="5"/>
      <c r="C11" s="5"/>
      <c r="D11" s="5"/>
      <c r="E11" s="5"/>
      <c r="F11" s="5"/>
      <c r="G11" s="5"/>
      <c r="H11" s="34" t="s">
        <v>71</v>
      </c>
      <c r="I11" s="35"/>
      <c r="J11" s="35"/>
      <c r="K11" s="5"/>
      <c r="L11" s="5"/>
      <c r="M11" s="5"/>
      <c r="N11" s="5"/>
      <c r="O11" s="5"/>
      <c r="P11" s="5"/>
      <c r="Q11" s="5"/>
      <c r="R11" s="5"/>
      <c r="S11" s="11" t="s">
        <v>466</v>
      </c>
      <c r="T11" s="5"/>
      <c r="U11" s="5"/>
      <c r="V11" s="5"/>
    </row>
    <row r="12" spans="1:22" ht="15.75" customHeight="1">
      <c r="A12" s="5"/>
      <c r="B12" s="5"/>
      <c r="C12" s="5"/>
      <c r="D12" s="5"/>
      <c r="E12" s="5"/>
      <c r="F12" s="5"/>
      <c r="G12" s="5"/>
      <c r="H12" s="34" t="s">
        <v>72</v>
      </c>
      <c r="I12" s="35"/>
      <c r="J12" s="35"/>
      <c r="K12" s="5"/>
      <c r="L12" s="5"/>
      <c r="M12" s="5"/>
      <c r="N12" s="5"/>
      <c r="O12" s="5"/>
      <c r="P12" s="5"/>
      <c r="Q12" s="5"/>
      <c r="R12" s="5"/>
      <c r="S12" s="95" t="s">
        <v>113</v>
      </c>
      <c r="T12" s="117" t="s">
        <v>135</v>
      </c>
      <c r="U12" s="95" t="s">
        <v>121</v>
      </c>
    </row>
    <row r="13" spans="1:22" ht="15.75" customHeight="1">
      <c r="A13" s="5"/>
      <c r="B13" s="5"/>
      <c r="C13" s="5"/>
      <c r="D13" s="5"/>
      <c r="E13" s="5"/>
      <c r="F13" s="5"/>
      <c r="G13" s="5"/>
      <c r="H13" s="404" t="s">
        <v>85</v>
      </c>
      <c r="I13" s="405"/>
      <c r="J13" s="398"/>
      <c r="K13" s="5"/>
      <c r="L13" s="5"/>
      <c r="M13" s="5"/>
      <c r="N13" s="5"/>
      <c r="O13" s="5"/>
      <c r="P13" s="5"/>
      <c r="Q13" s="5"/>
      <c r="R13" s="5"/>
      <c r="S13" s="96">
        <f>J8</f>
        <v>66.709704816076709</v>
      </c>
      <c r="T13" s="117" t="s">
        <v>135</v>
      </c>
      <c r="U13" s="95" t="s">
        <v>121</v>
      </c>
      <c r="V13" s="9"/>
    </row>
    <row r="14" spans="1:22" ht="15.75" customHeight="1">
      <c r="A14" s="5"/>
      <c r="B14" s="5"/>
      <c r="C14" s="5"/>
      <c r="D14" s="5"/>
      <c r="E14" s="5"/>
      <c r="F14" s="5"/>
      <c r="G14" s="5"/>
      <c r="H14" s="34" t="s">
        <v>67</v>
      </c>
      <c r="I14" s="35"/>
      <c r="J14" s="46"/>
      <c r="K14" s="5"/>
      <c r="L14" s="5"/>
      <c r="M14" s="5"/>
      <c r="N14" s="5"/>
      <c r="O14" s="5"/>
      <c r="P14" s="5"/>
      <c r="Q14" s="5"/>
      <c r="R14" s="5"/>
      <c r="S14" s="95" t="s">
        <v>121</v>
      </c>
      <c r="T14" s="117" t="s">
        <v>135</v>
      </c>
      <c r="U14" s="102">
        <f>S13</f>
        <v>66.709704816076709</v>
      </c>
      <c r="V14" s="9" t="s">
        <v>148</v>
      </c>
    </row>
    <row r="15" spans="1:22" ht="15.75" customHeight="1">
      <c r="A15" s="5"/>
      <c r="B15" s="5"/>
      <c r="C15" s="5"/>
      <c r="D15" s="5"/>
      <c r="E15" s="5"/>
      <c r="F15" s="5"/>
      <c r="G15" s="5"/>
      <c r="H15" s="34" t="s">
        <v>68</v>
      </c>
      <c r="I15" s="35"/>
      <c r="J15" s="41">
        <f>J8/$J$5</f>
        <v>1</v>
      </c>
      <c r="K15" s="5"/>
      <c r="L15" s="5"/>
      <c r="M15" s="5"/>
      <c r="N15" s="5"/>
      <c r="O15" s="5"/>
      <c r="P15" s="5"/>
      <c r="Q15" s="5"/>
      <c r="R15" s="5"/>
      <c r="S15" s="5"/>
    </row>
    <row r="16" spans="1:22" ht="15.75" customHeight="1">
      <c r="A16" s="5"/>
      <c r="B16" s="5"/>
      <c r="C16" s="5"/>
      <c r="D16" s="5"/>
      <c r="E16" s="5"/>
      <c r="F16" s="5"/>
      <c r="G16" s="5"/>
      <c r="H16" s="34" t="s">
        <v>69</v>
      </c>
      <c r="I16" s="35"/>
      <c r="J16" s="35"/>
      <c r="K16" s="5"/>
      <c r="L16" s="5"/>
      <c r="M16" s="5"/>
      <c r="N16" s="5"/>
      <c r="O16" s="5"/>
      <c r="P16" s="5"/>
      <c r="Q16" s="5"/>
      <c r="R16" s="5"/>
      <c r="S16" s="5"/>
    </row>
    <row r="17" spans="1:25" ht="15.75" customHeight="1">
      <c r="A17" s="5"/>
      <c r="B17" s="5"/>
      <c r="C17" s="5"/>
      <c r="D17" s="5"/>
      <c r="E17" s="5"/>
      <c r="F17" s="5"/>
      <c r="G17" s="5"/>
      <c r="H17" s="34" t="s">
        <v>70</v>
      </c>
      <c r="I17" s="35"/>
      <c r="J17" s="35"/>
      <c r="K17" s="5"/>
      <c r="L17" s="5"/>
      <c r="M17" s="5"/>
      <c r="N17" s="5"/>
      <c r="O17" s="5"/>
      <c r="P17" s="5"/>
      <c r="Q17" s="5"/>
      <c r="R17" s="5"/>
      <c r="S17" s="11" t="s">
        <v>256</v>
      </c>
      <c r="T17" s="5"/>
      <c r="U17" s="5"/>
      <c r="V17" s="5"/>
      <c r="W17" s="5"/>
      <c r="X17" s="148"/>
      <c r="Y17" s="148"/>
    </row>
    <row r="18" spans="1:25" ht="15.75" customHeight="1">
      <c r="A18" s="5"/>
      <c r="B18" s="5"/>
      <c r="C18" s="5"/>
      <c r="D18" s="5"/>
      <c r="E18" s="5"/>
      <c r="F18" s="5"/>
      <c r="G18" s="5"/>
      <c r="H18" s="34" t="s">
        <v>71</v>
      </c>
      <c r="I18" s="35"/>
      <c r="J18" s="35"/>
      <c r="K18" s="5"/>
      <c r="L18" s="5"/>
      <c r="M18" s="5"/>
      <c r="N18" s="5"/>
      <c r="O18" s="5"/>
      <c r="P18" s="5"/>
      <c r="Q18" s="5"/>
      <c r="R18" s="5"/>
      <c r="S18" s="107" t="s">
        <v>257</v>
      </c>
      <c r="T18" s="5"/>
      <c r="U18" s="5"/>
      <c r="V18" s="5"/>
      <c r="W18" s="5"/>
      <c r="X18" s="148"/>
      <c r="Y18" s="148"/>
    </row>
    <row r="19" spans="1:25" ht="15.75" customHeight="1">
      <c r="A19" s="5"/>
      <c r="B19" s="5"/>
      <c r="C19" s="5"/>
      <c r="D19" s="5"/>
      <c r="E19" s="5"/>
      <c r="F19" s="5"/>
      <c r="G19" s="5"/>
      <c r="H19" s="34" t="s">
        <v>72</v>
      </c>
      <c r="I19" s="35"/>
      <c r="J19" s="3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148"/>
      <c r="Y19" s="148"/>
    </row>
    <row r="20" spans="1:25" ht="15.75" customHeight="1">
      <c r="A20" s="5"/>
      <c r="B20" s="5"/>
      <c r="C20" s="5"/>
      <c r="D20" s="5"/>
      <c r="E20" s="5"/>
      <c r="F20" s="5"/>
      <c r="G20" s="5"/>
      <c r="H20" s="406" t="s">
        <v>99</v>
      </c>
      <c r="I20" s="389"/>
      <c r="J20" s="50">
        <v>0</v>
      </c>
      <c r="K20" s="5"/>
      <c r="L20" s="5"/>
      <c r="M20" s="5"/>
      <c r="N20" s="5"/>
      <c r="O20" s="5"/>
      <c r="P20" s="5"/>
      <c r="Q20" s="5"/>
      <c r="R20" s="5"/>
      <c r="S20" s="108" t="s">
        <v>258</v>
      </c>
      <c r="T20" s="5"/>
      <c r="U20" s="5"/>
      <c r="V20" s="5"/>
      <c r="W20" s="5"/>
      <c r="X20" s="148"/>
      <c r="Y20" s="148"/>
    </row>
    <row r="21" spans="1:25" ht="15.75" customHeight="1">
      <c r="A21" s="5"/>
      <c r="B21" s="5"/>
      <c r="C21" s="5"/>
      <c r="D21" s="5"/>
      <c r="E21" s="5"/>
      <c r="F21" s="5"/>
      <c r="G21" s="5"/>
      <c r="H21" s="397" t="s">
        <v>92</v>
      </c>
      <c r="I21" s="398"/>
      <c r="J21" s="40">
        <f>SUM(J14:J19)</f>
        <v>1</v>
      </c>
      <c r="K21" s="5"/>
      <c r="L21" s="5"/>
      <c r="M21" s="5"/>
      <c r="N21" s="5"/>
      <c r="O21" s="5"/>
      <c r="P21" s="5"/>
      <c r="Q21" s="5"/>
      <c r="R21" s="5"/>
      <c r="S21" s="109">
        <v>1</v>
      </c>
      <c r="T21" s="5" t="s">
        <v>259</v>
      </c>
      <c r="U21" s="5"/>
      <c r="V21" s="5"/>
      <c r="W21" s="5"/>
      <c r="X21" s="148"/>
      <c r="Y21" s="148"/>
    </row>
    <row r="22" spans="1:25" ht="15.75" customHeight="1">
      <c r="A22" s="5"/>
      <c r="B22" s="5"/>
      <c r="C22" s="5"/>
      <c r="D22" s="5"/>
      <c r="E22" s="5"/>
      <c r="F22" s="5"/>
      <c r="G22" s="5"/>
      <c r="H22" s="397" t="s">
        <v>75</v>
      </c>
      <c r="I22" s="398"/>
      <c r="J22" s="40">
        <v>6</v>
      </c>
      <c r="K22" s="5"/>
      <c r="L22" s="5"/>
      <c r="M22" s="5"/>
      <c r="N22" s="5"/>
      <c r="O22" s="5"/>
      <c r="P22" s="5"/>
      <c r="Q22" s="5"/>
      <c r="R22" s="5"/>
      <c r="S22" s="109">
        <v>2</v>
      </c>
      <c r="T22" s="5" t="s">
        <v>260</v>
      </c>
      <c r="U22" s="5"/>
      <c r="V22" s="5"/>
      <c r="W22" s="5"/>
      <c r="X22" s="148"/>
      <c r="Y22" s="148"/>
    </row>
    <row r="23" spans="1:25" ht="15.75" customHeight="1">
      <c r="A23" s="5"/>
      <c r="B23" s="5"/>
      <c r="C23" s="5"/>
      <c r="D23" s="5"/>
      <c r="E23" s="5"/>
      <c r="F23" s="5"/>
      <c r="G23" s="5"/>
      <c r="H23" s="396" t="s">
        <v>76</v>
      </c>
      <c r="I23" s="389"/>
      <c r="J23" s="45">
        <v>1</v>
      </c>
      <c r="K23" s="5"/>
      <c r="L23" s="5"/>
      <c r="M23" s="5"/>
      <c r="N23" s="5"/>
      <c r="O23" s="5"/>
      <c r="P23" s="5"/>
      <c r="Q23" s="5"/>
      <c r="R23" s="5"/>
      <c r="S23" s="109">
        <v>3</v>
      </c>
      <c r="T23" s="5" t="s">
        <v>261</v>
      </c>
      <c r="U23" s="5"/>
      <c r="V23" s="5"/>
      <c r="W23" s="5"/>
      <c r="X23" s="148"/>
      <c r="Y23" s="148"/>
    </row>
    <row r="24" spans="1:25" ht="15.75" customHeight="1">
      <c r="A24" s="5"/>
      <c r="B24" s="5"/>
      <c r="C24" s="5"/>
      <c r="D24" s="5"/>
      <c r="E24" s="5"/>
      <c r="F24" s="5"/>
      <c r="G24" s="32" t="s">
        <v>106</v>
      </c>
      <c r="H24" s="400" t="s">
        <v>548</v>
      </c>
      <c r="I24" s="400"/>
      <c r="J24" s="216">
        <f>T40</f>
        <v>-1788296.9221818727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148"/>
      <c r="Y24" s="148"/>
    </row>
    <row r="25" spans="1: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 t="s">
        <v>262</v>
      </c>
      <c r="T25" s="5" t="s">
        <v>516</v>
      </c>
      <c r="U25" s="64">
        <v>25</v>
      </c>
      <c r="V25" s="5" t="s">
        <v>326</v>
      </c>
      <c r="W25" s="148"/>
      <c r="X25" s="5"/>
      <c r="Y25" s="5"/>
    </row>
    <row r="26" spans="1:2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58" t="s">
        <v>152</v>
      </c>
      <c r="T26" s="456" t="s">
        <v>486</v>
      </c>
      <c r="U26" s="464"/>
      <c r="V26" s="456" t="s">
        <v>517</v>
      </c>
      <c r="W26" s="464"/>
      <c r="X26" s="148"/>
      <c r="Y26" s="148"/>
    </row>
    <row r="27" spans="1:25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459"/>
      <c r="T27" s="221" t="s">
        <v>267</v>
      </c>
      <c r="U27" s="221" t="s">
        <v>400</v>
      </c>
      <c r="V27" s="221" t="s">
        <v>328</v>
      </c>
      <c r="W27" s="221" t="s">
        <v>329</v>
      </c>
      <c r="X27" s="148"/>
      <c r="Y27" s="148"/>
    </row>
    <row r="28" spans="1:25" ht="15.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s">
        <v>489</v>
      </c>
      <c r="T28" s="20" t="s">
        <v>193</v>
      </c>
      <c r="U28" s="20" t="s">
        <v>193</v>
      </c>
      <c r="V28" s="20" t="s">
        <v>193</v>
      </c>
      <c r="W28" s="20" t="s">
        <v>193</v>
      </c>
      <c r="X28" s="148"/>
      <c r="Y28" s="148"/>
    </row>
    <row r="29" spans="1:25" ht="15.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s">
        <v>416</v>
      </c>
      <c r="T29" s="33">
        <f>J8</f>
        <v>66.709704816076709</v>
      </c>
      <c r="U29" s="110">
        <f>U61</f>
        <v>-26807.147882190926</v>
      </c>
      <c r="V29" s="20" t="s">
        <v>193</v>
      </c>
      <c r="W29" s="20" t="s">
        <v>193</v>
      </c>
      <c r="X29" s="148"/>
      <c r="Y29" s="148"/>
    </row>
    <row r="30" spans="1:25" ht="15.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s">
        <v>417</v>
      </c>
      <c r="T30" s="20" t="s">
        <v>193</v>
      </c>
      <c r="U30" s="20" t="s">
        <v>193</v>
      </c>
      <c r="V30" s="20" t="s">
        <v>193</v>
      </c>
      <c r="W30" s="20" t="s">
        <v>193</v>
      </c>
      <c r="X30" s="148"/>
      <c r="Y30" s="148"/>
    </row>
    <row r="31" spans="1:25" ht="15.6">
      <c r="A31" s="5"/>
      <c r="B31" s="5"/>
      <c r="C31" s="5"/>
      <c r="D31" s="5"/>
      <c r="E31" s="5"/>
      <c r="F31" s="5"/>
      <c r="G31" s="5"/>
      <c r="K31" s="407" t="s">
        <v>79</v>
      </c>
      <c r="L31" s="389"/>
      <c r="M31" s="33">
        <f>M35*Q6</f>
        <v>2938.7626262626272</v>
      </c>
      <c r="N31" s="5"/>
      <c r="O31" s="5"/>
      <c r="P31" s="5"/>
      <c r="Q31" s="5"/>
      <c r="R31" s="5"/>
      <c r="S31" s="20" t="s">
        <v>418</v>
      </c>
      <c r="T31" s="20" t="s">
        <v>193</v>
      </c>
      <c r="U31" s="20" t="s">
        <v>193</v>
      </c>
      <c r="V31" s="20" t="s">
        <v>193</v>
      </c>
      <c r="W31" s="20" t="s">
        <v>193</v>
      </c>
      <c r="X31" s="148"/>
      <c r="Y31" s="148"/>
    </row>
    <row r="32" spans="1:25" ht="15.6">
      <c r="A32" s="5"/>
      <c r="B32" s="5"/>
      <c r="C32" s="5"/>
      <c r="D32" s="5"/>
      <c r="E32" s="5"/>
      <c r="F32" s="5"/>
      <c r="G32" s="5"/>
      <c r="K32" s="407" t="s">
        <v>80</v>
      </c>
      <c r="L32" s="389"/>
      <c r="M32" s="33">
        <f>SUM(M34:M39)</f>
        <v>66.709704816076709</v>
      </c>
      <c r="N32" s="5"/>
      <c r="O32" s="5"/>
      <c r="P32" s="5"/>
      <c r="Q32" s="5"/>
      <c r="R32" s="5"/>
      <c r="S32" s="20" t="s">
        <v>337</v>
      </c>
      <c r="T32" s="20" t="s">
        <v>193</v>
      </c>
      <c r="U32" s="20" t="s">
        <v>193</v>
      </c>
      <c r="V32" s="20" t="s">
        <v>193</v>
      </c>
      <c r="W32" s="20" t="s">
        <v>193</v>
      </c>
      <c r="X32" s="148"/>
      <c r="Y32" s="148"/>
    </row>
    <row r="33" spans="1:25" ht="15.6">
      <c r="A33" s="5"/>
      <c r="B33" s="5"/>
      <c r="C33" s="5"/>
      <c r="D33" s="5"/>
      <c r="E33" s="5"/>
      <c r="F33" s="5"/>
      <c r="G33" s="5"/>
      <c r="K33" s="401" t="s">
        <v>66</v>
      </c>
      <c r="L33" s="391"/>
      <c r="M33" s="389"/>
      <c r="N33" s="5"/>
      <c r="O33" s="5"/>
      <c r="P33" s="5"/>
      <c r="Q33" s="5"/>
      <c r="R33" s="5"/>
      <c r="S33" s="20" t="s">
        <v>455</v>
      </c>
      <c r="T33" s="20" t="s">
        <v>193</v>
      </c>
      <c r="U33" s="20" t="s">
        <v>193</v>
      </c>
      <c r="V33" s="20" t="s">
        <v>193</v>
      </c>
      <c r="W33" s="20" t="s">
        <v>193</v>
      </c>
      <c r="X33" s="148"/>
      <c r="Y33" s="148"/>
    </row>
    <row r="34" spans="1:25" ht="15.6">
      <c r="A34" s="5"/>
      <c r="B34" s="5"/>
      <c r="C34" s="5"/>
      <c r="D34" s="5"/>
      <c r="E34" s="5"/>
      <c r="F34" s="5"/>
      <c r="G34" s="5"/>
      <c r="K34" s="34" t="s">
        <v>67</v>
      </c>
      <c r="L34" s="35"/>
      <c r="M34" s="35"/>
      <c r="N34" s="5"/>
      <c r="O34" s="5"/>
      <c r="P34" s="5"/>
      <c r="Q34" s="5"/>
      <c r="R34" s="5"/>
      <c r="S34" s="20" t="s">
        <v>271</v>
      </c>
      <c r="T34" s="20" t="s">
        <v>193</v>
      </c>
      <c r="U34" s="20" t="s">
        <v>507</v>
      </c>
      <c r="V34" s="20" t="s">
        <v>193</v>
      </c>
      <c r="W34" s="20" t="s">
        <v>193</v>
      </c>
      <c r="X34" s="148"/>
      <c r="Y34" s="148"/>
    </row>
    <row r="35" spans="1:25" ht="15.6">
      <c r="A35" s="5"/>
      <c r="B35" s="5"/>
      <c r="C35" s="5"/>
      <c r="D35" s="5"/>
      <c r="E35" s="5"/>
      <c r="F35" s="5"/>
      <c r="G35" s="5"/>
      <c r="K35" s="34" t="s">
        <v>68</v>
      </c>
      <c r="L35" s="40" t="s">
        <v>121</v>
      </c>
      <c r="M35" s="41">
        <f>U14</f>
        <v>66.709704816076709</v>
      </c>
      <c r="N35" s="5"/>
      <c r="O35" s="5"/>
      <c r="P35" s="5"/>
      <c r="Q35" s="5"/>
      <c r="R35" s="5"/>
      <c r="S35" s="20" t="s">
        <v>272</v>
      </c>
      <c r="T35" s="20" t="s">
        <v>193</v>
      </c>
      <c r="U35" s="20" t="s">
        <v>193</v>
      </c>
      <c r="V35" s="33">
        <f>M35</f>
        <v>66.709704816076709</v>
      </c>
      <c r="W35" s="33">
        <f>U68</f>
        <v>22197.989326815492</v>
      </c>
      <c r="X35" s="148"/>
      <c r="Y35" s="148"/>
    </row>
    <row r="36" spans="1:25" ht="15.6">
      <c r="A36" s="5"/>
      <c r="B36" s="5"/>
      <c r="C36" s="5"/>
      <c r="D36" s="5"/>
      <c r="E36" s="5"/>
      <c r="F36" s="5"/>
      <c r="G36" s="5"/>
      <c r="K36" s="34" t="s">
        <v>69</v>
      </c>
      <c r="L36" s="35"/>
      <c r="M36" s="35"/>
      <c r="N36" s="5"/>
      <c r="O36" s="5"/>
      <c r="P36" s="5"/>
      <c r="Q36" s="5"/>
      <c r="R36" s="5"/>
      <c r="S36" s="20" t="s">
        <v>273</v>
      </c>
      <c r="T36" s="20" t="s">
        <v>193</v>
      </c>
      <c r="U36" s="20" t="s">
        <v>193</v>
      </c>
      <c r="V36" s="20" t="s">
        <v>193</v>
      </c>
      <c r="W36" s="20" t="s">
        <v>193</v>
      </c>
      <c r="X36" s="148"/>
      <c r="Y36" s="148"/>
    </row>
    <row r="37" spans="1:25" ht="15.6">
      <c r="A37" s="5"/>
      <c r="B37" s="5"/>
      <c r="C37" s="5"/>
      <c r="D37" s="5"/>
      <c r="E37" s="5"/>
      <c r="F37" s="5"/>
      <c r="G37" s="5"/>
      <c r="K37" s="34" t="s">
        <v>70</v>
      </c>
      <c r="L37" s="35"/>
      <c r="M37" s="35"/>
      <c r="N37" s="5"/>
      <c r="O37" s="5"/>
      <c r="P37" s="5"/>
      <c r="Q37" s="5"/>
      <c r="R37" s="5"/>
      <c r="S37" s="20" t="s">
        <v>333</v>
      </c>
      <c r="T37" s="20" t="s">
        <v>193</v>
      </c>
      <c r="U37" s="20" t="s">
        <v>193</v>
      </c>
      <c r="V37" s="20" t="s">
        <v>193</v>
      </c>
      <c r="W37" s="20" t="s">
        <v>193</v>
      </c>
      <c r="X37" s="148"/>
      <c r="Y37" s="148"/>
    </row>
    <row r="38" spans="1:25" ht="15.6">
      <c r="A38" s="5"/>
      <c r="B38" s="5"/>
      <c r="C38" s="5"/>
      <c r="D38" s="5"/>
      <c r="E38" s="5"/>
      <c r="F38" s="5"/>
      <c r="G38" s="5"/>
      <c r="K38" s="34" t="s">
        <v>71</v>
      </c>
      <c r="L38" s="35"/>
      <c r="M38" s="35"/>
      <c r="N38" s="5"/>
      <c r="O38" s="5"/>
      <c r="P38" s="5"/>
      <c r="Q38" s="5"/>
      <c r="R38" s="5"/>
      <c r="S38" s="20" t="s">
        <v>275</v>
      </c>
      <c r="T38" s="20" t="s">
        <v>193</v>
      </c>
      <c r="U38" s="20" t="s">
        <v>193</v>
      </c>
      <c r="V38" s="20" t="s">
        <v>193</v>
      </c>
      <c r="W38" s="20" t="s">
        <v>193</v>
      </c>
      <c r="X38" s="148"/>
      <c r="Y38" s="148"/>
    </row>
    <row r="39" spans="1:25" ht="15.6">
      <c r="A39" s="5"/>
      <c r="B39" s="5"/>
      <c r="C39" s="5"/>
      <c r="D39" s="5"/>
      <c r="E39" s="5"/>
      <c r="F39" s="5"/>
      <c r="G39" s="5"/>
      <c r="K39" s="34" t="s">
        <v>72</v>
      </c>
      <c r="L39" s="35"/>
      <c r="M39" s="35"/>
      <c r="P39" s="5"/>
      <c r="Q39" s="5"/>
      <c r="R39" s="5"/>
      <c r="S39" s="20" t="s">
        <v>276</v>
      </c>
      <c r="T39" s="20" t="s">
        <v>193</v>
      </c>
      <c r="U39" s="20" t="s">
        <v>193</v>
      </c>
      <c r="V39" s="20" t="s">
        <v>193</v>
      </c>
      <c r="W39" s="20" t="s">
        <v>193</v>
      </c>
      <c r="X39" s="148"/>
      <c r="Y39" s="148"/>
    </row>
    <row r="40" spans="1:25" ht="15.6">
      <c r="A40" s="5"/>
      <c r="B40" s="5"/>
      <c r="C40" s="5"/>
      <c r="D40" s="5"/>
      <c r="E40" s="5"/>
      <c r="F40" s="5"/>
      <c r="G40" s="5"/>
      <c r="K40" s="404" t="s">
        <v>85</v>
      </c>
      <c r="L40" s="405"/>
      <c r="M40" s="398"/>
      <c r="N40" s="38"/>
      <c r="S40" s="222" t="s">
        <v>469</v>
      </c>
      <c r="T40" s="469">
        <f>T29*U29</f>
        <v>-1788296.9221818727</v>
      </c>
      <c r="U40" s="442"/>
      <c r="V40" s="469">
        <f>V35*W35</f>
        <v>1480821.3155022827</v>
      </c>
      <c r="W40" s="442"/>
      <c r="X40" s="148"/>
      <c r="Y40" s="148"/>
    </row>
    <row r="41" spans="1:25" ht="15.6">
      <c r="A41" s="5"/>
      <c r="B41" s="5"/>
      <c r="C41" s="5"/>
      <c r="D41" s="5"/>
      <c r="E41" s="5"/>
      <c r="F41" s="5"/>
      <c r="G41" s="5"/>
      <c r="K41" s="34" t="s">
        <v>67</v>
      </c>
      <c r="L41" s="35"/>
      <c r="M41" s="46"/>
      <c r="N41" s="38" t="s">
        <v>118</v>
      </c>
      <c r="O41" s="5"/>
      <c r="P41" s="5"/>
      <c r="Q41" s="5"/>
      <c r="R41" s="5"/>
      <c r="S41" s="9"/>
      <c r="T41" s="9"/>
      <c r="U41" s="5"/>
      <c r="V41" s="5"/>
      <c r="W41" s="5"/>
      <c r="X41" s="148"/>
      <c r="Y41" s="148"/>
    </row>
    <row r="42" spans="1:25" ht="15.6">
      <c r="A42" s="5"/>
      <c r="B42" s="5"/>
      <c r="C42" s="5"/>
      <c r="D42" s="5"/>
      <c r="E42" s="5"/>
      <c r="F42" s="5"/>
      <c r="G42" s="5"/>
      <c r="K42" s="34" t="s">
        <v>68</v>
      </c>
      <c r="L42" s="35"/>
      <c r="M42" s="41">
        <f>M35/$J$5</f>
        <v>1</v>
      </c>
      <c r="N42" s="5"/>
      <c r="O42" s="5"/>
      <c r="P42" s="5"/>
      <c r="Q42" s="5"/>
      <c r="R42" s="5"/>
      <c r="S42" s="1"/>
      <c r="T42" s="2"/>
      <c r="U42" s="91" t="s">
        <v>278</v>
      </c>
      <c r="V42" s="2"/>
      <c r="W42" s="2"/>
      <c r="X42" s="2"/>
      <c r="Y42" s="3"/>
    </row>
    <row r="43" spans="1:25" ht="15.6">
      <c r="A43" s="5"/>
      <c r="B43" s="5"/>
      <c r="C43" s="5"/>
      <c r="D43" s="5"/>
      <c r="E43" s="5"/>
      <c r="F43" s="5"/>
      <c r="G43" s="5"/>
      <c r="K43" s="34" t="s">
        <v>69</v>
      </c>
      <c r="L43" s="35"/>
      <c r="M43" s="35"/>
      <c r="N43" s="5"/>
      <c r="O43" s="5"/>
      <c r="P43" s="5"/>
      <c r="Q43" s="5"/>
      <c r="R43" s="5"/>
      <c r="S43" s="116" t="s">
        <v>281</v>
      </c>
      <c r="T43" s="5"/>
      <c r="U43" s="5"/>
      <c r="V43" s="5"/>
      <c r="W43" s="109" t="s">
        <v>470</v>
      </c>
      <c r="X43" s="5"/>
      <c r="Y43" s="6"/>
    </row>
    <row r="44" spans="1:25" ht="15.6">
      <c r="A44" s="5"/>
      <c r="B44" s="5"/>
      <c r="C44" s="5"/>
      <c r="D44" s="5"/>
      <c r="E44" s="5"/>
      <c r="F44" s="5"/>
      <c r="G44" s="5"/>
      <c r="K44" s="34" t="s">
        <v>70</v>
      </c>
      <c r="L44" s="35"/>
      <c r="M44" s="35"/>
      <c r="N44" s="5"/>
      <c r="O44" s="5"/>
      <c r="P44" s="5"/>
      <c r="Q44" s="5"/>
      <c r="R44" s="5"/>
      <c r="S44" s="156" t="s">
        <v>419</v>
      </c>
      <c r="T44" s="5"/>
      <c r="U44" s="5"/>
      <c r="V44" s="5"/>
      <c r="W44" s="64" t="s">
        <v>420</v>
      </c>
      <c r="X44" s="5"/>
      <c r="Y44" s="6"/>
    </row>
    <row r="45" spans="1:25" ht="15.6">
      <c r="A45" s="5"/>
      <c r="B45" s="5"/>
      <c r="C45" s="5"/>
      <c r="D45" s="5"/>
      <c r="E45" s="5"/>
      <c r="F45" s="5"/>
      <c r="G45" s="5"/>
      <c r="K45" s="34" t="s">
        <v>71</v>
      </c>
      <c r="L45" s="35"/>
      <c r="M45" s="35"/>
      <c r="N45" s="5"/>
      <c r="O45" s="5"/>
      <c r="P45" s="5"/>
      <c r="Q45" s="5"/>
      <c r="R45" s="5"/>
      <c r="S45" s="172"/>
      <c r="T45" s="5"/>
      <c r="U45" s="5"/>
      <c r="V45" s="5"/>
      <c r="W45" s="148"/>
      <c r="X45" s="5"/>
      <c r="Y45" s="6"/>
    </row>
    <row r="46" spans="1:25" ht="15.6">
      <c r="A46" s="5"/>
      <c r="B46" s="5"/>
      <c r="C46" s="5"/>
      <c r="D46" s="5"/>
      <c r="E46" s="5"/>
      <c r="F46" s="5"/>
      <c r="G46" s="5"/>
      <c r="K46" s="34" t="s">
        <v>72</v>
      </c>
      <c r="L46" s="35"/>
      <c r="M46" s="35"/>
      <c r="N46" s="5"/>
      <c r="O46" s="5"/>
      <c r="P46" s="5"/>
      <c r="Q46" s="5"/>
      <c r="R46" s="5"/>
      <c r="S46" s="4"/>
      <c r="T46" s="9" t="s">
        <v>341</v>
      </c>
      <c r="U46" s="5"/>
      <c r="V46" s="9" t="s">
        <v>342</v>
      </c>
      <c r="W46" s="5"/>
      <c r="X46" s="5"/>
      <c r="Y46" s="6"/>
    </row>
    <row r="47" spans="1:25" ht="15.6">
      <c r="A47" s="5"/>
      <c r="B47" s="5"/>
      <c r="C47" s="5"/>
      <c r="D47" s="5"/>
      <c r="E47" s="5"/>
      <c r="F47" s="5"/>
      <c r="G47" s="5"/>
      <c r="K47" s="406" t="s">
        <v>99</v>
      </c>
      <c r="L47" s="389"/>
      <c r="M47" s="50">
        <v>1</v>
      </c>
      <c r="N47" s="5"/>
      <c r="O47" s="5"/>
      <c r="P47" s="5"/>
      <c r="Q47" s="5"/>
      <c r="R47" s="5"/>
      <c r="S47" s="4"/>
      <c r="T47" s="5"/>
      <c r="U47" s="9" t="s">
        <v>421</v>
      </c>
      <c r="V47" s="5"/>
      <c r="W47" s="5"/>
      <c r="X47" s="5"/>
      <c r="Y47" s="6"/>
    </row>
    <row r="48" spans="1:25" ht="15.6">
      <c r="A48" s="5"/>
      <c r="B48" s="5"/>
      <c r="C48" s="5"/>
      <c r="D48" s="5"/>
      <c r="E48" s="5"/>
      <c r="F48" s="5"/>
      <c r="G48" s="5"/>
      <c r="K48" s="397" t="s">
        <v>92</v>
      </c>
      <c r="L48" s="398"/>
      <c r="M48" s="40">
        <f>SUM(M41:M46)</f>
        <v>1</v>
      </c>
      <c r="N48" s="5"/>
      <c r="O48" s="5"/>
      <c r="P48" s="5"/>
      <c r="Q48" s="5"/>
      <c r="R48" s="5"/>
      <c r="S48" s="4" t="s">
        <v>576</v>
      </c>
      <c r="T48" s="9"/>
      <c r="U48" s="5"/>
      <c r="V48" s="148"/>
      <c r="W48" s="5"/>
      <c r="X48" s="5"/>
      <c r="Y48" s="6"/>
    </row>
    <row r="49" spans="1:25" ht="50.4" customHeight="1">
      <c r="A49" s="5"/>
      <c r="B49" s="5"/>
      <c r="C49" s="5"/>
      <c r="D49" s="5"/>
      <c r="E49" s="5"/>
      <c r="F49" s="5"/>
      <c r="G49" s="5"/>
      <c r="K49" s="496" t="s">
        <v>75</v>
      </c>
      <c r="L49" s="497"/>
      <c r="M49" s="212">
        <v>350</v>
      </c>
      <c r="N49" s="5"/>
      <c r="O49" s="5"/>
      <c r="P49" s="5"/>
      <c r="Q49" s="5"/>
      <c r="R49" s="5"/>
      <c r="S49" s="88" t="s">
        <v>419</v>
      </c>
      <c r="T49" s="94" t="s">
        <v>135</v>
      </c>
      <c r="U49" s="377"/>
      <c r="V49" s="377"/>
      <c r="W49" s="377"/>
      <c r="X49" s="377"/>
      <c r="Y49" s="465"/>
    </row>
    <row r="50" spans="1:25" ht="15.6">
      <c r="A50" s="5"/>
      <c r="B50" s="5"/>
      <c r="C50" s="5"/>
      <c r="D50" s="5"/>
      <c r="E50" s="5"/>
      <c r="F50" s="5"/>
      <c r="G50" s="5"/>
      <c r="K50" s="396" t="s">
        <v>76</v>
      </c>
      <c r="L50" s="389"/>
      <c r="M50" s="45">
        <v>1</v>
      </c>
      <c r="N50" s="5"/>
      <c r="O50" s="5"/>
      <c r="P50" s="5"/>
      <c r="Q50" s="5"/>
      <c r="R50" s="5"/>
      <c r="S50" s="88" t="s">
        <v>419</v>
      </c>
      <c r="T50" s="94" t="s">
        <v>135</v>
      </c>
      <c r="U50" s="96">
        <f>(Database!$C$32*((Database!$H$11)-($U$25+273.15)))+(((Database!$D$32)*((Database!$H$11)^2-($U$25+273.15)^2))/2)+((Database!$E$32*((Database!$H$11)^3-($U$25+273.15)^3))/3)+((Database!$F$32*((Database!$H$11)^4-($U$25+273.15)^4))/4)+((Database!$G$32)*((Database!$H$11)^(5)-($U$25+273.15)^5))/5</f>
        <v>-695.48620406653799</v>
      </c>
      <c r="V50" s="5" t="s">
        <v>279</v>
      </c>
      <c r="W50" s="5"/>
      <c r="X50" s="5"/>
      <c r="Y50" s="6"/>
    </row>
    <row r="51" spans="1:25" ht="15.6">
      <c r="A51" s="5"/>
      <c r="B51" s="5"/>
      <c r="C51" s="5"/>
      <c r="D51" s="5"/>
      <c r="E51" s="5"/>
      <c r="F51" s="5"/>
      <c r="G51" s="5"/>
      <c r="K51" s="400" t="s">
        <v>548</v>
      </c>
      <c r="L51" s="400"/>
      <c r="M51" s="216">
        <f>V40</f>
        <v>1480821.3155022827</v>
      </c>
      <c r="N51" s="5"/>
      <c r="O51" s="5"/>
      <c r="P51" s="5"/>
      <c r="Q51" s="5"/>
      <c r="R51" s="5"/>
      <c r="S51" s="194"/>
      <c r="T51" s="168"/>
      <c r="U51" s="148"/>
      <c r="V51" s="5"/>
      <c r="W51" s="5"/>
      <c r="X51" s="5"/>
      <c r="Y51" s="6"/>
    </row>
    <row r="52" spans="1:25" ht="15.6">
      <c r="A52" s="5"/>
      <c r="B52" s="5"/>
      <c r="C52" s="5"/>
      <c r="D52" s="5"/>
      <c r="E52" s="5"/>
      <c r="F52" s="5"/>
      <c r="G52" s="5"/>
      <c r="K52" s="5"/>
      <c r="L52" s="5"/>
      <c r="M52" s="5"/>
      <c r="N52" s="5"/>
      <c r="O52" s="5"/>
      <c r="P52" s="5"/>
      <c r="Q52" s="5"/>
      <c r="R52" s="5"/>
      <c r="S52" s="181" t="s">
        <v>344</v>
      </c>
      <c r="T52" s="21"/>
      <c r="U52" s="5"/>
      <c r="V52" s="5"/>
      <c r="W52" s="5"/>
      <c r="X52" s="5"/>
      <c r="Y52" s="6"/>
    </row>
    <row r="53" spans="1:25" ht="15.6">
      <c r="A53" s="5"/>
      <c r="B53" s="5"/>
      <c r="C53" s="5"/>
      <c r="D53" s="5"/>
      <c r="E53" s="5"/>
      <c r="F53" s="5"/>
      <c r="G53" s="5"/>
      <c r="K53" s="5"/>
      <c r="L53" s="5"/>
      <c r="M53" s="5"/>
      <c r="N53" s="5"/>
      <c r="O53" s="5"/>
      <c r="P53" s="5"/>
      <c r="Q53" s="5"/>
      <c r="R53" s="5"/>
      <c r="S53" s="88" t="s">
        <v>421</v>
      </c>
      <c r="T53" s="94" t="s">
        <v>135</v>
      </c>
      <c r="U53" s="94" t="s">
        <v>559</v>
      </c>
      <c r="V53" s="5"/>
      <c r="W53" s="5"/>
      <c r="X53" s="5"/>
      <c r="Y53" s="6"/>
    </row>
    <row r="54" spans="1:25" ht="15.6">
      <c r="A54" s="5"/>
      <c r="B54" s="5"/>
      <c r="D54" s="5"/>
      <c r="E54" s="5"/>
      <c r="F54" s="5"/>
      <c r="G54" s="5"/>
      <c r="K54" s="5"/>
      <c r="L54" s="5"/>
      <c r="M54" s="5"/>
      <c r="N54" s="5"/>
      <c r="O54" s="5"/>
      <c r="P54" s="5"/>
      <c r="Q54" s="5"/>
      <c r="R54" s="5"/>
      <c r="S54" s="88" t="s">
        <v>421</v>
      </c>
      <c r="T54" s="94" t="s">
        <v>135</v>
      </c>
      <c r="U54" s="9">
        <f>Database!$I$21*1000*-1</f>
        <v>-25700</v>
      </c>
      <c r="V54" s="5" t="s">
        <v>279</v>
      </c>
      <c r="W54" s="5"/>
      <c r="X54" s="5"/>
      <c r="Y54" s="6"/>
    </row>
    <row r="55" spans="1:25" ht="15.6">
      <c r="A55" s="5"/>
      <c r="B55" s="5"/>
      <c r="C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181"/>
      <c r="T55" s="21"/>
      <c r="U55" s="5"/>
      <c r="V55" s="5"/>
      <c r="W55" s="5"/>
      <c r="X55" s="5"/>
      <c r="Y55" s="6"/>
    </row>
    <row r="56" spans="1:25" ht="15.6">
      <c r="A56" s="5"/>
      <c r="B56" s="5"/>
      <c r="C56" s="5"/>
      <c r="D56" s="5"/>
      <c r="E56" s="5"/>
      <c r="F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181" t="s">
        <v>589</v>
      </c>
      <c r="T56" s="153"/>
      <c r="U56" s="5"/>
      <c r="V56" s="5"/>
      <c r="W56" s="5"/>
      <c r="X56" s="5"/>
      <c r="Y56" s="6"/>
    </row>
    <row r="57" spans="1:25" ht="51" customHeight="1">
      <c r="A57" s="5"/>
      <c r="B57" s="5"/>
      <c r="C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88" t="s">
        <v>420</v>
      </c>
      <c r="T57" s="94" t="s">
        <v>135</v>
      </c>
      <c r="U57" s="377"/>
      <c r="V57" s="377"/>
      <c r="W57" s="377"/>
      <c r="X57" s="377"/>
      <c r="Y57" s="465"/>
    </row>
    <row r="58" spans="1:25" ht="15.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88" t="s">
        <v>420</v>
      </c>
      <c r="T58" s="94" t="s">
        <v>135</v>
      </c>
      <c r="U58" s="129">
        <f>Database!$C$44*(($J$22+273.15)-(Database!$H$11))+((Database!$D$44*(($J$22+273.15)^2-(Database!$H$11)^2))/2)+((Database!$E$44*(($J$22+273.15)^3-(Database!$H$11)^3))/3)+((Database!$F$44*(($J$22+273.15)^4-(Database!$H$11)^4))/4)</f>
        <v>-411.661678124388</v>
      </c>
      <c r="V58" s="5" t="s">
        <v>279</v>
      </c>
      <c r="W58" s="5"/>
      <c r="X58" s="5"/>
      <c r="Y58" s="6"/>
    </row>
    <row r="59" spans="1:25" ht="15.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181"/>
      <c r="T59" s="153"/>
      <c r="U59" s="5"/>
      <c r="V59" s="5"/>
      <c r="W59" s="5"/>
      <c r="X59" s="5"/>
      <c r="Y59" s="6"/>
    </row>
    <row r="60" spans="1:25" ht="15.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88" t="s">
        <v>278</v>
      </c>
      <c r="T60" s="94" t="s">
        <v>135</v>
      </c>
      <c r="U60" s="9" t="s">
        <v>419</v>
      </c>
      <c r="V60" s="117" t="s">
        <v>284</v>
      </c>
      <c r="W60" s="9" t="s">
        <v>421</v>
      </c>
      <c r="X60" s="117" t="s">
        <v>284</v>
      </c>
      <c r="Y60" s="121" t="s">
        <v>420</v>
      </c>
    </row>
    <row r="61" spans="1:25" ht="15.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135" t="s">
        <v>278</v>
      </c>
      <c r="T61" s="182" t="s">
        <v>135</v>
      </c>
      <c r="U61" s="119">
        <f>U58+U54+U50</f>
        <v>-26807.147882190926</v>
      </c>
      <c r="V61" s="11" t="s">
        <v>279</v>
      </c>
      <c r="W61" s="11"/>
      <c r="X61" s="11"/>
      <c r="Y61" s="12"/>
    </row>
    <row r="62" spans="1:25" ht="15.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9"/>
      <c r="T62" s="9"/>
      <c r="U62" s="9"/>
      <c r="V62" s="5"/>
      <c r="W62" s="5"/>
      <c r="X62" s="5"/>
      <c r="Y62" s="5"/>
    </row>
    <row r="63" spans="1:25" ht="15.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1"/>
      <c r="T63" s="91" t="s">
        <v>280</v>
      </c>
      <c r="U63" s="2"/>
      <c r="V63" s="2"/>
      <c r="W63" s="208"/>
      <c r="X63" s="179"/>
      <c r="Y63" s="3"/>
    </row>
    <row r="64" spans="1:25" ht="15.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116" t="s">
        <v>425</v>
      </c>
      <c r="T64" s="5"/>
      <c r="U64" s="109" t="s">
        <v>539</v>
      </c>
      <c r="V64" s="5"/>
      <c r="W64" s="148"/>
      <c r="X64" s="5"/>
      <c r="Y64" s="6"/>
    </row>
    <row r="65" spans="1:25" ht="15.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4"/>
      <c r="T65" s="5"/>
      <c r="U65" s="5"/>
      <c r="V65" s="5"/>
      <c r="W65" s="148"/>
      <c r="X65" s="5"/>
      <c r="Y65" s="6"/>
    </row>
    <row r="66" spans="1:25" ht="15.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4" t="s">
        <v>283</v>
      </c>
      <c r="T66" s="9"/>
      <c r="U66" s="5"/>
      <c r="V66" s="5"/>
      <c r="W66" s="148"/>
      <c r="X66" s="5"/>
      <c r="Y66" s="6"/>
    </row>
    <row r="67" spans="1:25" ht="46.2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88" t="s">
        <v>280</v>
      </c>
      <c r="T67" s="94" t="s">
        <v>135</v>
      </c>
      <c r="U67" s="377"/>
      <c r="V67" s="377"/>
      <c r="W67" s="377"/>
      <c r="X67" s="377"/>
      <c r="Y67" s="465"/>
    </row>
    <row r="68" spans="1:25" ht="15.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135" t="s">
        <v>280</v>
      </c>
      <c r="T68" s="182" t="s">
        <v>135</v>
      </c>
      <c r="U68" s="120">
        <f>(Database!$C$32*(($M$49+273.15)-($U$25+273.15)))+(((Database!$D$32)*(($M$49+273.15)^2-($U$25+273.15)^2))/2)+((Database!$E$32*(($M$49+273.15)^3-($U$25+273.15)^3))/3)+((Database!$F$32*(($M$49+273.15)^4-($U$25+273.15)^4))/4)+((Database!$G$32)*(($M$49+273.15)^(5)-($U$25+273.15)^5))/5</f>
        <v>22197.989326815492</v>
      </c>
      <c r="V68" s="11" t="s">
        <v>279</v>
      </c>
      <c r="W68" s="204"/>
      <c r="X68" s="190"/>
      <c r="Y68" s="12"/>
    </row>
    <row r="69" spans="1:25" ht="15.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9"/>
      <c r="T69" s="9"/>
      <c r="U69" s="129"/>
      <c r="V69" s="5"/>
      <c r="W69" s="5"/>
      <c r="X69" s="5"/>
      <c r="Y69" s="5"/>
    </row>
    <row r="70" spans="1:25" ht="15.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148"/>
      <c r="T70" s="148"/>
      <c r="U70" s="148"/>
      <c r="V70" s="148"/>
      <c r="W70" s="148"/>
      <c r="X70" s="148"/>
      <c r="Y70" s="148"/>
    </row>
    <row r="71" spans="1:25" ht="15.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148"/>
      <c r="T71" s="148"/>
      <c r="U71" s="148"/>
      <c r="V71" s="148"/>
      <c r="W71" s="148"/>
      <c r="X71" s="148"/>
      <c r="Y71" s="148"/>
    </row>
    <row r="72" spans="1:25" ht="15.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W72" s="148"/>
      <c r="X72" s="148"/>
      <c r="Y72" s="148"/>
    </row>
    <row r="73" spans="1:25" ht="15.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W73" s="148"/>
      <c r="X73" s="148"/>
      <c r="Y73" s="148"/>
    </row>
    <row r="74" spans="1:25" ht="15.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W74" s="148"/>
      <c r="X74" s="148"/>
      <c r="Y74" s="148"/>
    </row>
    <row r="75" spans="1:25" ht="15.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148"/>
      <c r="T75" s="148"/>
      <c r="U75" s="148"/>
      <c r="V75" s="148"/>
      <c r="W75" s="148"/>
      <c r="X75" s="148"/>
      <c r="Y75" s="148"/>
    </row>
    <row r="76" spans="1:25" ht="15.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25" ht="15.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25" ht="15.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25" ht="15.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25" ht="15.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9" ht="15.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9" ht="15.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9" ht="15.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9" ht="15.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9" ht="15.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9" ht="15.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ht="15.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ht="15.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ht="15.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ht="15.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ht="15.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</sheetData>
  <mergeCells count="27">
    <mergeCell ref="U67:Y67"/>
    <mergeCell ref="V26:W26"/>
    <mergeCell ref="K31:L31"/>
    <mergeCell ref="K32:L32"/>
    <mergeCell ref="U49:Y49"/>
    <mergeCell ref="U57:Y57"/>
    <mergeCell ref="V40:W40"/>
    <mergeCell ref="K47:L47"/>
    <mergeCell ref="K48:L48"/>
    <mergeCell ref="K49:L49"/>
    <mergeCell ref="K50:L50"/>
    <mergeCell ref="K51:L51"/>
    <mergeCell ref="H20:I20"/>
    <mergeCell ref="H21:I21"/>
    <mergeCell ref="K33:M33"/>
    <mergeCell ref="K40:M40"/>
    <mergeCell ref="T40:U40"/>
    <mergeCell ref="H22:I22"/>
    <mergeCell ref="H23:I23"/>
    <mergeCell ref="S26:S27"/>
    <mergeCell ref="T26:U26"/>
    <mergeCell ref="H24:I24"/>
    <mergeCell ref="H4:I4"/>
    <mergeCell ref="S4:U4"/>
    <mergeCell ref="H5:I5"/>
    <mergeCell ref="H6:J6"/>
    <mergeCell ref="H13:J13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F102"/>
  <sheetViews>
    <sheetView workbookViewId="0">
      <selection activeCell="U39" sqref="U39"/>
    </sheetView>
  </sheetViews>
  <sheetFormatPr defaultColWidth="12.6640625" defaultRowHeight="15.75" customHeight="1"/>
  <cols>
    <col min="4" max="4" width="16.44140625" customWidth="1"/>
    <col min="5" max="5" width="13.88671875" bestFit="1" customWidth="1"/>
    <col min="7" max="7" width="16.21875" customWidth="1"/>
    <col min="8" max="8" width="13.88671875" bestFit="1" customWidth="1"/>
    <col min="11" max="11" width="16.88671875" customWidth="1"/>
    <col min="12" max="12" width="13.88671875" bestFit="1" customWidth="1"/>
    <col min="15" max="15" width="16.6640625" customWidth="1"/>
    <col min="16" max="16" width="27" customWidth="1"/>
    <col min="18" max="18" width="35.109375" customWidth="1"/>
    <col min="19" max="19" width="21.44140625" customWidth="1"/>
    <col min="20" max="20" width="23.77734375" customWidth="1"/>
    <col min="21" max="21" width="21.21875" customWidth="1"/>
    <col min="22" max="22" width="20.88671875" customWidth="1"/>
    <col min="23" max="23" width="15.109375" customWidth="1"/>
    <col min="24" max="24" width="14.88671875" customWidth="1"/>
  </cols>
  <sheetData>
    <row r="1" spans="1:25" ht="15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25" ht="15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25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25" ht="15.75" customHeight="1">
      <c r="A4" s="5"/>
      <c r="B4" s="5"/>
      <c r="C4" s="5"/>
      <c r="D4" s="5"/>
      <c r="E4" s="5"/>
      <c r="F4" s="5"/>
      <c r="G4" s="5"/>
      <c r="H4" s="5"/>
      <c r="I4" s="5"/>
      <c r="J4" s="407" t="s">
        <v>79</v>
      </c>
      <c r="K4" s="389"/>
      <c r="L4" s="33">
        <f>L8*P6</f>
        <v>12626.262626262627</v>
      </c>
      <c r="M4" s="5"/>
      <c r="N4" s="5"/>
      <c r="O4" s="15" t="s">
        <v>6</v>
      </c>
      <c r="P4" s="15" t="s">
        <v>7</v>
      </c>
      <c r="Q4" s="5"/>
      <c r="R4" s="449" t="s">
        <v>307</v>
      </c>
      <c r="S4" s="391"/>
      <c r="T4" s="389"/>
      <c r="U4" s="5"/>
    </row>
    <row r="5" spans="1:25" ht="15.75" customHeight="1">
      <c r="A5" s="5"/>
      <c r="B5" s="5"/>
      <c r="C5" s="5"/>
      <c r="D5" s="5"/>
      <c r="E5" s="5"/>
      <c r="F5" s="5"/>
      <c r="G5" s="5"/>
      <c r="H5" s="5"/>
      <c r="I5" s="5"/>
      <c r="J5" s="407" t="s">
        <v>80</v>
      </c>
      <c r="K5" s="389"/>
      <c r="L5" s="33">
        <f>SUM(L7:L12)</f>
        <v>286.61527310881502</v>
      </c>
      <c r="M5" s="5"/>
      <c r="N5" s="5"/>
      <c r="O5" s="19" t="s">
        <v>30</v>
      </c>
      <c r="P5" s="20">
        <f>17.031</f>
        <v>17.030999999999999</v>
      </c>
      <c r="Q5" s="5"/>
      <c r="R5" s="82" t="s">
        <v>201</v>
      </c>
      <c r="S5" s="85">
        <v>1</v>
      </c>
      <c r="T5" s="81" t="s">
        <v>518</v>
      </c>
      <c r="U5" s="5"/>
    </row>
    <row r="6" spans="1:25" ht="15.75" customHeight="1">
      <c r="A6" s="5"/>
      <c r="B6" s="5"/>
      <c r="C6" s="5"/>
      <c r="D6" s="5"/>
      <c r="E6" s="5"/>
      <c r="F6" s="5"/>
      <c r="G6" s="5"/>
      <c r="H6" s="38" t="s">
        <v>100</v>
      </c>
      <c r="I6" s="5"/>
      <c r="J6" s="401" t="s">
        <v>66</v>
      </c>
      <c r="K6" s="391"/>
      <c r="L6" s="389"/>
      <c r="M6" s="5"/>
      <c r="N6" s="5"/>
      <c r="O6" s="19" t="s">
        <v>48</v>
      </c>
      <c r="P6" s="20">
        <v>44.052999999999997</v>
      </c>
      <c r="Q6" s="5"/>
      <c r="R6" s="123" t="s">
        <v>309</v>
      </c>
      <c r="S6" s="124">
        <v>-1</v>
      </c>
      <c r="T6" s="81" t="s">
        <v>515</v>
      </c>
      <c r="U6" s="5"/>
    </row>
    <row r="7" spans="1:25" ht="15.75" customHeight="1">
      <c r="A7" s="5"/>
      <c r="B7" s="5"/>
      <c r="C7" s="407" t="s">
        <v>79</v>
      </c>
      <c r="D7" s="389"/>
      <c r="E7" s="33">
        <f>E11*P6</f>
        <v>9687.5</v>
      </c>
      <c r="F7" s="5"/>
      <c r="G7" s="5"/>
      <c r="H7" s="5"/>
      <c r="I7" s="5"/>
      <c r="J7" s="34" t="s">
        <v>67</v>
      </c>
      <c r="K7" s="35"/>
      <c r="L7" s="35"/>
      <c r="M7" s="5"/>
      <c r="N7" s="5"/>
      <c r="O7" s="19" t="s">
        <v>59</v>
      </c>
      <c r="P7" s="20">
        <v>61.082999999999998</v>
      </c>
      <c r="Q7" s="5"/>
      <c r="R7" s="82" t="s">
        <v>209</v>
      </c>
      <c r="S7" s="85">
        <v>0</v>
      </c>
      <c r="T7" s="81" t="s">
        <v>311</v>
      </c>
      <c r="U7" s="5"/>
    </row>
    <row r="8" spans="1:25" ht="15.75" customHeight="1">
      <c r="A8" s="5"/>
      <c r="B8" s="5"/>
      <c r="C8" s="407" t="s">
        <v>80</v>
      </c>
      <c r="D8" s="389"/>
      <c r="E8" s="33">
        <f>SUM(E10:E15)</f>
        <v>219.90556829273831</v>
      </c>
      <c r="F8" s="5"/>
      <c r="G8" s="5"/>
      <c r="H8" s="5"/>
      <c r="I8" s="5"/>
      <c r="J8" s="34" t="s">
        <v>68</v>
      </c>
      <c r="K8" s="40" t="s">
        <v>101</v>
      </c>
      <c r="L8" s="41">
        <f>Reactor!F44</f>
        <v>286.61527310881502</v>
      </c>
      <c r="M8" s="5"/>
      <c r="N8" s="5"/>
      <c r="O8" s="19" t="s">
        <v>61</v>
      </c>
      <c r="P8" s="20">
        <v>105.136</v>
      </c>
      <c r="Q8" s="5"/>
      <c r="R8" s="125"/>
      <c r="S8" s="126">
        <f>SUM(S5:S7)</f>
        <v>0</v>
      </c>
      <c r="T8" s="125" t="s">
        <v>214</v>
      </c>
      <c r="U8" s="5"/>
    </row>
    <row r="9" spans="1:25" ht="15.75" customHeight="1">
      <c r="A9" s="5"/>
      <c r="B9" s="5"/>
      <c r="C9" s="401" t="s">
        <v>66</v>
      </c>
      <c r="D9" s="391"/>
      <c r="E9" s="389"/>
      <c r="F9" s="5"/>
      <c r="G9" s="5"/>
      <c r="H9" s="5"/>
      <c r="I9" s="5"/>
      <c r="J9" s="34" t="s">
        <v>69</v>
      </c>
      <c r="K9" s="35"/>
      <c r="L9" s="35"/>
      <c r="M9" s="5"/>
      <c r="N9" s="5"/>
      <c r="O9" s="19" t="s">
        <v>63</v>
      </c>
      <c r="P9" s="20">
        <v>149.18799999999999</v>
      </c>
      <c r="Q9" s="5"/>
      <c r="R9" s="5"/>
      <c r="S9" s="5"/>
      <c r="T9" s="5"/>
      <c r="U9" s="5"/>
    </row>
    <row r="10" spans="1:25" ht="15.75" customHeight="1">
      <c r="A10" s="5"/>
      <c r="B10" s="5"/>
      <c r="C10" s="34" t="s">
        <v>67</v>
      </c>
      <c r="D10" s="35"/>
      <c r="E10" s="35"/>
      <c r="F10" s="5"/>
      <c r="G10" s="5"/>
      <c r="H10" s="5"/>
      <c r="I10" s="5"/>
      <c r="J10" s="34" t="s">
        <v>70</v>
      </c>
      <c r="K10" s="35"/>
      <c r="L10" s="35"/>
      <c r="M10" s="5"/>
      <c r="N10" s="5"/>
      <c r="O10" s="19" t="s">
        <v>65</v>
      </c>
      <c r="P10" s="24">
        <v>62.07</v>
      </c>
      <c r="Q10" s="5"/>
      <c r="R10" s="5" t="s">
        <v>466</v>
      </c>
      <c r="S10" s="5"/>
      <c r="T10" s="5"/>
      <c r="U10" s="5"/>
    </row>
    <row r="11" spans="1:25" ht="15.75" customHeight="1">
      <c r="A11" s="5"/>
      <c r="B11" s="5"/>
      <c r="C11" s="34" t="s">
        <v>68</v>
      </c>
      <c r="D11" s="40" t="s">
        <v>120</v>
      </c>
      <c r="E11" s="41">
        <f>V13</f>
        <v>219.90556829273831</v>
      </c>
      <c r="F11" s="5"/>
      <c r="G11" s="5"/>
      <c r="H11" s="5"/>
      <c r="I11" s="5"/>
      <c r="J11" s="34" t="s">
        <v>71</v>
      </c>
      <c r="K11" s="35"/>
      <c r="L11" s="35"/>
      <c r="M11" s="5"/>
      <c r="N11" s="5"/>
      <c r="O11" s="5"/>
      <c r="P11" s="5"/>
      <c r="Q11" s="5"/>
      <c r="R11" s="104" t="s">
        <v>120</v>
      </c>
      <c r="S11" s="117" t="s">
        <v>284</v>
      </c>
      <c r="T11" s="95" t="s">
        <v>121</v>
      </c>
      <c r="U11" s="117" t="s">
        <v>135</v>
      </c>
      <c r="V11" s="95" t="s">
        <v>101</v>
      </c>
    </row>
    <row r="12" spans="1:25" ht="15.75" customHeight="1">
      <c r="A12" s="5"/>
      <c r="B12" s="5"/>
      <c r="C12" s="34" t="s">
        <v>69</v>
      </c>
      <c r="D12" s="35"/>
      <c r="E12" s="35"/>
      <c r="F12" s="5"/>
      <c r="G12" s="5"/>
      <c r="H12" s="5"/>
      <c r="I12" s="5"/>
      <c r="J12" s="34" t="s">
        <v>72</v>
      </c>
      <c r="K12" s="35"/>
      <c r="L12" s="35"/>
      <c r="M12" s="5"/>
      <c r="N12" s="5"/>
      <c r="O12" s="5"/>
      <c r="P12" s="5"/>
      <c r="Q12" s="5"/>
      <c r="R12" s="95"/>
      <c r="S12" s="9"/>
      <c r="T12" s="95" t="s">
        <v>120</v>
      </c>
      <c r="U12" s="117" t="s">
        <v>135</v>
      </c>
      <c r="V12" s="9" t="s">
        <v>519</v>
      </c>
    </row>
    <row r="13" spans="1:25" ht="15.75" customHeight="1">
      <c r="A13" s="5"/>
      <c r="B13" s="5"/>
      <c r="C13" s="34" t="s">
        <v>70</v>
      </c>
      <c r="D13" s="35"/>
      <c r="E13" s="35"/>
      <c r="F13" s="5"/>
      <c r="G13" s="5"/>
      <c r="H13" s="5"/>
      <c r="I13" s="5"/>
      <c r="J13" s="404" t="s">
        <v>85</v>
      </c>
      <c r="K13" s="405"/>
      <c r="L13" s="398"/>
      <c r="M13" s="5"/>
      <c r="N13" s="5"/>
      <c r="O13" s="5"/>
      <c r="P13" s="5"/>
      <c r="Q13" s="5"/>
      <c r="S13" s="9"/>
      <c r="T13" s="95" t="s">
        <v>120</v>
      </c>
      <c r="U13" s="117" t="s">
        <v>135</v>
      </c>
      <c r="V13" s="96">
        <f>L8-H41</f>
        <v>219.90556829273831</v>
      </c>
      <c r="W13" s="9" t="s">
        <v>148</v>
      </c>
    </row>
    <row r="14" spans="1:25" ht="15.75" customHeight="1">
      <c r="A14" s="5"/>
      <c r="B14" s="5"/>
      <c r="C14" s="34" t="s">
        <v>71</v>
      </c>
      <c r="D14" s="35"/>
      <c r="E14" s="35"/>
      <c r="F14" s="5"/>
      <c r="G14" s="5"/>
      <c r="H14" s="5"/>
      <c r="I14" s="5"/>
      <c r="J14" s="34" t="s">
        <v>67</v>
      </c>
      <c r="K14" s="35"/>
      <c r="L14" s="46"/>
      <c r="M14" s="5"/>
      <c r="N14" s="5"/>
      <c r="O14" s="5"/>
      <c r="P14" s="5"/>
      <c r="Q14" s="5"/>
      <c r="S14" s="9"/>
      <c r="T14" s="9"/>
      <c r="U14" s="9"/>
      <c r="V14" s="9"/>
    </row>
    <row r="15" spans="1:25" ht="15.75" customHeight="1">
      <c r="A15" s="5"/>
      <c r="B15" s="5"/>
      <c r="C15" s="34" t="s">
        <v>72</v>
      </c>
      <c r="D15" s="35"/>
      <c r="E15" s="35"/>
      <c r="F15" s="5"/>
      <c r="G15" s="5"/>
      <c r="H15" s="5"/>
      <c r="I15" s="5"/>
      <c r="J15" s="34" t="s">
        <v>68</v>
      </c>
      <c r="K15" s="35"/>
      <c r="L15" s="41">
        <f>L8/$L$5</f>
        <v>1</v>
      </c>
      <c r="M15" s="5"/>
      <c r="N15" s="5"/>
      <c r="O15" s="5"/>
      <c r="P15" s="5"/>
      <c r="Q15" s="5"/>
      <c r="R15" s="11" t="s">
        <v>256</v>
      </c>
      <c r="S15" s="5"/>
      <c r="T15" s="5"/>
      <c r="U15" s="5"/>
      <c r="V15" s="5"/>
      <c r="W15" s="148"/>
      <c r="X15" s="148"/>
      <c r="Y15" s="148"/>
    </row>
    <row r="16" spans="1:25" ht="15.75" customHeight="1">
      <c r="A16" s="5"/>
      <c r="B16" s="5"/>
      <c r="C16" s="404" t="s">
        <v>85</v>
      </c>
      <c r="D16" s="405"/>
      <c r="E16" s="398"/>
      <c r="F16" s="5"/>
      <c r="G16" s="5"/>
      <c r="H16" s="5"/>
      <c r="I16" s="5"/>
      <c r="J16" s="34" t="s">
        <v>69</v>
      </c>
      <c r="K16" s="35"/>
      <c r="L16" s="35"/>
      <c r="M16" s="5"/>
      <c r="N16" s="5"/>
      <c r="O16" s="5"/>
      <c r="P16" s="5"/>
      <c r="Q16" s="5"/>
      <c r="R16" s="107" t="s">
        <v>257</v>
      </c>
      <c r="S16" s="5"/>
      <c r="T16" s="5"/>
      <c r="U16" s="5"/>
      <c r="V16" s="5"/>
      <c r="W16" s="148"/>
      <c r="X16" s="148"/>
      <c r="Y16" s="148"/>
    </row>
    <row r="17" spans="1:25" ht="15.75" customHeight="1">
      <c r="A17" s="5"/>
      <c r="B17" s="5"/>
      <c r="C17" s="34" t="s">
        <v>67</v>
      </c>
      <c r="D17" s="35"/>
      <c r="E17" s="46"/>
      <c r="F17" s="5"/>
      <c r="G17" s="5"/>
      <c r="H17" s="5"/>
      <c r="I17" s="5"/>
      <c r="J17" s="34" t="s">
        <v>70</v>
      </c>
      <c r="K17" s="35"/>
      <c r="L17" s="35"/>
      <c r="M17" s="5"/>
      <c r="N17" s="5"/>
      <c r="O17" s="5"/>
      <c r="P17" s="5"/>
      <c r="Q17" s="5"/>
      <c r="R17" s="5"/>
      <c r="S17" s="5"/>
      <c r="T17" s="5"/>
      <c r="U17" s="5"/>
      <c r="V17" s="5"/>
      <c r="W17" s="148"/>
      <c r="X17" s="148"/>
      <c r="Y17" s="148"/>
    </row>
    <row r="18" spans="1:25" ht="15.75" customHeight="1">
      <c r="A18" s="5"/>
      <c r="B18" s="5"/>
      <c r="C18" s="34" t="s">
        <v>68</v>
      </c>
      <c r="D18" s="35"/>
      <c r="E18" s="41">
        <f>E11/$E$8</f>
        <v>1</v>
      </c>
      <c r="F18" s="5"/>
      <c r="G18" s="5"/>
      <c r="H18" s="5"/>
      <c r="I18" s="5"/>
      <c r="J18" s="34" t="s">
        <v>71</v>
      </c>
      <c r="K18" s="35"/>
      <c r="L18" s="35"/>
      <c r="M18" s="5"/>
      <c r="N18" s="5"/>
      <c r="O18" s="5"/>
      <c r="P18" s="5"/>
      <c r="Q18" s="5"/>
      <c r="R18" s="108" t="s">
        <v>258</v>
      </c>
      <c r="S18" s="5"/>
      <c r="T18" s="5"/>
      <c r="U18" s="5"/>
      <c r="V18" s="5"/>
      <c r="W18" s="148"/>
      <c r="X18" s="148"/>
      <c r="Y18" s="148"/>
    </row>
    <row r="19" spans="1:25" ht="15.75" customHeight="1">
      <c r="A19" s="5"/>
      <c r="B19" s="5"/>
      <c r="C19" s="34" t="s">
        <v>69</v>
      </c>
      <c r="D19" s="35"/>
      <c r="E19" s="35"/>
      <c r="F19" s="5"/>
      <c r="G19" s="5"/>
      <c r="H19" s="5"/>
      <c r="I19" s="5"/>
      <c r="J19" s="34" t="s">
        <v>72</v>
      </c>
      <c r="K19" s="35"/>
      <c r="L19" s="35"/>
      <c r="M19" s="5"/>
      <c r="N19" s="5"/>
      <c r="O19" s="5"/>
      <c r="P19" s="5"/>
      <c r="Q19" s="5"/>
      <c r="R19" s="109">
        <v>1</v>
      </c>
      <c r="S19" s="5" t="s">
        <v>259</v>
      </c>
      <c r="T19" s="5"/>
      <c r="U19" s="5"/>
      <c r="V19" s="5"/>
      <c r="W19" s="148"/>
      <c r="X19" s="148"/>
      <c r="Y19" s="148"/>
    </row>
    <row r="20" spans="1:25" ht="15.75" customHeight="1">
      <c r="A20" s="5"/>
      <c r="B20" s="5"/>
      <c r="C20" s="34" t="s">
        <v>70</v>
      </c>
      <c r="D20" s="35"/>
      <c r="E20" s="35"/>
      <c r="F20" s="5"/>
      <c r="G20" s="5"/>
      <c r="H20" s="5"/>
      <c r="I20" s="5"/>
      <c r="J20" s="406" t="s">
        <v>99</v>
      </c>
      <c r="K20" s="389"/>
      <c r="L20" s="50">
        <v>1</v>
      </c>
      <c r="M20" s="5"/>
      <c r="N20" s="5"/>
      <c r="O20" s="5"/>
      <c r="P20" s="5"/>
      <c r="Q20" s="5"/>
      <c r="R20" s="109">
        <v>2</v>
      </c>
      <c r="S20" s="5" t="s">
        <v>260</v>
      </c>
      <c r="T20" s="5"/>
      <c r="U20" s="5"/>
      <c r="V20" s="5"/>
      <c r="W20" s="148"/>
      <c r="X20" s="148"/>
      <c r="Y20" s="148"/>
    </row>
    <row r="21" spans="1:25" ht="15.75" customHeight="1">
      <c r="A21" s="5"/>
      <c r="B21" s="5"/>
      <c r="C21" s="34" t="s">
        <v>71</v>
      </c>
      <c r="D21" s="35"/>
      <c r="E21" s="35"/>
      <c r="F21" s="5"/>
      <c r="G21" s="5"/>
      <c r="H21" s="5"/>
      <c r="I21" s="5"/>
      <c r="J21" s="397" t="s">
        <v>92</v>
      </c>
      <c r="K21" s="398"/>
      <c r="L21" s="40">
        <f>SUM(L14:L19)</f>
        <v>1</v>
      </c>
      <c r="M21" s="5"/>
      <c r="N21" s="5"/>
      <c r="O21" s="5"/>
      <c r="P21" s="5"/>
      <c r="Q21" s="5"/>
      <c r="R21" s="109">
        <v>3</v>
      </c>
      <c r="S21" s="5" t="s">
        <v>261</v>
      </c>
      <c r="T21" s="5"/>
      <c r="U21" s="5"/>
      <c r="V21" s="5"/>
      <c r="W21" s="148"/>
      <c r="X21" s="148"/>
      <c r="Y21" s="148"/>
    </row>
    <row r="22" spans="1:25" ht="15.75" customHeight="1">
      <c r="A22" s="5"/>
      <c r="B22" s="5"/>
      <c r="C22" s="34" t="s">
        <v>72</v>
      </c>
      <c r="D22" s="35"/>
      <c r="E22" s="35"/>
      <c r="F22" s="5"/>
      <c r="G22" s="5"/>
      <c r="H22" s="5"/>
      <c r="I22" s="5"/>
      <c r="J22" s="397" t="s">
        <v>75</v>
      </c>
      <c r="K22" s="398"/>
      <c r="L22" s="40">
        <v>350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148"/>
      <c r="X22" s="148"/>
      <c r="Y22" s="148"/>
    </row>
    <row r="23" spans="1:25" ht="15.75" customHeight="1">
      <c r="A23" s="5"/>
      <c r="B23" s="5"/>
      <c r="C23" s="406" t="s">
        <v>99</v>
      </c>
      <c r="D23" s="389"/>
      <c r="E23" s="50">
        <v>1</v>
      </c>
      <c r="F23" s="5"/>
      <c r="G23" s="5"/>
      <c r="H23" s="5"/>
      <c r="I23" s="5"/>
      <c r="J23" s="396" t="s">
        <v>76</v>
      </c>
      <c r="K23" s="389"/>
      <c r="L23" s="45">
        <v>1</v>
      </c>
      <c r="M23" s="5"/>
      <c r="N23" s="5"/>
      <c r="O23" s="5"/>
      <c r="P23" s="5"/>
      <c r="Q23" s="5"/>
      <c r="R23" s="5" t="s">
        <v>262</v>
      </c>
      <c r="S23" s="463" t="s">
        <v>516</v>
      </c>
      <c r="T23" s="445"/>
      <c r="U23" s="64">
        <v>25</v>
      </c>
      <c r="V23" s="5" t="s">
        <v>326</v>
      </c>
      <c r="W23" s="5"/>
      <c r="X23" s="5"/>
      <c r="Y23" s="148"/>
    </row>
    <row r="24" spans="1:25" ht="15.75" customHeight="1">
      <c r="A24" s="5"/>
      <c r="B24" s="5"/>
      <c r="C24" s="397" t="s">
        <v>92</v>
      </c>
      <c r="D24" s="398"/>
      <c r="E24" s="40">
        <f>SUM(E17:E22)</f>
        <v>1</v>
      </c>
      <c r="F24" s="5"/>
      <c r="G24" s="5"/>
      <c r="H24" s="5"/>
      <c r="I24" s="5"/>
      <c r="J24" s="400" t="s">
        <v>548</v>
      </c>
      <c r="K24" s="400"/>
      <c r="L24" s="216">
        <f>W38</f>
        <v>6362282.7733717831</v>
      </c>
      <c r="M24" s="5"/>
      <c r="N24" s="5"/>
      <c r="O24" s="5"/>
      <c r="P24" s="5"/>
      <c r="Q24" s="5"/>
      <c r="R24" s="458" t="s">
        <v>152</v>
      </c>
      <c r="S24" s="456" t="s">
        <v>520</v>
      </c>
      <c r="T24" s="464"/>
      <c r="U24" s="456" t="s">
        <v>517</v>
      </c>
      <c r="V24" s="464"/>
      <c r="W24" s="456" t="s">
        <v>265</v>
      </c>
      <c r="X24" s="464"/>
      <c r="Y24" s="148"/>
    </row>
    <row r="25" spans="1:25" ht="15.75" customHeight="1">
      <c r="A25" s="5"/>
      <c r="B25" s="5"/>
      <c r="C25" s="397" t="s">
        <v>75</v>
      </c>
      <c r="D25" s="398"/>
      <c r="E25" s="40">
        <v>350</v>
      </c>
      <c r="F25" s="5"/>
      <c r="G25" s="5"/>
      <c r="H25" s="5"/>
      <c r="I25" s="5"/>
      <c r="J25" s="5"/>
      <c r="K25" s="5"/>
      <c r="L25" s="9"/>
      <c r="M25" s="5"/>
      <c r="N25" s="5"/>
      <c r="O25" s="5"/>
      <c r="P25" s="5"/>
      <c r="Q25" s="5"/>
      <c r="R25" s="459"/>
      <c r="S25" s="221" t="s">
        <v>267</v>
      </c>
      <c r="T25" s="221" t="s">
        <v>400</v>
      </c>
      <c r="U25" s="221" t="s">
        <v>267</v>
      </c>
      <c r="V25" s="221" t="s">
        <v>400</v>
      </c>
      <c r="W25" s="221" t="s">
        <v>328</v>
      </c>
      <c r="X25" s="221" t="s">
        <v>329</v>
      </c>
      <c r="Y25" s="148"/>
    </row>
    <row r="26" spans="1:25" ht="15.75" customHeight="1">
      <c r="A26" s="5"/>
      <c r="B26" s="5"/>
      <c r="C26" s="396" t="s">
        <v>76</v>
      </c>
      <c r="D26" s="389"/>
      <c r="E26" s="45">
        <v>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20" t="s">
        <v>489</v>
      </c>
      <c r="S26" s="20" t="s">
        <v>193</v>
      </c>
      <c r="T26" s="20" t="s">
        <v>193</v>
      </c>
      <c r="U26" s="20" t="s">
        <v>193</v>
      </c>
      <c r="V26" s="20" t="s">
        <v>193</v>
      </c>
      <c r="W26" s="20" t="s">
        <v>193</v>
      </c>
      <c r="X26" s="20" t="s">
        <v>193</v>
      </c>
      <c r="Y26" s="148"/>
    </row>
    <row r="27" spans="1:25" ht="15.6">
      <c r="A27" s="5"/>
      <c r="B27" s="5"/>
      <c r="C27" s="400" t="s">
        <v>548</v>
      </c>
      <c r="D27" s="400"/>
      <c r="E27" s="216">
        <f>S38</f>
        <v>4881461.4578694999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20" t="s">
        <v>416</v>
      </c>
      <c r="S27" s="20" t="s">
        <v>193</v>
      </c>
      <c r="T27" s="20" t="s">
        <v>193</v>
      </c>
      <c r="U27" s="20" t="s">
        <v>193</v>
      </c>
      <c r="V27" s="20" t="s">
        <v>193</v>
      </c>
      <c r="W27" s="20" t="s">
        <v>193</v>
      </c>
      <c r="X27" s="20" t="s">
        <v>193</v>
      </c>
      <c r="Y27" s="148"/>
    </row>
    <row r="28" spans="1:25" ht="15.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20" t="s">
        <v>417</v>
      </c>
      <c r="S28" s="20" t="s">
        <v>193</v>
      </c>
      <c r="T28" s="20" t="s">
        <v>193</v>
      </c>
      <c r="U28" s="20" t="s">
        <v>193</v>
      </c>
      <c r="V28" s="20" t="s">
        <v>193</v>
      </c>
      <c r="W28" s="20" t="s">
        <v>193</v>
      </c>
      <c r="X28" s="20" t="s">
        <v>193</v>
      </c>
      <c r="Y28" s="148"/>
    </row>
    <row r="29" spans="1:25" ht="15.6">
      <c r="A29" s="5"/>
      <c r="B29" s="38" t="s">
        <v>116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0" t="s">
        <v>418</v>
      </c>
      <c r="S29" s="20" t="s">
        <v>193</v>
      </c>
      <c r="T29" s="20" t="s">
        <v>193</v>
      </c>
      <c r="U29" s="20" t="s">
        <v>193</v>
      </c>
      <c r="V29" s="20" t="s">
        <v>193</v>
      </c>
      <c r="W29" s="20" t="s">
        <v>193</v>
      </c>
      <c r="X29" s="20" t="s">
        <v>193</v>
      </c>
      <c r="Y29" s="148"/>
    </row>
    <row r="30" spans="1:25" ht="15.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20" t="s">
        <v>337</v>
      </c>
      <c r="S30" s="20" t="s">
        <v>193</v>
      </c>
      <c r="T30" s="20" t="s">
        <v>193</v>
      </c>
      <c r="U30" s="20" t="s">
        <v>193</v>
      </c>
      <c r="V30" s="20" t="s">
        <v>193</v>
      </c>
      <c r="W30" s="20" t="s">
        <v>193</v>
      </c>
      <c r="X30" s="20" t="s">
        <v>193</v>
      </c>
      <c r="Y30" s="148"/>
    </row>
    <row r="31" spans="1:25" ht="15.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20" t="s">
        <v>455</v>
      </c>
      <c r="S31" s="20" t="s">
        <v>193</v>
      </c>
      <c r="T31" s="20" t="s">
        <v>193</v>
      </c>
      <c r="U31" s="20" t="s">
        <v>193</v>
      </c>
      <c r="V31" s="20" t="s">
        <v>193</v>
      </c>
      <c r="W31" s="20" t="s">
        <v>193</v>
      </c>
      <c r="X31" s="20" t="s">
        <v>193</v>
      </c>
      <c r="Y31" s="148"/>
    </row>
    <row r="32" spans="1:25" ht="15.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20" t="s">
        <v>521</v>
      </c>
      <c r="S32" s="20" t="s">
        <v>193</v>
      </c>
      <c r="T32" s="20" t="s">
        <v>193</v>
      </c>
      <c r="U32" s="20" t="s">
        <v>193</v>
      </c>
      <c r="V32" s="20" t="s">
        <v>193</v>
      </c>
      <c r="W32" s="20" t="s">
        <v>193</v>
      </c>
      <c r="X32" s="20" t="s">
        <v>193</v>
      </c>
      <c r="Y32" s="148"/>
    </row>
    <row r="33" spans="1:32" ht="15.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20" t="s">
        <v>272</v>
      </c>
      <c r="S33" s="33">
        <f>E11</f>
        <v>219.90556829273831</v>
      </c>
      <c r="T33" s="33">
        <f>T48</f>
        <v>22197.989326815492</v>
      </c>
      <c r="U33" s="33">
        <f>H41</f>
        <v>66.709704816076709</v>
      </c>
      <c r="V33" s="33">
        <f>T55</f>
        <v>22197.989326815492</v>
      </c>
      <c r="W33" s="33">
        <f>L8</f>
        <v>286.61527310881502</v>
      </c>
      <c r="X33" s="33">
        <f>T62</f>
        <v>22197.989326815492</v>
      </c>
      <c r="Y33" s="148"/>
    </row>
    <row r="34" spans="1:32" ht="15.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20" t="s">
        <v>273</v>
      </c>
      <c r="S34" s="20" t="s">
        <v>193</v>
      </c>
      <c r="T34" s="20" t="s">
        <v>193</v>
      </c>
      <c r="U34" s="20" t="s">
        <v>193</v>
      </c>
      <c r="V34" s="20" t="s">
        <v>193</v>
      </c>
      <c r="W34" s="20" t="s">
        <v>193</v>
      </c>
      <c r="X34" s="20" t="s">
        <v>193</v>
      </c>
      <c r="Y34" s="148"/>
    </row>
    <row r="35" spans="1:32" ht="15.6">
      <c r="A35" s="5"/>
      <c r="B35" s="5"/>
      <c r="C35" s="5"/>
      <c r="D35" s="5"/>
      <c r="E35" s="5"/>
      <c r="F35" s="5"/>
      <c r="G35" s="5"/>
      <c r="H35" s="38" t="s">
        <v>118</v>
      </c>
      <c r="I35" s="5"/>
      <c r="J35" s="5"/>
      <c r="K35" s="5"/>
      <c r="L35" s="5"/>
      <c r="M35" s="5"/>
      <c r="N35" s="5"/>
      <c r="O35" s="5"/>
      <c r="P35" s="5"/>
      <c r="Q35" s="5"/>
      <c r="R35" s="20" t="s">
        <v>333</v>
      </c>
      <c r="S35" s="20" t="s">
        <v>193</v>
      </c>
      <c r="T35" s="20" t="s">
        <v>193</v>
      </c>
      <c r="U35" s="20" t="s">
        <v>193</v>
      </c>
      <c r="V35" s="20" t="s">
        <v>193</v>
      </c>
      <c r="W35" s="20" t="s">
        <v>193</v>
      </c>
      <c r="X35" s="20" t="s">
        <v>193</v>
      </c>
      <c r="Y35" s="148"/>
    </row>
    <row r="36" spans="1:32" ht="15.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20" t="s">
        <v>275</v>
      </c>
      <c r="S36" s="20" t="s">
        <v>193</v>
      </c>
      <c r="T36" s="20" t="s">
        <v>193</v>
      </c>
      <c r="U36" s="20" t="s">
        <v>193</v>
      </c>
      <c r="V36" s="20" t="s">
        <v>193</v>
      </c>
      <c r="W36" s="20" t="s">
        <v>193</v>
      </c>
      <c r="X36" s="20" t="s">
        <v>193</v>
      </c>
      <c r="Y36" s="148"/>
    </row>
    <row r="37" spans="1:32" ht="15.6">
      <c r="A37" s="5"/>
      <c r="B37" s="5"/>
      <c r="C37" s="5"/>
      <c r="D37" s="5"/>
      <c r="E37" s="5"/>
      <c r="F37" s="407" t="s">
        <v>79</v>
      </c>
      <c r="G37" s="389"/>
      <c r="H37" s="33">
        <f>H41*P6</f>
        <v>2938.7626262626272</v>
      </c>
      <c r="I37" s="5"/>
      <c r="J37" s="5"/>
      <c r="K37" s="5"/>
      <c r="L37" s="5"/>
      <c r="M37" s="5"/>
      <c r="N37" s="5"/>
      <c r="O37" s="5"/>
      <c r="P37" s="5"/>
      <c r="Q37" s="5"/>
      <c r="R37" s="20" t="s">
        <v>276</v>
      </c>
      <c r="S37" s="20" t="s">
        <v>193</v>
      </c>
      <c r="T37" s="20" t="s">
        <v>193</v>
      </c>
      <c r="U37" s="20" t="s">
        <v>193</v>
      </c>
      <c r="V37" s="20" t="s">
        <v>193</v>
      </c>
      <c r="W37" s="20" t="s">
        <v>193</v>
      </c>
      <c r="X37" s="20" t="s">
        <v>193</v>
      </c>
      <c r="Y37" s="148"/>
    </row>
    <row r="38" spans="1:32" ht="15.6">
      <c r="A38" s="5"/>
      <c r="B38" s="5"/>
      <c r="C38" s="5"/>
      <c r="D38" s="5"/>
      <c r="E38" s="5"/>
      <c r="F38" s="407" t="s">
        <v>80</v>
      </c>
      <c r="G38" s="389"/>
      <c r="H38" s="33">
        <f>SUM(H40:H45)</f>
        <v>66.709704816076709</v>
      </c>
      <c r="I38" s="5"/>
      <c r="J38" s="5"/>
      <c r="K38" s="5"/>
      <c r="L38" s="5"/>
      <c r="M38" s="5"/>
      <c r="N38" s="5"/>
      <c r="O38" s="5"/>
      <c r="P38" s="5"/>
      <c r="Q38" s="5"/>
      <c r="R38" s="222" t="s">
        <v>469</v>
      </c>
      <c r="S38" s="441">
        <f>S33*T33</f>
        <v>4881461.4578694999</v>
      </c>
      <c r="T38" s="442"/>
      <c r="U38" s="441">
        <f>U33*V33</f>
        <v>1480821.3155022827</v>
      </c>
      <c r="V38" s="442"/>
      <c r="W38" s="441">
        <f>W33*X33</f>
        <v>6362282.7733717831</v>
      </c>
      <c r="X38" s="442"/>
      <c r="Y38" s="148"/>
    </row>
    <row r="39" spans="1:32" ht="15.6">
      <c r="A39" s="5"/>
      <c r="B39" s="5"/>
      <c r="C39" s="5"/>
      <c r="D39" s="5"/>
      <c r="E39" s="5"/>
      <c r="F39" s="401" t="s">
        <v>66</v>
      </c>
      <c r="G39" s="391"/>
      <c r="H39" s="389"/>
      <c r="I39" s="5"/>
      <c r="J39" s="5"/>
      <c r="K39" s="5"/>
      <c r="L39" s="5"/>
      <c r="M39" s="5"/>
      <c r="N39" s="5"/>
      <c r="O39" s="5"/>
      <c r="P39" s="5"/>
      <c r="Q39" s="5"/>
      <c r="R39" s="9"/>
      <c r="S39" s="9"/>
      <c r="T39" s="5"/>
      <c r="U39" s="5"/>
      <c r="V39" s="5"/>
      <c r="W39" s="196"/>
      <c r="X39" s="148"/>
      <c r="Y39" s="148"/>
    </row>
    <row r="40" spans="1:32" ht="15.6">
      <c r="A40" s="5"/>
      <c r="B40" s="5"/>
      <c r="C40" s="5"/>
      <c r="D40" s="5"/>
      <c r="E40" s="5"/>
      <c r="F40" s="34" t="s">
        <v>67</v>
      </c>
      <c r="G40" s="35"/>
      <c r="H40" s="35"/>
      <c r="I40" s="5"/>
      <c r="J40" s="5"/>
      <c r="K40" s="5"/>
      <c r="L40" s="5"/>
      <c r="M40" s="5"/>
      <c r="N40" s="5"/>
      <c r="O40" s="5"/>
      <c r="P40" s="5"/>
      <c r="Q40" s="5"/>
      <c r="R40" s="148"/>
      <c r="S40" s="148"/>
      <c r="T40" s="148"/>
      <c r="U40" s="148"/>
      <c r="V40" s="148"/>
      <c r="W40" s="148"/>
      <c r="X40" s="148"/>
      <c r="Y40" s="148"/>
      <c r="Z40" s="5"/>
      <c r="AA40" s="5"/>
      <c r="AB40" s="9"/>
      <c r="AC40" s="5"/>
      <c r="AD40" s="5"/>
      <c r="AE40" s="5"/>
      <c r="AF40" s="5"/>
    </row>
    <row r="41" spans="1:32" ht="15.6">
      <c r="A41" s="5"/>
      <c r="B41" s="5"/>
      <c r="C41" s="5"/>
      <c r="D41" s="5"/>
      <c r="E41" s="5"/>
      <c r="F41" s="34" t="s">
        <v>68</v>
      </c>
      <c r="G41" s="40" t="s">
        <v>121</v>
      </c>
      <c r="H41" s="41">
        <f>'Heater 4'!M35</f>
        <v>66.709704816076709</v>
      </c>
      <c r="I41" s="5"/>
      <c r="J41" s="5"/>
      <c r="K41" s="5"/>
      <c r="L41" s="5"/>
      <c r="M41" s="5"/>
      <c r="N41" s="5"/>
      <c r="O41" s="5"/>
      <c r="P41" s="5"/>
      <c r="Q41" s="5"/>
      <c r="R41" s="1"/>
      <c r="S41" s="91" t="s">
        <v>278</v>
      </c>
      <c r="T41" s="2"/>
      <c r="U41" s="2"/>
      <c r="V41" s="208"/>
      <c r="W41" s="208"/>
      <c r="X41" s="208"/>
      <c r="Y41" s="3"/>
      <c r="Z41" s="9"/>
      <c r="AA41" s="5"/>
      <c r="AB41" s="5"/>
      <c r="AC41" s="5"/>
      <c r="AD41" s="9"/>
      <c r="AE41" s="5"/>
      <c r="AF41" s="5"/>
    </row>
    <row r="42" spans="1:32" ht="15.6">
      <c r="A42" s="5"/>
      <c r="B42" s="5"/>
      <c r="C42" s="5"/>
      <c r="D42" s="5"/>
      <c r="E42" s="5"/>
      <c r="F42" s="34" t="s">
        <v>69</v>
      </c>
      <c r="G42" s="35"/>
      <c r="H42" s="35"/>
      <c r="I42" s="5"/>
      <c r="J42" s="5"/>
      <c r="K42" s="5"/>
      <c r="L42" s="5"/>
      <c r="M42" s="5"/>
      <c r="N42" s="5"/>
      <c r="O42" s="5"/>
      <c r="P42" s="5"/>
      <c r="Q42" s="5"/>
      <c r="R42" s="116" t="s">
        <v>281</v>
      </c>
      <c r="S42" s="5"/>
      <c r="T42" s="109" t="s">
        <v>282</v>
      </c>
      <c r="U42" s="5"/>
      <c r="V42" s="148"/>
      <c r="W42" s="148"/>
      <c r="X42" s="148"/>
      <c r="Y42" s="6"/>
      <c r="Z42" s="5"/>
      <c r="AA42" s="5"/>
      <c r="AB42" s="5"/>
      <c r="AC42" s="5"/>
      <c r="AD42" s="5"/>
      <c r="AE42" s="5"/>
      <c r="AF42" s="5"/>
    </row>
    <row r="43" spans="1:32" ht="15.6">
      <c r="A43" s="5"/>
      <c r="B43" s="5"/>
      <c r="C43" s="5"/>
      <c r="D43" s="5"/>
      <c r="E43" s="5"/>
      <c r="F43" s="34" t="s">
        <v>70</v>
      </c>
      <c r="G43" s="35"/>
      <c r="H43" s="35"/>
      <c r="I43" s="5"/>
      <c r="J43" s="5"/>
      <c r="K43" s="5"/>
      <c r="L43" s="5"/>
      <c r="M43" s="5"/>
      <c r="N43" s="5"/>
      <c r="O43" s="5"/>
      <c r="P43" s="5"/>
      <c r="Q43" s="5"/>
      <c r="R43" s="4"/>
      <c r="S43" s="5"/>
      <c r="T43" s="5"/>
      <c r="U43" s="5"/>
      <c r="V43" s="148"/>
      <c r="W43" s="148"/>
      <c r="X43" s="148"/>
      <c r="Y43" s="6"/>
      <c r="Z43" s="9"/>
      <c r="AA43" s="5"/>
      <c r="AB43" s="5"/>
      <c r="AC43" s="5"/>
      <c r="AD43" s="9"/>
      <c r="AE43" s="5"/>
      <c r="AF43" s="5"/>
    </row>
    <row r="44" spans="1:32" ht="15.6">
      <c r="A44" s="5"/>
      <c r="B44" s="5"/>
      <c r="C44" s="5"/>
      <c r="D44" s="5"/>
      <c r="E44" s="5"/>
      <c r="F44" s="34" t="s">
        <v>71</v>
      </c>
      <c r="G44" s="35"/>
      <c r="H44" s="35"/>
      <c r="I44" s="5"/>
      <c r="J44" s="5"/>
      <c r="K44" s="5"/>
      <c r="L44" s="5"/>
      <c r="M44" s="5"/>
      <c r="N44" s="5"/>
      <c r="O44" s="5"/>
      <c r="P44" s="5"/>
      <c r="Q44" s="5"/>
      <c r="R44" s="4" t="s">
        <v>283</v>
      </c>
      <c r="S44" s="9"/>
      <c r="T44" s="5"/>
      <c r="U44" s="5"/>
      <c r="V44" s="148"/>
      <c r="W44" s="148"/>
      <c r="X44" s="148"/>
      <c r="Y44" s="6"/>
      <c r="Z44" s="5"/>
      <c r="AA44" s="9"/>
      <c r="AB44" s="5"/>
      <c r="AC44" s="9"/>
      <c r="AD44" s="5"/>
      <c r="AE44" s="5"/>
      <c r="AF44" s="5"/>
    </row>
    <row r="45" spans="1:32" ht="15.6">
      <c r="A45" s="5"/>
      <c r="B45" s="5"/>
      <c r="C45" s="5"/>
      <c r="D45" s="5"/>
      <c r="E45" s="5"/>
      <c r="F45" s="34" t="s">
        <v>72</v>
      </c>
      <c r="G45" s="35"/>
      <c r="H45" s="35"/>
      <c r="I45" s="5"/>
      <c r="J45" s="5"/>
      <c r="K45" s="5"/>
      <c r="L45" s="5"/>
      <c r="M45" s="5"/>
      <c r="N45" s="5"/>
      <c r="O45" s="5"/>
      <c r="P45" s="5"/>
      <c r="Q45" s="5"/>
      <c r="R45" s="4"/>
      <c r="S45" s="9"/>
      <c r="T45" s="377"/>
      <c r="U45" s="377"/>
      <c r="V45" s="377"/>
      <c r="W45" s="377"/>
      <c r="X45" s="377"/>
      <c r="Y45" s="465"/>
      <c r="Z45" s="5"/>
      <c r="AA45" s="9"/>
      <c r="AB45" s="5"/>
      <c r="AC45" s="9"/>
      <c r="AD45" s="5"/>
      <c r="AE45" s="5"/>
      <c r="AF45" s="5"/>
    </row>
    <row r="46" spans="1:32" ht="15.6">
      <c r="A46" s="5"/>
      <c r="B46" s="5"/>
      <c r="C46" s="5"/>
      <c r="D46" s="5"/>
      <c r="E46" s="5"/>
      <c r="F46" s="404" t="s">
        <v>85</v>
      </c>
      <c r="G46" s="405"/>
      <c r="H46" s="398"/>
      <c r="I46" s="5"/>
      <c r="J46" s="5"/>
      <c r="K46" s="5"/>
      <c r="L46" s="5"/>
      <c r="M46" s="5"/>
      <c r="N46" s="5"/>
      <c r="O46" s="5"/>
      <c r="P46" s="5"/>
      <c r="Q46" s="5"/>
      <c r="R46" s="88" t="s">
        <v>278</v>
      </c>
      <c r="S46" s="94" t="s">
        <v>135</v>
      </c>
      <c r="T46" s="377"/>
      <c r="U46" s="377"/>
      <c r="V46" s="377"/>
      <c r="W46" s="377"/>
      <c r="X46" s="377"/>
      <c r="Y46" s="465"/>
      <c r="Z46" s="5"/>
      <c r="AA46" s="9"/>
      <c r="AB46" s="5"/>
      <c r="AC46" s="9"/>
      <c r="AD46" s="5"/>
      <c r="AE46" s="5"/>
      <c r="AF46" s="5"/>
    </row>
    <row r="47" spans="1:32" ht="15.6">
      <c r="A47" s="5"/>
      <c r="B47" s="5"/>
      <c r="C47" s="5"/>
      <c r="D47" s="5"/>
      <c r="E47" s="5"/>
      <c r="F47" s="34" t="s">
        <v>67</v>
      </c>
      <c r="G47" s="35"/>
      <c r="H47" s="46"/>
      <c r="I47" s="5"/>
      <c r="J47" s="5"/>
      <c r="K47" s="5"/>
      <c r="L47" s="5"/>
      <c r="M47" s="5"/>
      <c r="N47" s="5"/>
      <c r="O47" s="5"/>
      <c r="P47" s="5"/>
      <c r="Q47" s="5"/>
      <c r="R47" s="172"/>
      <c r="S47" s="148"/>
      <c r="T47" s="377"/>
      <c r="U47" s="377"/>
      <c r="V47" s="377"/>
      <c r="W47" s="377"/>
      <c r="X47" s="377"/>
      <c r="Y47" s="465"/>
      <c r="Z47" s="5"/>
      <c r="AA47" s="5"/>
      <c r="AB47" s="9"/>
      <c r="AC47" s="5"/>
      <c r="AD47" s="5"/>
      <c r="AE47" s="5"/>
      <c r="AF47" s="5"/>
    </row>
    <row r="48" spans="1:32" ht="15.6">
      <c r="A48" s="5"/>
      <c r="B48" s="5"/>
      <c r="C48" s="5"/>
      <c r="D48" s="5"/>
      <c r="E48" s="5"/>
      <c r="F48" s="34" t="s">
        <v>68</v>
      </c>
      <c r="G48" s="35"/>
      <c r="H48" s="41">
        <f>H41/$H$38</f>
        <v>1</v>
      </c>
      <c r="I48" s="5"/>
      <c r="J48" s="5"/>
      <c r="K48" s="5"/>
      <c r="L48" s="5"/>
      <c r="M48" s="5"/>
      <c r="N48" s="5"/>
      <c r="O48" s="5"/>
      <c r="P48" s="5"/>
      <c r="Q48" s="5"/>
      <c r="R48" s="135" t="s">
        <v>278</v>
      </c>
      <c r="S48" s="182" t="s">
        <v>135</v>
      </c>
      <c r="T48" s="120">
        <f>(Database!$C$32*(($E$25+273.15)-($U$23+273.15)))+(((Database!$D$32)*(($E$25+273.15)^2-($U$23+273.15)^2))/2)+((Database!$E$32*(($E$25+273.15)^3-($U$23+273.15)^3))/3)+((Database!$F$32*(($E$25+273.15)^4-($U$23+273.15)^4))/4)+((Database!$G$32)*(($E$25+273.15)^(5)-($U$23+273.15)^5))/5</f>
        <v>22197.989326815492</v>
      </c>
      <c r="U48" s="11" t="s">
        <v>279</v>
      </c>
      <c r="V48" s="204"/>
      <c r="W48" s="204"/>
      <c r="X48" s="204"/>
      <c r="Y48" s="12"/>
      <c r="Z48" s="5"/>
      <c r="AA48" s="5"/>
      <c r="AB48" s="5"/>
      <c r="AC48" s="5"/>
      <c r="AD48" s="5"/>
      <c r="AE48" s="5"/>
      <c r="AF48" s="5"/>
    </row>
    <row r="49" spans="1:32" ht="15.6">
      <c r="A49" s="5"/>
      <c r="B49" s="5"/>
      <c r="C49" s="5"/>
      <c r="D49" s="5"/>
      <c r="E49" s="5"/>
      <c r="F49" s="34" t="s">
        <v>69</v>
      </c>
      <c r="G49" s="35"/>
      <c r="H49" s="35"/>
      <c r="I49" s="5"/>
      <c r="J49" s="5"/>
      <c r="K49" s="5"/>
      <c r="L49" s="5"/>
      <c r="M49" s="5"/>
      <c r="N49" s="5"/>
      <c r="O49" s="5"/>
      <c r="P49" s="5"/>
      <c r="Q49" s="5"/>
      <c r="R49" s="148"/>
      <c r="S49" s="148"/>
      <c r="T49" s="148"/>
      <c r="U49" s="148"/>
      <c r="V49" s="148"/>
      <c r="W49" s="148"/>
      <c r="X49" s="148"/>
      <c r="Y49" s="148"/>
      <c r="Z49" s="9"/>
      <c r="AA49" s="9"/>
      <c r="AB49" s="5"/>
      <c r="AC49" s="5"/>
      <c r="AD49" s="5"/>
      <c r="AE49" s="5"/>
      <c r="AF49" s="5"/>
    </row>
    <row r="50" spans="1:32" ht="15.6">
      <c r="A50" s="5"/>
      <c r="B50" s="5"/>
      <c r="C50" s="5"/>
      <c r="D50" s="5"/>
      <c r="E50" s="5"/>
      <c r="F50" s="34" t="s">
        <v>70</v>
      </c>
      <c r="G50" s="35"/>
      <c r="H50" s="35"/>
      <c r="I50" s="5"/>
      <c r="J50" s="5"/>
      <c r="K50" s="5"/>
      <c r="L50" s="5"/>
      <c r="M50" s="5"/>
      <c r="N50" s="5"/>
      <c r="O50" s="5"/>
      <c r="P50" s="5"/>
      <c r="Q50" s="5"/>
      <c r="R50" s="1"/>
      <c r="S50" s="91" t="s">
        <v>280</v>
      </c>
      <c r="T50" s="2"/>
      <c r="U50" s="2"/>
      <c r="V50" s="208"/>
      <c r="W50" s="208"/>
      <c r="X50" s="208"/>
      <c r="Y50" s="3"/>
      <c r="Z50" s="9"/>
      <c r="AA50" s="9"/>
      <c r="AB50" s="129"/>
      <c r="AC50" s="5"/>
      <c r="AD50" s="5"/>
      <c r="AE50" s="5"/>
      <c r="AF50" s="5"/>
    </row>
    <row r="51" spans="1:32" ht="15.6">
      <c r="A51" s="5"/>
      <c r="B51" s="5"/>
      <c r="C51" s="5"/>
      <c r="D51" s="5"/>
      <c r="E51" s="5"/>
      <c r="F51" s="34" t="s">
        <v>71</v>
      </c>
      <c r="G51" s="35"/>
      <c r="H51" s="35"/>
      <c r="I51" s="5"/>
      <c r="J51" s="5"/>
      <c r="K51" s="5"/>
      <c r="L51" s="5"/>
      <c r="M51" s="5"/>
      <c r="N51" s="5"/>
      <c r="O51" s="5"/>
      <c r="P51" s="5"/>
      <c r="Q51" s="5"/>
      <c r="R51" s="116" t="s">
        <v>281</v>
      </c>
      <c r="S51" s="5"/>
      <c r="T51" s="109" t="s">
        <v>282</v>
      </c>
      <c r="U51" s="5"/>
      <c r="V51" s="148"/>
      <c r="W51" s="148"/>
      <c r="X51" s="148"/>
      <c r="Y51" s="6"/>
      <c r="Z51" s="5"/>
      <c r="AA51" s="9"/>
      <c r="AB51" s="5"/>
      <c r="AC51" s="5"/>
      <c r="AD51" s="5"/>
      <c r="AE51" s="5"/>
      <c r="AF51" s="5"/>
    </row>
    <row r="52" spans="1:32" ht="15.6">
      <c r="A52" s="5"/>
      <c r="B52" s="5"/>
      <c r="C52" s="5"/>
      <c r="D52" s="5"/>
      <c r="E52" s="5"/>
      <c r="F52" s="34" t="s">
        <v>72</v>
      </c>
      <c r="G52" s="35"/>
      <c r="H52" s="35"/>
      <c r="I52" s="5"/>
      <c r="J52" s="5"/>
      <c r="K52" s="5"/>
      <c r="L52" s="5"/>
      <c r="M52" s="5"/>
      <c r="N52" s="5"/>
      <c r="O52" s="5"/>
      <c r="P52" s="5"/>
      <c r="Q52" s="5"/>
      <c r="R52" s="4"/>
      <c r="S52" s="5"/>
      <c r="T52" s="5"/>
      <c r="U52" s="5"/>
      <c r="V52" s="148"/>
      <c r="W52" s="148"/>
      <c r="X52" s="148"/>
      <c r="Y52" s="6"/>
      <c r="Z52" s="5"/>
      <c r="AA52" s="9"/>
      <c r="AB52" s="5"/>
      <c r="AC52" s="5"/>
      <c r="AD52" s="5"/>
      <c r="AE52" s="5"/>
      <c r="AF52" s="5"/>
    </row>
    <row r="53" spans="1:32" ht="15.6">
      <c r="A53" s="5"/>
      <c r="B53" s="5"/>
      <c r="C53" s="5"/>
      <c r="D53" s="5"/>
      <c r="E53" s="5"/>
      <c r="F53" s="406" t="s">
        <v>99</v>
      </c>
      <c r="G53" s="389"/>
      <c r="H53" s="50">
        <v>1</v>
      </c>
      <c r="I53" s="5"/>
      <c r="J53" s="5"/>
      <c r="K53" s="5"/>
      <c r="L53" s="5"/>
      <c r="M53" s="5"/>
      <c r="N53" s="5"/>
      <c r="O53" s="5"/>
      <c r="P53" s="5"/>
      <c r="Q53" s="5"/>
      <c r="R53" s="4" t="s">
        <v>283</v>
      </c>
      <c r="S53" s="21"/>
      <c r="T53" s="5"/>
      <c r="U53" s="5"/>
      <c r="V53" s="148"/>
      <c r="W53" s="148"/>
      <c r="X53" s="148"/>
      <c r="Y53" s="6"/>
      <c r="Z53" s="9"/>
      <c r="AA53" s="9"/>
      <c r="AB53" s="5"/>
      <c r="AC53" s="5"/>
      <c r="AD53" s="5"/>
      <c r="AE53" s="5"/>
      <c r="AF53" s="5"/>
    </row>
    <row r="54" spans="1:32" ht="47.4" customHeight="1">
      <c r="A54" s="5"/>
      <c r="B54" s="5"/>
      <c r="C54" s="5"/>
      <c r="D54" s="5"/>
      <c r="E54" s="5"/>
      <c r="F54" s="496" t="s">
        <v>92</v>
      </c>
      <c r="G54" s="497"/>
      <c r="H54" s="212">
        <f>SUM(H47:H52)</f>
        <v>1</v>
      </c>
      <c r="I54" s="5"/>
      <c r="J54" s="5"/>
      <c r="K54" s="5"/>
      <c r="L54" s="5"/>
      <c r="M54" s="5"/>
      <c r="N54" s="5"/>
      <c r="O54" s="5"/>
      <c r="P54" s="5"/>
      <c r="Q54" s="5"/>
      <c r="R54" s="88" t="s">
        <v>280</v>
      </c>
      <c r="S54" s="94" t="s">
        <v>135</v>
      </c>
      <c r="T54" s="377"/>
      <c r="U54" s="377"/>
      <c r="V54" s="377"/>
      <c r="W54" s="377"/>
      <c r="X54" s="377"/>
      <c r="Y54" s="465"/>
      <c r="Z54" s="9"/>
      <c r="AA54" s="9"/>
      <c r="AB54" s="9"/>
      <c r="AC54" s="5"/>
      <c r="AD54" s="5"/>
      <c r="AE54" s="5"/>
      <c r="AF54" s="5"/>
    </row>
    <row r="55" spans="1:32" ht="15.6">
      <c r="A55" s="5"/>
      <c r="B55" s="5"/>
      <c r="C55" s="5"/>
      <c r="D55" s="5"/>
      <c r="E55" s="5"/>
      <c r="F55" s="397" t="s">
        <v>75</v>
      </c>
      <c r="G55" s="398"/>
      <c r="H55" s="40">
        <v>350</v>
      </c>
      <c r="I55" s="5"/>
      <c r="J55" s="5"/>
      <c r="K55" s="5"/>
      <c r="L55" s="5"/>
      <c r="M55" s="5"/>
      <c r="N55" s="5"/>
      <c r="O55" s="5"/>
      <c r="P55" s="5"/>
      <c r="Q55" s="5"/>
      <c r="R55" s="135" t="s">
        <v>280</v>
      </c>
      <c r="S55" s="182" t="s">
        <v>135</v>
      </c>
      <c r="T55" s="120">
        <f>(Database!$C$32*(($H$55+273.15)-($U$23+273.15)))+(((Database!$D$32)*(($H$55+273.15)^2-($U$23+273.15)^2))/2)+((Database!$E$32*(($H$55+273.15)^3-($U$23+273.15)^3))/3)+((Database!$F$32*(($H$55+273.15)^4-($U$23+273.15)^4))/4)+((Database!$G$32)*(($H$55+273.15)^(5)-($U$23+273.15)^5))/5</f>
        <v>22197.989326815492</v>
      </c>
      <c r="U55" s="11" t="s">
        <v>279</v>
      </c>
      <c r="V55" s="204"/>
      <c r="W55" s="204"/>
      <c r="X55" s="204"/>
      <c r="Y55" s="12"/>
      <c r="Z55" s="5"/>
      <c r="AA55" s="9"/>
      <c r="AB55" s="5"/>
      <c r="AC55" s="5"/>
      <c r="AD55" s="5"/>
      <c r="AE55" s="5"/>
      <c r="AF55" s="5"/>
    </row>
    <row r="56" spans="1:32" ht="15.6">
      <c r="A56" s="5"/>
      <c r="B56" s="5"/>
      <c r="C56" s="5"/>
      <c r="D56" s="5"/>
      <c r="E56" s="5"/>
      <c r="F56" s="396" t="s">
        <v>76</v>
      </c>
      <c r="G56" s="389"/>
      <c r="H56" s="45">
        <v>1</v>
      </c>
      <c r="I56" s="5"/>
      <c r="J56" s="5"/>
      <c r="K56" s="5"/>
      <c r="L56" s="5"/>
      <c r="M56" s="5"/>
      <c r="N56" s="5"/>
      <c r="O56" s="5"/>
      <c r="P56" s="5"/>
      <c r="Q56" s="5"/>
      <c r="R56" s="168"/>
      <c r="S56" s="168"/>
      <c r="T56" s="148"/>
      <c r="U56" s="148"/>
      <c r="V56" s="148"/>
      <c r="W56" s="148"/>
      <c r="X56" s="148"/>
      <c r="Y56" s="148"/>
      <c r="Z56" s="5"/>
      <c r="AA56" s="9"/>
      <c r="AB56" s="5"/>
      <c r="AC56" s="5"/>
      <c r="AD56" s="5"/>
      <c r="AE56" s="5"/>
      <c r="AF56" s="5"/>
    </row>
    <row r="57" spans="1:32" ht="15.6">
      <c r="A57" s="5"/>
      <c r="B57" s="5"/>
      <c r="C57" s="5"/>
      <c r="D57" s="5"/>
      <c r="E57" s="5"/>
      <c r="F57" s="400" t="s">
        <v>548</v>
      </c>
      <c r="G57" s="400"/>
      <c r="H57" s="217">
        <f>U38</f>
        <v>1480821.3155022827</v>
      </c>
      <c r="I57" s="5"/>
      <c r="J57" s="5"/>
      <c r="K57" s="5"/>
      <c r="L57" s="5"/>
      <c r="M57" s="5"/>
      <c r="N57" s="5"/>
      <c r="O57" s="5"/>
      <c r="P57" s="5"/>
      <c r="Q57" s="5"/>
      <c r="R57" s="87"/>
      <c r="S57" s="195" t="s">
        <v>287</v>
      </c>
      <c r="T57" s="2"/>
      <c r="U57" s="2"/>
      <c r="V57" s="208"/>
      <c r="W57" s="208"/>
      <c r="X57" s="208"/>
      <c r="Y57" s="3"/>
      <c r="Z57" s="9"/>
      <c r="AA57" s="9"/>
      <c r="AB57" s="5"/>
      <c r="AC57" s="5"/>
      <c r="AD57" s="5"/>
      <c r="AE57" s="5"/>
      <c r="AF57" s="5"/>
    </row>
    <row r="58" spans="1:32" ht="15.6">
      <c r="A58" s="5"/>
      <c r="B58" s="5"/>
      <c r="C58" s="5"/>
      <c r="D58" s="5"/>
      <c r="E58" s="5"/>
      <c r="I58" s="5"/>
      <c r="J58" s="5"/>
      <c r="K58" s="5"/>
      <c r="L58" s="5"/>
      <c r="M58" s="5"/>
      <c r="N58" s="5"/>
      <c r="O58" s="5"/>
      <c r="P58" s="5"/>
      <c r="Q58" s="5"/>
      <c r="R58" s="88" t="s">
        <v>281</v>
      </c>
      <c r="S58" s="153"/>
      <c r="T58" s="109" t="s">
        <v>282</v>
      </c>
      <c r="U58" s="5"/>
      <c r="V58" s="148"/>
      <c r="W58" s="148"/>
      <c r="X58" s="148"/>
      <c r="Y58" s="6"/>
      <c r="Z58" s="9"/>
      <c r="AA58" s="9"/>
      <c r="AB58" s="96"/>
      <c r="AC58" s="5"/>
      <c r="AD58" s="5"/>
      <c r="AE58" s="5"/>
      <c r="AF58" s="5"/>
    </row>
    <row r="59" spans="1:32" ht="15.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181"/>
      <c r="S59" s="153"/>
      <c r="T59" s="5"/>
      <c r="U59" s="5"/>
      <c r="V59" s="148"/>
      <c r="W59" s="148"/>
      <c r="X59" s="148"/>
      <c r="Y59" s="6"/>
      <c r="Z59" s="5"/>
      <c r="AA59" s="5"/>
      <c r="AB59" s="5"/>
      <c r="AC59" s="5"/>
      <c r="AD59" s="5"/>
      <c r="AE59" s="5"/>
      <c r="AF59" s="5"/>
    </row>
    <row r="60" spans="1:32" ht="15.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4" t="s">
        <v>283</v>
      </c>
      <c r="S60" s="21"/>
      <c r="T60" s="5"/>
      <c r="U60" s="5"/>
      <c r="V60" s="148"/>
      <c r="W60" s="148"/>
      <c r="X60" s="148"/>
      <c r="Y60" s="6"/>
      <c r="Z60" s="9"/>
      <c r="AA60" s="9"/>
      <c r="AB60" s="9"/>
      <c r="AC60" s="5"/>
      <c r="AD60" s="9"/>
      <c r="AE60" s="5"/>
      <c r="AF60" s="9"/>
    </row>
    <row r="61" spans="1:32" ht="49.2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88" t="s">
        <v>287</v>
      </c>
      <c r="S61" s="94" t="s">
        <v>135</v>
      </c>
      <c r="T61" s="377"/>
      <c r="U61" s="377"/>
      <c r="V61" s="377"/>
      <c r="W61" s="377"/>
      <c r="X61" s="377"/>
      <c r="Y61" s="465"/>
      <c r="Z61" s="9"/>
      <c r="AA61" s="9"/>
      <c r="AB61" s="9"/>
      <c r="AC61" s="5"/>
      <c r="AD61" s="5"/>
      <c r="AE61" s="5"/>
      <c r="AF61" s="5"/>
    </row>
    <row r="62" spans="1:32" ht="15.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135" t="s">
        <v>287</v>
      </c>
      <c r="S62" s="182" t="s">
        <v>135</v>
      </c>
      <c r="T62" s="120">
        <f>(Database!$C$32*(($L$22+273.15)-($U$23+273.15)))+(((Database!$D$32)*(($L$22+273.15)^2-($U$23+273.15)^2))/2)+((Database!$E$32*(($L$22+273.15)^3-($U$23+273.15)^3))/3)+((Database!$F$32*(($L$22+273.15)^4-($U$23+273.15)^4))/4)+((Database!$G$32)*(($L$22+273.15)^(5)-($U$23+273.15)^5))/5</f>
        <v>22197.989326815492</v>
      </c>
      <c r="U62" s="11" t="s">
        <v>279</v>
      </c>
      <c r="V62" s="204"/>
      <c r="W62" s="204"/>
      <c r="X62" s="204"/>
      <c r="Y62" s="12"/>
    </row>
    <row r="63" spans="1:32" ht="15.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168"/>
      <c r="S63" s="168"/>
      <c r="T63" s="148"/>
      <c r="U63" s="148"/>
      <c r="V63" s="148"/>
      <c r="W63" s="148"/>
      <c r="X63" s="148"/>
      <c r="Y63" s="148"/>
      <c r="Z63" s="140"/>
      <c r="AA63" s="140"/>
      <c r="AB63" s="9"/>
      <c r="AC63" s="140"/>
      <c r="AD63" s="140"/>
      <c r="AE63" s="140"/>
      <c r="AF63" s="140"/>
    </row>
    <row r="64" spans="1:32" ht="15.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148"/>
      <c r="S64" s="148"/>
      <c r="T64" s="148"/>
      <c r="U64" s="148"/>
      <c r="V64" s="148"/>
      <c r="W64" s="148"/>
      <c r="X64" s="148"/>
      <c r="Y64" s="148"/>
      <c r="Z64" s="9"/>
      <c r="AA64" s="140"/>
      <c r="AB64" s="140"/>
      <c r="AC64" s="140"/>
      <c r="AD64" s="9"/>
      <c r="AE64" s="140"/>
      <c r="AF64" s="140"/>
    </row>
    <row r="65" spans="1:32" ht="15.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148"/>
      <c r="S65" s="148"/>
      <c r="T65" s="148"/>
      <c r="U65" s="148"/>
      <c r="V65" s="148"/>
      <c r="W65" s="148"/>
      <c r="X65" s="148"/>
      <c r="Y65" s="148"/>
      <c r="Z65" s="140"/>
      <c r="AA65" s="140"/>
      <c r="AB65" s="140"/>
      <c r="AC65" s="140"/>
      <c r="AD65" s="140"/>
      <c r="AE65" s="140"/>
      <c r="AF65" s="140"/>
    </row>
    <row r="66" spans="1:32" ht="15.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148"/>
      <c r="S66" s="148"/>
      <c r="T66" s="148"/>
      <c r="U66" s="148"/>
      <c r="V66" s="148"/>
      <c r="W66" s="148"/>
      <c r="X66" s="148"/>
      <c r="Y66" s="148"/>
      <c r="Z66" s="9"/>
      <c r="AA66" s="140"/>
      <c r="AB66" s="140"/>
      <c r="AC66" s="140"/>
      <c r="AD66" s="9"/>
      <c r="AE66" s="140"/>
      <c r="AF66" s="140"/>
    </row>
    <row r="67" spans="1:32" ht="15.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148"/>
      <c r="S67" s="148"/>
      <c r="T67" s="148"/>
      <c r="U67" s="148"/>
      <c r="V67" s="148"/>
      <c r="W67" s="148"/>
      <c r="X67" s="148"/>
      <c r="Y67" s="148"/>
      <c r="Z67" s="140"/>
      <c r="AA67" s="9"/>
      <c r="AB67" s="140"/>
      <c r="AC67" s="9"/>
      <c r="AD67" s="140"/>
      <c r="AE67" s="140"/>
      <c r="AF67" s="140"/>
    </row>
    <row r="68" spans="1:32" ht="15.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148"/>
      <c r="S68" s="148"/>
      <c r="T68" s="148"/>
      <c r="U68" s="148"/>
      <c r="V68" s="148"/>
      <c r="W68" s="148"/>
      <c r="X68" s="148"/>
      <c r="Y68" s="148"/>
      <c r="Z68" s="140"/>
      <c r="AA68" s="140"/>
      <c r="AB68" s="9"/>
      <c r="AC68" s="140"/>
      <c r="AD68" s="140"/>
      <c r="AE68" s="140"/>
      <c r="AF68" s="140"/>
    </row>
    <row r="69" spans="1:32" ht="15.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148"/>
      <c r="S69" s="148"/>
      <c r="T69" s="148"/>
      <c r="U69" s="148"/>
      <c r="V69" s="148"/>
      <c r="W69" s="148"/>
      <c r="X69" s="148"/>
      <c r="Y69" s="148"/>
      <c r="Z69" s="5"/>
      <c r="AA69" s="140"/>
      <c r="AB69" s="140"/>
      <c r="AC69" s="140"/>
      <c r="AD69" s="140"/>
      <c r="AE69" s="140"/>
      <c r="AF69" s="140"/>
    </row>
    <row r="70" spans="1:32" ht="15.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148"/>
      <c r="S70" s="148"/>
      <c r="T70" s="148"/>
      <c r="U70" s="148"/>
      <c r="V70" s="148"/>
      <c r="W70" s="148"/>
      <c r="X70" s="148"/>
      <c r="Y70" s="148"/>
      <c r="Z70" s="9"/>
      <c r="AA70" s="9"/>
      <c r="AB70" s="140"/>
      <c r="AC70" s="140"/>
      <c r="AD70" s="140"/>
      <c r="AE70" s="140"/>
      <c r="AF70" s="140"/>
    </row>
    <row r="71" spans="1:32" ht="15.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148"/>
      <c r="S71" s="148"/>
      <c r="T71" s="148"/>
      <c r="U71" s="148"/>
      <c r="V71" s="148"/>
      <c r="W71" s="148"/>
      <c r="X71" s="148"/>
      <c r="Y71" s="148"/>
      <c r="Z71" s="9"/>
      <c r="AA71" s="9"/>
      <c r="AB71" s="129"/>
      <c r="AC71" s="5"/>
      <c r="AD71" s="140"/>
      <c r="AE71" s="140"/>
      <c r="AF71" s="140"/>
    </row>
    <row r="72" spans="1:32" ht="15.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148"/>
      <c r="S72" s="148"/>
      <c r="T72" s="148"/>
      <c r="U72" s="148"/>
      <c r="V72" s="148"/>
      <c r="W72" s="148"/>
      <c r="X72" s="148"/>
      <c r="Y72" s="148"/>
      <c r="Z72" s="140"/>
      <c r="AA72" s="140"/>
      <c r="AB72" s="140"/>
      <c r="AC72" s="140"/>
      <c r="AD72" s="140"/>
      <c r="AE72" s="140"/>
      <c r="AF72" s="140"/>
    </row>
    <row r="73" spans="1:32" ht="15.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148"/>
      <c r="S73" s="148"/>
      <c r="T73" s="148"/>
      <c r="U73" s="148"/>
      <c r="V73" s="148"/>
      <c r="W73" s="148"/>
      <c r="X73" s="148"/>
      <c r="Y73" s="148"/>
      <c r="Z73" s="5"/>
      <c r="AA73" s="140"/>
      <c r="AB73" s="140"/>
      <c r="AC73" s="140"/>
      <c r="AD73" s="140"/>
      <c r="AE73" s="140"/>
      <c r="AF73" s="140"/>
    </row>
    <row r="74" spans="1:32" ht="15.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148"/>
      <c r="S74" s="148"/>
      <c r="T74" s="148"/>
      <c r="U74" s="148"/>
      <c r="V74" s="148"/>
      <c r="W74" s="148"/>
      <c r="X74" s="148"/>
      <c r="Y74" s="148"/>
      <c r="Z74" s="9"/>
      <c r="AA74" s="9"/>
      <c r="AB74" s="140"/>
      <c r="AC74" s="140"/>
      <c r="AD74" s="140"/>
      <c r="AE74" s="140"/>
      <c r="AF74" s="140"/>
    </row>
    <row r="75" spans="1:32" ht="15.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148"/>
      <c r="S75" s="148"/>
      <c r="T75" s="148"/>
      <c r="U75" s="148"/>
      <c r="V75" s="148"/>
      <c r="W75" s="148"/>
      <c r="X75" s="148"/>
      <c r="Y75" s="148"/>
      <c r="Z75" s="9"/>
      <c r="AA75" s="9"/>
      <c r="AB75" s="9"/>
      <c r="AC75" s="5"/>
      <c r="AD75" s="140"/>
      <c r="AE75" s="140"/>
      <c r="AF75" s="140"/>
    </row>
    <row r="76" spans="1:32" ht="15.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148"/>
      <c r="S76" s="148"/>
      <c r="T76" s="148"/>
      <c r="U76" s="148"/>
      <c r="V76" s="148"/>
      <c r="W76" s="148"/>
      <c r="X76" s="148"/>
      <c r="Y76" s="148"/>
      <c r="Z76" s="140"/>
      <c r="AA76" s="140"/>
      <c r="AB76" s="140"/>
      <c r="AC76" s="140"/>
      <c r="AD76" s="140"/>
      <c r="AE76" s="140"/>
      <c r="AF76" s="140"/>
    </row>
    <row r="77" spans="1:32" ht="15.6">
      <c r="A77" s="5"/>
      <c r="B77" s="5"/>
      <c r="C77" s="5"/>
      <c r="D77" s="5"/>
      <c r="E77" s="5"/>
      <c r="I77" s="5"/>
      <c r="J77" s="5"/>
      <c r="K77" s="5"/>
      <c r="L77" s="5"/>
      <c r="M77" s="5"/>
      <c r="N77" s="5"/>
      <c r="O77" s="5"/>
      <c r="P77" s="5"/>
      <c r="Q77" s="5"/>
      <c r="R77" s="148"/>
      <c r="S77" s="148"/>
      <c r="T77" s="148"/>
      <c r="U77" s="148"/>
      <c r="V77" s="148"/>
      <c r="W77" s="148"/>
      <c r="X77" s="148"/>
      <c r="Y77" s="148"/>
      <c r="Z77" s="5"/>
      <c r="AA77" s="140"/>
      <c r="AB77" s="140"/>
      <c r="AC77" s="140"/>
      <c r="AD77" s="140"/>
      <c r="AE77" s="140"/>
      <c r="AF77" s="140"/>
    </row>
    <row r="78" spans="1:32" ht="15.6">
      <c r="A78" s="5"/>
      <c r="B78" s="5"/>
      <c r="C78" s="5"/>
      <c r="D78" s="5"/>
      <c r="E78" s="5"/>
      <c r="I78" s="5"/>
      <c r="J78" s="5"/>
      <c r="K78" s="5"/>
      <c r="L78" s="5"/>
      <c r="M78" s="5"/>
      <c r="N78" s="5"/>
      <c r="O78" s="5"/>
      <c r="P78" s="5"/>
      <c r="Q78" s="5"/>
      <c r="R78" s="148"/>
      <c r="S78" s="148"/>
      <c r="T78" s="148"/>
      <c r="U78" s="148"/>
      <c r="V78" s="148"/>
      <c r="W78" s="148"/>
      <c r="X78" s="148"/>
      <c r="Y78" s="148"/>
      <c r="Z78" s="9"/>
      <c r="AA78" s="9"/>
      <c r="AB78" s="140"/>
      <c r="AC78" s="140"/>
      <c r="AD78" s="140"/>
      <c r="AE78" s="140"/>
      <c r="AF78" s="140"/>
    </row>
    <row r="79" spans="1:32" ht="15.6">
      <c r="A79" s="5"/>
      <c r="B79" s="5"/>
      <c r="C79" s="5"/>
      <c r="D79" s="5"/>
      <c r="E79" s="5"/>
      <c r="I79" s="5"/>
      <c r="J79" s="5"/>
      <c r="K79" s="5"/>
      <c r="L79" s="5"/>
      <c r="M79" s="5"/>
      <c r="N79" s="5"/>
      <c r="O79" s="5"/>
      <c r="P79" s="5"/>
      <c r="Q79" s="5"/>
      <c r="R79" s="148"/>
      <c r="S79" s="148"/>
      <c r="T79" s="148"/>
      <c r="U79" s="148"/>
      <c r="V79" s="148"/>
      <c r="W79" s="148"/>
      <c r="X79" s="148"/>
      <c r="Y79" s="148"/>
      <c r="Z79" s="9"/>
      <c r="AA79" s="9"/>
      <c r="AB79" s="96"/>
      <c r="AC79" s="5"/>
      <c r="AD79" s="140"/>
      <c r="AE79" s="140"/>
      <c r="AF79" s="140"/>
    </row>
    <row r="80" spans="1:32" ht="15.6">
      <c r="A80" s="5"/>
      <c r="B80" s="5"/>
      <c r="C80" s="5"/>
      <c r="D80" s="5"/>
      <c r="E80" s="5"/>
      <c r="I80" s="5"/>
      <c r="J80" s="5"/>
      <c r="K80" s="5"/>
      <c r="L80" s="5"/>
      <c r="M80" s="5"/>
      <c r="N80" s="5"/>
      <c r="O80" s="5"/>
      <c r="P80" s="5"/>
      <c r="Q80" s="5"/>
      <c r="R80" s="148"/>
      <c r="S80" s="148"/>
      <c r="T80" s="148"/>
      <c r="U80" s="148"/>
      <c r="V80" s="148"/>
      <c r="W80" s="148"/>
      <c r="X80" s="148"/>
      <c r="Y80" s="148"/>
      <c r="Z80" s="140"/>
      <c r="AA80" s="140"/>
      <c r="AB80" s="140"/>
      <c r="AC80" s="140"/>
      <c r="AD80" s="140"/>
      <c r="AE80" s="140"/>
      <c r="AF80" s="140"/>
    </row>
    <row r="81" spans="1:32" ht="15.6">
      <c r="A81" s="5"/>
      <c r="B81" s="5"/>
      <c r="C81" s="5"/>
      <c r="D81" s="5"/>
      <c r="E81" s="5"/>
      <c r="I81" s="5"/>
      <c r="J81" s="5"/>
      <c r="K81" s="5"/>
      <c r="L81" s="5"/>
      <c r="M81" s="5"/>
      <c r="N81" s="5"/>
      <c r="O81" s="5"/>
      <c r="P81" s="5"/>
      <c r="Q81" s="5"/>
      <c r="R81" s="148"/>
      <c r="S81" s="148"/>
      <c r="T81" s="148"/>
      <c r="U81" s="148"/>
      <c r="V81" s="148"/>
      <c r="W81" s="148"/>
      <c r="X81" s="148"/>
      <c r="Y81" s="148"/>
      <c r="Z81" s="9"/>
      <c r="AA81" s="9"/>
      <c r="AB81" s="9"/>
      <c r="AC81" s="5"/>
      <c r="AD81" s="9"/>
      <c r="AE81" s="5"/>
      <c r="AF81" s="9"/>
    </row>
    <row r="82" spans="1:32" ht="15.6">
      <c r="A82" s="5"/>
      <c r="B82" s="5"/>
      <c r="C82" s="5"/>
      <c r="D82" s="5"/>
      <c r="E82" s="5"/>
      <c r="I82" s="5"/>
      <c r="J82" s="5"/>
      <c r="K82" s="5"/>
      <c r="L82" s="5"/>
      <c r="M82" s="5"/>
      <c r="N82" s="5"/>
      <c r="O82" s="5"/>
      <c r="P82" s="5"/>
      <c r="Q82" s="5"/>
      <c r="Z82" s="9"/>
      <c r="AA82" s="9"/>
      <c r="AB82" s="129"/>
      <c r="AC82" s="5"/>
      <c r="AD82" s="140"/>
      <c r="AE82" s="140"/>
      <c r="AF82" s="140"/>
    </row>
    <row r="83" spans="1:32" ht="15.6">
      <c r="A83" s="5"/>
      <c r="B83" s="5"/>
      <c r="C83" s="5"/>
      <c r="D83" s="5"/>
      <c r="E83" s="5"/>
      <c r="I83" s="5"/>
      <c r="J83" s="5"/>
      <c r="K83" s="5"/>
      <c r="L83" s="5"/>
      <c r="M83" s="5"/>
      <c r="N83" s="5"/>
      <c r="O83" s="5"/>
      <c r="P83" s="5"/>
      <c r="Q83" s="5"/>
    </row>
    <row r="84" spans="1:32" ht="15.6">
      <c r="A84" s="5"/>
      <c r="B84" s="5"/>
      <c r="C84" s="5"/>
      <c r="D84" s="5"/>
      <c r="E84" s="5"/>
      <c r="I84" s="5"/>
      <c r="J84" s="5"/>
      <c r="K84" s="5"/>
      <c r="L84" s="5"/>
      <c r="M84" s="5"/>
      <c r="N84" s="5"/>
      <c r="O84" s="5"/>
      <c r="P84" s="5"/>
      <c r="Q84" s="5"/>
    </row>
    <row r="85" spans="1:32" ht="15.6">
      <c r="A85" s="5"/>
      <c r="B85" s="5"/>
      <c r="C85" s="5"/>
      <c r="D85" s="5"/>
      <c r="E85" s="5"/>
      <c r="I85" s="5"/>
      <c r="J85" s="5"/>
      <c r="K85" s="5"/>
      <c r="L85" s="5"/>
      <c r="M85" s="5"/>
      <c r="N85" s="5"/>
      <c r="O85" s="5"/>
      <c r="P85" s="5"/>
      <c r="Q85" s="5"/>
      <c r="Z85" s="5"/>
      <c r="AA85" s="5"/>
      <c r="AB85" s="5"/>
      <c r="AC85" s="5"/>
      <c r="AD85" s="5"/>
      <c r="AE85" s="5"/>
      <c r="AF85" s="5"/>
    </row>
    <row r="86" spans="1:32" ht="15.6">
      <c r="A86" s="5"/>
      <c r="B86" s="5"/>
      <c r="C86" s="5"/>
      <c r="D86" s="5"/>
      <c r="E86" s="5"/>
      <c r="I86" s="5"/>
      <c r="J86" s="5"/>
      <c r="K86" s="5"/>
      <c r="L86" s="5"/>
      <c r="M86" s="5"/>
      <c r="N86" s="5"/>
      <c r="O86" s="5"/>
      <c r="P86" s="5"/>
      <c r="Q86" s="5"/>
      <c r="Z86" s="9"/>
      <c r="AA86" s="5"/>
      <c r="AB86" s="5"/>
      <c r="AC86" s="5"/>
      <c r="AD86" s="9"/>
      <c r="AE86" s="5"/>
      <c r="AF86" s="5"/>
    </row>
    <row r="87" spans="1:32" ht="15.6">
      <c r="A87" s="5"/>
      <c r="B87" s="5"/>
      <c r="C87" s="5"/>
      <c r="D87" s="5"/>
      <c r="E87" s="5"/>
      <c r="I87" s="5"/>
      <c r="J87" s="5"/>
      <c r="K87" s="5"/>
      <c r="L87" s="5"/>
      <c r="M87" s="5"/>
      <c r="N87" s="5"/>
      <c r="O87" s="5"/>
      <c r="P87" s="5"/>
      <c r="Q87" s="5"/>
      <c r="Z87" s="5"/>
      <c r="AA87" s="9"/>
      <c r="AB87" s="5"/>
      <c r="AC87" s="9"/>
      <c r="AD87" s="5"/>
      <c r="AE87" s="5"/>
      <c r="AF87" s="5"/>
    </row>
    <row r="88" spans="1:32" ht="15.6">
      <c r="A88" s="5"/>
      <c r="B88" s="5"/>
      <c r="C88" s="5"/>
      <c r="D88" s="5"/>
      <c r="E88" s="5"/>
      <c r="I88" s="5"/>
      <c r="J88" s="5"/>
      <c r="K88" s="5"/>
      <c r="L88" s="5"/>
      <c r="M88" s="5"/>
      <c r="N88" s="5"/>
      <c r="O88" s="5"/>
      <c r="P88" s="5"/>
      <c r="Q88" s="5"/>
      <c r="Z88" s="5"/>
      <c r="AA88" s="5"/>
      <c r="AB88" s="9"/>
      <c r="AC88" s="5"/>
      <c r="AD88" s="5"/>
      <c r="AE88" s="5"/>
      <c r="AF88" s="5"/>
    </row>
    <row r="89" spans="1:32" ht="15.6">
      <c r="A89" s="5"/>
      <c r="B89" s="5"/>
      <c r="C89" s="5"/>
      <c r="D89" s="5"/>
      <c r="E89" s="5"/>
      <c r="I89" s="5"/>
      <c r="J89" s="5"/>
      <c r="K89" s="5"/>
      <c r="L89" s="5"/>
      <c r="M89" s="5"/>
      <c r="N89" s="5"/>
      <c r="O89" s="5"/>
      <c r="P89" s="5"/>
      <c r="Q89" s="5"/>
      <c r="Z89" s="5"/>
      <c r="AA89" s="5"/>
      <c r="AB89" s="5"/>
      <c r="AC89" s="5"/>
      <c r="AD89" s="5"/>
      <c r="AE89" s="5"/>
      <c r="AF89" s="5"/>
    </row>
    <row r="90" spans="1:32" ht="15.6">
      <c r="A90" s="5"/>
      <c r="B90" s="5"/>
      <c r="C90" s="5"/>
      <c r="D90" s="5"/>
      <c r="E90" s="5"/>
      <c r="I90" s="5"/>
      <c r="J90" s="5"/>
      <c r="K90" s="5"/>
      <c r="L90" s="5"/>
      <c r="M90" s="5"/>
      <c r="N90" s="5"/>
      <c r="O90" s="5"/>
      <c r="P90" s="5"/>
      <c r="Q90" s="5"/>
      <c r="Z90" s="9"/>
      <c r="AA90" s="9"/>
      <c r="AB90" s="5"/>
      <c r="AC90" s="5"/>
      <c r="AD90" s="5"/>
      <c r="AE90" s="5"/>
      <c r="AF90" s="5"/>
    </row>
    <row r="91" spans="1:32" ht="15.6">
      <c r="A91" s="5"/>
      <c r="B91" s="5"/>
      <c r="C91" s="5"/>
      <c r="D91" s="5"/>
      <c r="E91" s="5"/>
      <c r="I91" s="5"/>
      <c r="J91" s="5"/>
      <c r="K91" s="5"/>
      <c r="L91" s="5"/>
      <c r="M91" s="5"/>
      <c r="N91" s="5"/>
      <c r="O91" s="5"/>
      <c r="P91" s="5"/>
      <c r="Q91" s="5"/>
      <c r="Z91" s="9"/>
      <c r="AA91" s="9"/>
      <c r="AB91" s="129"/>
      <c r="AC91" s="5"/>
      <c r="AD91" s="5"/>
      <c r="AE91" s="5"/>
      <c r="AF91" s="5"/>
    </row>
    <row r="92" spans="1:32" ht="15.6">
      <c r="A92" s="5"/>
      <c r="B92" s="5"/>
      <c r="C92" s="5"/>
      <c r="D92" s="5"/>
      <c r="E92" s="5"/>
      <c r="I92" s="5"/>
      <c r="J92" s="5"/>
      <c r="K92" s="5"/>
      <c r="L92" s="5"/>
      <c r="M92" s="5"/>
      <c r="N92" s="5"/>
      <c r="O92" s="5"/>
      <c r="P92" s="5"/>
      <c r="Q92" s="5"/>
      <c r="Z92" s="5"/>
      <c r="AA92" s="9"/>
      <c r="AB92" s="5"/>
      <c r="AC92" s="5"/>
      <c r="AD92" s="5"/>
      <c r="AE92" s="5"/>
      <c r="AF92" s="5"/>
    </row>
    <row r="93" spans="1:32" ht="15.6">
      <c r="A93" s="5"/>
      <c r="B93" s="5"/>
      <c r="C93" s="5"/>
      <c r="D93" s="5"/>
      <c r="E93" s="5"/>
      <c r="I93" s="5"/>
      <c r="J93" s="5"/>
      <c r="K93" s="5"/>
      <c r="L93" s="5"/>
      <c r="M93" s="5"/>
      <c r="N93" s="5"/>
      <c r="O93" s="5"/>
      <c r="P93" s="5"/>
      <c r="Q93" s="5"/>
      <c r="Z93" s="5"/>
      <c r="AA93" s="9"/>
      <c r="AB93" s="5"/>
      <c r="AC93" s="5"/>
      <c r="AD93" s="5"/>
      <c r="AE93" s="5"/>
      <c r="AF93" s="5"/>
    </row>
    <row r="94" spans="1:32" ht="15.6">
      <c r="A94" s="5"/>
      <c r="B94" s="5"/>
      <c r="C94" s="5"/>
      <c r="D94" s="5"/>
      <c r="E94" s="5"/>
      <c r="I94" s="5"/>
      <c r="J94" s="5"/>
      <c r="K94" s="5"/>
      <c r="L94" s="5"/>
      <c r="M94" s="5"/>
      <c r="N94" s="5"/>
      <c r="O94" s="5"/>
      <c r="P94" s="5"/>
      <c r="Q94" s="5"/>
      <c r="Z94" s="9"/>
      <c r="AA94" s="9"/>
      <c r="AB94" s="5"/>
      <c r="AC94" s="5"/>
      <c r="AD94" s="5"/>
      <c r="AE94" s="5"/>
      <c r="AF94" s="5"/>
    </row>
    <row r="95" spans="1:32" ht="15.6">
      <c r="Z95" s="9"/>
      <c r="AA95" s="9"/>
      <c r="AB95" s="9"/>
      <c r="AC95" s="5"/>
      <c r="AD95" s="5"/>
      <c r="AE95" s="5"/>
      <c r="AF95" s="5"/>
    </row>
    <row r="96" spans="1:32" ht="15.6">
      <c r="Z96" s="5"/>
      <c r="AA96" s="9"/>
      <c r="AB96" s="5"/>
      <c r="AC96" s="5"/>
      <c r="AD96" s="5"/>
      <c r="AE96" s="5"/>
      <c r="AF96" s="5"/>
    </row>
    <row r="97" spans="26:32" ht="15.6">
      <c r="Z97" s="5"/>
      <c r="AA97" s="9"/>
      <c r="AB97" s="5"/>
      <c r="AC97" s="5"/>
      <c r="AD97" s="5"/>
      <c r="AE97" s="5"/>
      <c r="AF97" s="5"/>
    </row>
    <row r="98" spans="26:32" ht="15.6">
      <c r="Z98" s="9"/>
      <c r="AA98" s="9"/>
      <c r="AB98" s="5"/>
      <c r="AC98" s="5"/>
      <c r="AD98" s="5"/>
      <c r="AE98" s="5"/>
      <c r="AF98" s="5"/>
    </row>
    <row r="99" spans="26:32" ht="15.6">
      <c r="Z99" s="9"/>
      <c r="AA99" s="9"/>
      <c r="AB99" s="96"/>
      <c r="AC99" s="5"/>
      <c r="AD99" s="5"/>
      <c r="AE99" s="5"/>
      <c r="AF99" s="5"/>
    </row>
    <row r="100" spans="26:32" ht="15.6">
      <c r="Z100" s="5"/>
      <c r="AA100" s="5"/>
      <c r="AB100" s="5"/>
      <c r="AC100" s="5"/>
      <c r="AD100" s="5"/>
      <c r="AE100" s="5"/>
      <c r="AF100" s="5"/>
    </row>
    <row r="101" spans="26:32" ht="15.6">
      <c r="Z101" s="9"/>
      <c r="AA101" s="9"/>
      <c r="AB101" s="9"/>
      <c r="AC101" s="5"/>
      <c r="AD101" s="9"/>
      <c r="AE101" s="5"/>
      <c r="AF101" s="9"/>
    </row>
    <row r="102" spans="26:32" ht="15.6">
      <c r="Z102" s="9"/>
      <c r="AA102" s="9"/>
      <c r="AB102" s="9"/>
      <c r="AC102" s="5"/>
      <c r="AD102" s="5"/>
      <c r="AE102" s="5"/>
      <c r="AF102" s="5"/>
    </row>
  </sheetData>
  <mergeCells count="39">
    <mergeCell ref="T54:Y54"/>
    <mergeCell ref="T61:Y61"/>
    <mergeCell ref="F53:G53"/>
    <mergeCell ref="F54:G54"/>
    <mergeCell ref="F55:G55"/>
    <mergeCell ref="F56:G56"/>
    <mergeCell ref="F57:G57"/>
    <mergeCell ref="C23:D23"/>
    <mergeCell ref="C24:D24"/>
    <mergeCell ref="C26:D26"/>
    <mergeCell ref="F37:G37"/>
    <mergeCell ref="F38:G38"/>
    <mergeCell ref="C27:D27"/>
    <mergeCell ref="J21:K21"/>
    <mergeCell ref="J22:K22"/>
    <mergeCell ref="F39:H39"/>
    <mergeCell ref="F46:H46"/>
    <mergeCell ref="W24:X24"/>
    <mergeCell ref="S38:T38"/>
    <mergeCell ref="U38:V38"/>
    <mergeCell ref="W38:X38"/>
    <mergeCell ref="T45:Y47"/>
    <mergeCell ref="J24:K24"/>
    <mergeCell ref="C7:D7"/>
    <mergeCell ref="S23:T23"/>
    <mergeCell ref="S24:T24"/>
    <mergeCell ref="U24:V24"/>
    <mergeCell ref="J4:K4"/>
    <mergeCell ref="R4:T4"/>
    <mergeCell ref="J5:K5"/>
    <mergeCell ref="J6:L6"/>
    <mergeCell ref="J23:K23"/>
    <mergeCell ref="R24:R25"/>
    <mergeCell ref="C25:D25"/>
    <mergeCell ref="C8:D8"/>
    <mergeCell ref="J13:L13"/>
    <mergeCell ref="C9:E9"/>
    <mergeCell ref="C16:E16"/>
    <mergeCell ref="J20:K20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G3:AD73"/>
  <sheetViews>
    <sheetView topLeftCell="R1" zoomScale="110" zoomScaleNormal="110" workbookViewId="0">
      <selection activeCell="X37" sqref="X37"/>
    </sheetView>
  </sheetViews>
  <sheetFormatPr defaultColWidth="12.6640625" defaultRowHeight="15.75" customHeight="1"/>
  <cols>
    <col min="8" max="8" width="16.88671875" customWidth="1"/>
    <col min="17" max="17" width="16" customWidth="1"/>
    <col min="18" max="18" width="13.88671875" bestFit="1" customWidth="1"/>
    <col min="20" max="20" width="15.33203125" customWidth="1"/>
    <col min="21" max="21" width="19" customWidth="1"/>
    <col min="22" max="22" width="16.88671875" customWidth="1"/>
    <col min="23" max="23" width="18.88671875" customWidth="1"/>
    <col min="24" max="24" width="38.44140625" customWidth="1"/>
    <col min="25" max="25" width="20.6640625" customWidth="1"/>
    <col min="26" max="26" width="25.21875" customWidth="1"/>
    <col min="27" max="27" width="21.21875" customWidth="1"/>
    <col min="28" max="28" width="21.6640625" customWidth="1"/>
    <col min="29" max="29" width="15.6640625" customWidth="1"/>
    <col min="30" max="30" width="19.109375" customWidth="1"/>
  </cols>
  <sheetData>
    <row r="3" spans="7:30" ht="15.75" customHeight="1">
      <c r="U3" s="15" t="s">
        <v>6</v>
      </c>
      <c r="V3" s="145" t="s">
        <v>7</v>
      </c>
      <c r="X3" s="478" t="s">
        <v>307</v>
      </c>
      <c r="Y3" s="391"/>
      <c r="Z3" s="389"/>
    </row>
    <row r="4" spans="7:30" ht="15.75" customHeight="1">
      <c r="U4" s="19" t="s">
        <v>30</v>
      </c>
      <c r="V4" s="20">
        <f>17.031</f>
        <v>17.030999999999999</v>
      </c>
      <c r="X4" s="82" t="s">
        <v>201</v>
      </c>
      <c r="Y4" s="85">
        <v>1</v>
      </c>
      <c r="Z4" s="81" t="s">
        <v>522</v>
      </c>
    </row>
    <row r="5" spans="7:30" ht="15.75" customHeight="1">
      <c r="U5" s="19" t="s">
        <v>48</v>
      </c>
      <c r="V5" s="20">
        <v>44.052999999999997</v>
      </c>
      <c r="X5" s="123" t="s">
        <v>309</v>
      </c>
      <c r="Y5" s="124">
        <v>-1</v>
      </c>
      <c r="Z5" s="81" t="s">
        <v>515</v>
      </c>
    </row>
    <row r="6" spans="7:30" ht="15.75" customHeight="1">
      <c r="U6" s="19" t="s">
        <v>59</v>
      </c>
      <c r="V6" s="20">
        <v>61.082999999999998</v>
      </c>
      <c r="X6" s="82" t="s">
        <v>209</v>
      </c>
      <c r="Y6" s="85">
        <v>0</v>
      </c>
      <c r="Z6" s="81" t="s">
        <v>311</v>
      </c>
    </row>
    <row r="7" spans="7:30" ht="15.75" customHeight="1">
      <c r="U7" s="19" t="s">
        <v>61</v>
      </c>
      <c r="V7" s="20">
        <v>105.136</v>
      </c>
      <c r="X7" s="125"/>
      <c r="Y7" s="126">
        <f>SUM(Y4:Y6)</f>
        <v>0</v>
      </c>
      <c r="Z7" s="125" t="s">
        <v>214</v>
      </c>
    </row>
    <row r="8" spans="7:30" ht="15.75" customHeight="1">
      <c r="J8" s="32" t="s">
        <v>115</v>
      </c>
      <c r="S8" s="56" t="s">
        <v>116</v>
      </c>
      <c r="U8" s="19" t="s">
        <v>63</v>
      </c>
      <c r="V8" s="20">
        <v>149.18799999999999</v>
      </c>
      <c r="X8" s="5"/>
    </row>
    <row r="9" spans="7:30" ht="15.75" customHeight="1">
      <c r="U9" s="19" t="s">
        <v>65</v>
      </c>
      <c r="V9" s="24">
        <v>62.07</v>
      </c>
      <c r="X9" s="5"/>
    </row>
    <row r="10" spans="7:30" ht="15.75" customHeight="1">
      <c r="X10" s="11" t="s">
        <v>466</v>
      </c>
      <c r="Y10" s="5"/>
      <c r="Z10" s="5"/>
      <c r="AA10" s="5"/>
    </row>
    <row r="11" spans="7:30" ht="15.75" customHeight="1">
      <c r="G11" s="407" t="s">
        <v>79</v>
      </c>
      <c r="H11" s="389"/>
      <c r="I11" s="33">
        <f>I15*V5</f>
        <v>9687.5</v>
      </c>
      <c r="P11" s="407" t="s">
        <v>79</v>
      </c>
      <c r="Q11" s="389"/>
      <c r="R11" s="33">
        <f>R15*V5</f>
        <v>9687.5</v>
      </c>
      <c r="X11" s="95" t="s">
        <v>119</v>
      </c>
      <c r="Y11" s="117" t="s">
        <v>135</v>
      </c>
      <c r="Z11" s="95" t="s">
        <v>120</v>
      </c>
      <c r="AA11" s="9"/>
    </row>
    <row r="12" spans="7:30" ht="15.75" customHeight="1">
      <c r="G12" s="407" t="s">
        <v>80</v>
      </c>
      <c r="H12" s="389"/>
      <c r="I12" s="33">
        <f>SUM(I14:I19)</f>
        <v>219.90556829273831</v>
      </c>
      <c r="P12" s="407" t="s">
        <v>80</v>
      </c>
      <c r="Q12" s="389"/>
      <c r="R12" s="33">
        <f>SUM(R14:R19)</f>
        <v>219.90556829273831</v>
      </c>
      <c r="X12" s="95" t="s">
        <v>119</v>
      </c>
      <c r="Y12" s="117" t="s">
        <v>135</v>
      </c>
      <c r="Z12" s="102">
        <f>R15</f>
        <v>219.90556829273831</v>
      </c>
      <c r="AA12" s="9" t="s">
        <v>148</v>
      </c>
    </row>
    <row r="13" spans="7:30" ht="15.75" customHeight="1">
      <c r="G13" s="401" t="s">
        <v>66</v>
      </c>
      <c r="H13" s="391"/>
      <c r="I13" s="389"/>
      <c r="P13" s="401" t="s">
        <v>66</v>
      </c>
      <c r="Q13" s="391"/>
      <c r="R13" s="389"/>
    </row>
    <row r="14" spans="7:30" ht="15.75" customHeight="1">
      <c r="G14" s="34" t="s">
        <v>67</v>
      </c>
      <c r="H14" s="35"/>
      <c r="I14" s="35"/>
      <c r="P14" s="34" t="s">
        <v>67</v>
      </c>
      <c r="Q14" s="35"/>
      <c r="R14" s="35"/>
      <c r="X14" s="11" t="s">
        <v>256</v>
      </c>
      <c r="Y14" s="5"/>
      <c r="Z14" s="5"/>
      <c r="AA14" s="5"/>
      <c r="AB14" s="148"/>
      <c r="AC14" s="148"/>
      <c r="AD14" s="148"/>
    </row>
    <row r="15" spans="7:30" ht="15.75" customHeight="1">
      <c r="G15" s="34" t="s">
        <v>68</v>
      </c>
      <c r="H15" s="40" t="s">
        <v>119</v>
      </c>
      <c r="I15" s="41">
        <f>Z12</f>
        <v>219.90556829273831</v>
      </c>
      <c r="P15" s="34" t="s">
        <v>68</v>
      </c>
      <c r="Q15" s="40" t="s">
        <v>120</v>
      </c>
      <c r="R15" s="41">
        <f>'Holding Tank'!E11</f>
        <v>219.90556829273831</v>
      </c>
      <c r="X15" s="107" t="s">
        <v>257</v>
      </c>
      <c r="Y15" s="5"/>
      <c r="Z15" s="5"/>
      <c r="AA15" s="5"/>
      <c r="AB15" s="148"/>
      <c r="AC15" s="148"/>
      <c r="AD15" s="148"/>
    </row>
    <row r="16" spans="7:30" ht="15.75" customHeight="1">
      <c r="G16" s="34" t="s">
        <v>69</v>
      </c>
      <c r="H16" s="35"/>
      <c r="I16" s="35"/>
      <c r="P16" s="34" t="s">
        <v>69</v>
      </c>
      <c r="Q16" s="35"/>
      <c r="R16" s="35"/>
      <c r="X16" s="5"/>
      <c r="Y16" s="5"/>
      <c r="Z16" s="5"/>
      <c r="AA16" s="5"/>
      <c r="AB16" s="148"/>
      <c r="AC16" s="148"/>
      <c r="AD16" s="148"/>
    </row>
    <row r="17" spans="7:30" ht="15.75" customHeight="1">
      <c r="G17" s="34" t="s">
        <v>70</v>
      </c>
      <c r="H17" s="35"/>
      <c r="I17" s="35"/>
      <c r="P17" s="34" t="s">
        <v>70</v>
      </c>
      <c r="Q17" s="35"/>
      <c r="R17" s="35"/>
      <c r="X17" s="108" t="s">
        <v>258</v>
      </c>
      <c r="Y17" s="5"/>
      <c r="Z17" s="5"/>
      <c r="AA17" s="5"/>
      <c r="AB17" s="148"/>
      <c r="AC17" s="148"/>
      <c r="AD17" s="148"/>
    </row>
    <row r="18" spans="7:30" ht="15.75" customHeight="1">
      <c r="G18" s="34" t="s">
        <v>71</v>
      </c>
      <c r="H18" s="35"/>
      <c r="I18" s="35"/>
      <c r="P18" s="34" t="s">
        <v>71</v>
      </c>
      <c r="Q18" s="35"/>
      <c r="R18" s="35"/>
      <c r="X18" s="109">
        <v>1</v>
      </c>
      <c r="Y18" s="5" t="s">
        <v>259</v>
      </c>
      <c r="Z18" s="5"/>
      <c r="AA18" s="5"/>
      <c r="AB18" s="148"/>
      <c r="AC18" s="148"/>
      <c r="AD18" s="148"/>
    </row>
    <row r="19" spans="7:30" ht="15.75" customHeight="1">
      <c r="G19" s="34" t="s">
        <v>72</v>
      </c>
      <c r="H19" s="35"/>
      <c r="I19" s="35"/>
      <c r="P19" s="34" t="s">
        <v>72</v>
      </c>
      <c r="Q19" s="35"/>
      <c r="R19" s="35"/>
      <c r="X19" s="109">
        <v>2</v>
      </c>
      <c r="Y19" s="5" t="s">
        <v>260</v>
      </c>
      <c r="Z19" s="5"/>
      <c r="AA19" s="5"/>
      <c r="AB19" s="148"/>
      <c r="AC19" s="148"/>
      <c r="AD19" s="148"/>
    </row>
    <row r="20" spans="7:30" ht="15.75" customHeight="1">
      <c r="G20" s="404" t="s">
        <v>85</v>
      </c>
      <c r="H20" s="405"/>
      <c r="I20" s="398"/>
      <c r="P20" s="404" t="s">
        <v>85</v>
      </c>
      <c r="Q20" s="405"/>
      <c r="R20" s="398"/>
      <c r="X20" s="109">
        <v>3</v>
      </c>
      <c r="Y20" s="5" t="s">
        <v>261</v>
      </c>
      <c r="Z20" s="5"/>
      <c r="AA20" s="5"/>
      <c r="AB20" s="148"/>
      <c r="AC20" s="148"/>
      <c r="AD20" s="148"/>
    </row>
    <row r="21" spans="7:30" ht="15.75" customHeight="1">
      <c r="G21" s="34" t="s">
        <v>67</v>
      </c>
      <c r="H21" s="35"/>
      <c r="I21" s="46"/>
      <c r="P21" s="34" t="s">
        <v>67</v>
      </c>
      <c r="Q21" s="35"/>
      <c r="R21" s="46"/>
      <c r="X21" s="148"/>
      <c r="Y21" s="148"/>
      <c r="Z21" s="148"/>
      <c r="AA21" s="148"/>
      <c r="AB21" s="148"/>
      <c r="AC21" s="148"/>
      <c r="AD21" s="148"/>
    </row>
    <row r="22" spans="7:30" ht="15.75" customHeight="1">
      <c r="G22" s="34" t="s">
        <v>68</v>
      </c>
      <c r="H22" s="35"/>
      <c r="I22" s="41">
        <f>I15/$I$12</f>
        <v>1</v>
      </c>
      <c r="P22" s="34" t="s">
        <v>68</v>
      </c>
      <c r="Q22" s="35"/>
      <c r="R22" s="41">
        <f>R15/$R$12</f>
        <v>1</v>
      </c>
      <c r="X22" s="5" t="s">
        <v>262</v>
      </c>
      <c r="Y22" s="5" t="s">
        <v>516</v>
      </c>
      <c r="Z22" s="9">
        <v>25</v>
      </c>
      <c r="AA22" s="5" t="s">
        <v>326</v>
      </c>
      <c r="AB22" s="148"/>
      <c r="AC22" s="5"/>
      <c r="AD22" s="5"/>
    </row>
    <row r="23" spans="7:30" ht="15.75" customHeight="1">
      <c r="G23" s="34" t="s">
        <v>69</v>
      </c>
      <c r="H23" s="35"/>
      <c r="I23" s="35"/>
      <c r="P23" s="34" t="s">
        <v>69</v>
      </c>
      <c r="Q23" s="35"/>
      <c r="R23" s="35"/>
      <c r="X23" s="458" t="s">
        <v>152</v>
      </c>
      <c r="Y23" s="456" t="s">
        <v>523</v>
      </c>
      <c r="Z23" s="498"/>
      <c r="AA23" s="456" t="s">
        <v>520</v>
      </c>
      <c r="AB23" s="498"/>
      <c r="AC23" s="116"/>
      <c r="AD23" s="148"/>
    </row>
    <row r="24" spans="7:30" ht="15.75" customHeight="1">
      <c r="G24" s="34" t="s">
        <v>70</v>
      </c>
      <c r="H24" s="35"/>
      <c r="I24" s="35"/>
      <c r="K24" s="114" t="s">
        <v>410</v>
      </c>
      <c r="P24" s="34" t="s">
        <v>70</v>
      </c>
      <c r="Q24" s="35"/>
      <c r="R24" s="35"/>
      <c r="X24" s="499"/>
      <c r="Y24" s="221" t="s">
        <v>267</v>
      </c>
      <c r="Z24" s="221" t="s">
        <v>400</v>
      </c>
      <c r="AA24" s="221" t="s">
        <v>328</v>
      </c>
      <c r="AB24" s="220" t="s">
        <v>329</v>
      </c>
      <c r="AC24" s="116"/>
      <c r="AD24" s="9"/>
    </row>
    <row r="25" spans="7:30" ht="15.75" customHeight="1">
      <c r="G25" s="34" t="s">
        <v>71</v>
      </c>
      <c r="H25" s="35"/>
      <c r="I25" s="35"/>
      <c r="P25" s="34" t="s">
        <v>71</v>
      </c>
      <c r="Q25" s="35"/>
      <c r="R25" s="35"/>
      <c r="X25" s="20" t="s">
        <v>489</v>
      </c>
      <c r="Y25" s="20" t="s">
        <v>193</v>
      </c>
      <c r="Z25" s="20" t="s">
        <v>193</v>
      </c>
      <c r="AA25" s="20" t="s">
        <v>193</v>
      </c>
      <c r="AB25" s="49" t="s">
        <v>193</v>
      </c>
      <c r="AC25" s="116"/>
      <c r="AD25" s="9"/>
    </row>
    <row r="26" spans="7:30" ht="15.75" customHeight="1">
      <c r="G26" s="34" t="s">
        <v>72</v>
      </c>
      <c r="H26" s="35"/>
      <c r="I26" s="35"/>
      <c r="P26" s="34" t="s">
        <v>72</v>
      </c>
      <c r="Q26" s="35"/>
      <c r="R26" s="35"/>
      <c r="X26" s="20" t="s">
        <v>416</v>
      </c>
      <c r="Y26" s="20" t="s">
        <v>193</v>
      </c>
      <c r="Z26" s="20" t="s">
        <v>193</v>
      </c>
      <c r="AA26" s="20" t="s">
        <v>193</v>
      </c>
      <c r="AB26" s="49" t="s">
        <v>193</v>
      </c>
      <c r="AC26" s="116"/>
      <c r="AD26" s="9"/>
    </row>
    <row r="27" spans="7:30" ht="15.6">
      <c r="G27" s="406" t="s">
        <v>99</v>
      </c>
      <c r="H27" s="389"/>
      <c r="I27" s="50">
        <v>1</v>
      </c>
      <c r="P27" s="406" t="s">
        <v>99</v>
      </c>
      <c r="Q27" s="389"/>
      <c r="R27" s="50">
        <v>1</v>
      </c>
      <c r="X27" s="20" t="s">
        <v>417</v>
      </c>
      <c r="Y27" s="20" t="s">
        <v>193</v>
      </c>
      <c r="Z27" s="20" t="s">
        <v>193</v>
      </c>
      <c r="AA27" s="20" t="s">
        <v>193</v>
      </c>
      <c r="AB27" s="49" t="s">
        <v>193</v>
      </c>
      <c r="AC27" s="116"/>
      <c r="AD27" s="9"/>
    </row>
    <row r="28" spans="7:30" ht="15.6">
      <c r="G28" s="397" t="s">
        <v>92</v>
      </c>
      <c r="H28" s="398"/>
      <c r="I28" s="40">
        <f>SUM(I21:I26)</f>
        <v>1</v>
      </c>
      <c r="P28" s="397" t="s">
        <v>92</v>
      </c>
      <c r="Q28" s="398"/>
      <c r="R28" s="40">
        <f>SUM(R21:R26)</f>
        <v>1</v>
      </c>
      <c r="X28" s="20" t="s">
        <v>418</v>
      </c>
      <c r="Y28" s="20" t="s">
        <v>193</v>
      </c>
      <c r="Z28" s="20" t="s">
        <v>193</v>
      </c>
      <c r="AA28" s="20" t="s">
        <v>193</v>
      </c>
      <c r="AB28" s="49" t="s">
        <v>193</v>
      </c>
      <c r="AC28" s="116"/>
      <c r="AD28" s="9"/>
    </row>
    <row r="29" spans="7:30" ht="15.6">
      <c r="G29" s="397" t="s">
        <v>75</v>
      </c>
      <c r="H29" s="398"/>
      <c r="I29" s="40">
        <v>25</v>
      </c>
      <c r="P29" s="397" t="s">
        <v>75</v>
      </c>
      <c r="Q29" s="398"/>
      <c r="R29" s="40">
        <v>350</v>
      </c>
      <c r="X29" s="20" t="s">
        <v>337</v>
      </c>
      <c r="Y29" s="20" t="s">
        <v>193</v>
      </c>
      <c r="Z29" s="20" t="s">
        <v>193</v>
      </c>
      <c r="AA29" s="20" t="s">
        <v>193</v>
      </c>
      <c r="AB29" s="49" t="s">
        <v>193</v>
      </c>
      <c r="AC29" s="116"/>
      <c r="AD29" s="9"/>
    </row>
    <row r="30" spans="7:30" ht="15.6">
      <c r="G30" s="396" t="s">
        <v>76</v>
      </c>
      <c r="H30" s="389"/>
      <c r="I30" s="45">
        <v>1</v>
      </c>
      <c r="P30" s="396" t="s">
        <v>76</v>
      </c>
      <c r="Q30" s="389"/>
      <c r="R30" s="45">
        <v>1</v>
      </c>
      <c r="X30" s="20" t="s">
        <v>455</v>
      </c>
      <c r="Y30" s="20" t="s">
        <v>193</v>
      </c>
      <c r="Z30" s="20" t="s">
        <v>193</v>
      </c>
      <c r="AA30" s="20" t="s">
        <v>193</v>
      </c>
      <c r="AB30" s="49" t="s">
        <v>193</v>
      </c>
      <c r="AC30" s="116"/>
      <c r="AD30" s="9"/>
    </row>
    <row r="31" spans="7:30" ht="15.75" customHeight="1">
      <c r="G31" s="400" t="s">
        <v>548</v>
      </c>
      <c r="H31" s="400"/>
      <c r="I31" s="217">
        <f>Y37</f>
        <v>0</v>
      </c>
      <c r="P31" s="400" t="s">
        <v>548</v>
      </c>
      <c r="Q31" s="400"/>
      <c r="R31" s="216">
        <f>AA37</f>
        <v>4881461.4578694999</v>
      </c>
      <c r="X31" s="20" t="s">
        <v>271</v>
      </c>
      <c r="Y31" s="20" t="s">
        <v>193</v>
      </c>
      <c r="Z31" s="20" t="s">
        <v>193</v>
      </c>
      <c r="AA31" s="20" t="s">
        <v>193</v>
      </c>
      <c r="AB31" s="49" t="s">
        <v>193</v>
      </c>
      <c r="AC31" s="116"/>
      <c r="AD31" s="9"/>
    </row>
    <row r="32" spans="7:30" ht="15.6">
      <c r="X32" s="20" t="s">
        <v>272</v>
      </c>
      <c r="Y32" s="33">
        <f>I15</f>
        <v>219.90556829273831</v>
      </c>
      <c r="Z32" s="33">
        <f>Z44</f>
        <v>0</v>
      </c>
      <c r="AA32" s="33">
        <f>R15</f>
        <v>219.90556829273831</v>
      </c>
      <c r="AB32" s="111">
        <f>Z51</f>
        <v>22197.989326815492</v>
      </c>
      <c r="AC32" s="116"/>
      <c r="AD32" s="9"/>
    </row>
    <row r="33" spans="24:30" ht="15.6">
      <c r="X33" s="20" t="s">
        <v>273</v>
      </c>
      <c r="Y33" s="20" t="s">
        <v>193</v>
      </c>
      <c r="Z33" s="20" t="s">
        <v>193</v>
      </c>
      <c r="AA33" s="20" t="s">
        <v>193</v>
      </c>
      <c r="AB33" s="49" t="s">
        <v>193</v>
      </c>
      <c r="AC33" s="116"/>
      <c r="AD33" s="9"/>
    </row>
    <row r="34" spans="24:30" ht="15.6">
      <c r="X34" s="20" t="s">
        <v>333</v>
      </c>
      <c r="Y34" s="20" t="s">
        <v>193</v>
      </c>
      <c r="Z34" s="20" t="s">
        <v>193</v>
      </c>
      <c r="AA34" s="20" t="s">
        <v>193</v>
      </c>
      <c r="AB34" s="49" t="s">
        <v>193</v>
      </c>
      <c r="AC34" s="116"/>
      <c r="AD34" s="9"/>
    </row>
    <row r="35" spans="24:30" ht="15.6">
      <c r="X35" s="20" t="s">
        <v>275</v>
      </c>
      <c r="Y35" s="20" t="s">
        <v>193</v>
      </c>
      <c r="Z35" s="20" t="s">
        <v>193</v>
      </c>
      <c r="AA35" s="20" t="s">
        <v>193</v>
      </c>
      <c r="AB35" s="49" t="s">
        <v>193</v>
      </c>
      <c r="AC35" s="116"/>
      <c r="AD35" s="9"/>
    </row>
    <row r="36" spans="24:30" ht="14.4" customHeight="1">
      <c r="X36" s="20" t="s">
        <v>276</v>
      </c>
      <c r="Y36" s="20" t="s">
        <v>193</v>
      </c>
      <c r="Z36" s="20" t="s">
        <v>193</v>
      </c>
      <c r="AA36" s="20" t="s">
        <v>193</v>
      </c>
      <c r="AB36" s="49" t="s">
        <v>193</v>
      </c>
      <c r="AC36" s="116"/>
      <c r="AD36" s="9"/>
    </row>
    <row r="37" spans="24:30" ht="15.6">
      <c r="X37" s="222" t="s">
        <v>469</v>
      </c>
      <c r="Y37" s="441">
        <f>Y32*Z32</f>
        <v>0</v>
      </c>
      <c r="Z37" s="473"/>
      <c r="AA37" s="441">
        <f>AA32*AB32</f>
        <v>4881461.4578694999</v>
      </c>
      <c r="AB37" s="473"/>
      <c r="AC37" s="147"/>
      <c r="AD37" s="148"/>
    </row>
    <row r="38" spans="24:30" ht="15.6">
      <c r="X38" s="148"/>
      <c r="Y38" s="148"/>
      <c r="Z38" s="148"/>
      <c r="AA38" s="148"/>
      <c r="AB38" s="148"/>
      <c r="AC38" s="148"/>
      <c r="AD38" s="148"/>
    </row>
    <row r="39" spans="24:30" ht="15.6">
      <c r="X39" s="1"/>
      <c r="Y39" s="91" t="s">
        <v>278</v>
      </c>
      <c r="Z39" s="2"/>
      <c r="AA39" s="2"/>
      <c r="AB39" s="208"/>
      <c r="AC39" s="179"/>
      <c r="AD39" s="3"/>
    </row>
    <row r="40" spans="24:30" ht="15.6">
      <c r="X40" s="116" t="s">
        <v>425</v>
      </c>
      <c r="Y40" s="5"/>
      <c r="Z40" s="109" t="s">
        <v>281</v>
      </c>
      <c r="AA40" s="5"/>
      <c r="AB40" s="148"/>
      <c r="AC40" s="5"/>
      <c r="AD40" s="6"/>
    </row>
    <row r="41" spans="24:30" ht="15.6">
      <c r="X41" s="4"/>
      <c r="Y41" s="5"/>
      <c r="Z41" s="5"/>
      <c r="AA41" s="5"/>
      <c r="AB41" s="148"/>
      <c r="AC41" s="5"/>
      <c r="AD41" s="6"/>
    </row>
    <row r="42" spans="24:30" ht="15.6">
      <c r="X42" s="4" t="s">
        <v>524</v>
      </c>
      <c r="Y42" s="9"/>
      <c r="Z42" s="5"/>
      <c r="AA42" s="5"/>
      <c r="AB42" s="148"/>
      <c r="AC42" s="5"/>
      <c r="AD42" s="6"/>
    </row>
    <row r="43" spans="24:30" ht="49.2" customHeight="1">
      <c r="X43" s="88" t="s">
        <v>278</v>
      </c>
      <c r="Y43" s="94" t="s">
        <v>135</v>
      </c>
      <c r="Z43" s="377"/>
      <c r="AA43" s="377"/>
      <c r="AB43" s="377"/>
      <c r="AC43" s="377"/>
      <c r="AD43" s="465"/>
    </row>
    <row r="44" spans="24:30" ht="15.6">
      <c r="X44" s="85" t="s">
        <v>278</v>
      </c>
      <c r="Y44" s="118" t="s">
        <v>135</v>
      </c>
      <c r="Z44" s="120">
        <f>(Database!$C$32*(($I$29+273.15)-($Z$22+273.15)))+(((Database!$D$32)*(($I$29+273.15)^2-($Z$22+273.15)^2))/2)+((Database!$E$32*(($I$29+273.15)^3-($Z$22+273.15)^3))/3)+((Database!$F$32*(($I$29+273.15)^4-($Z$22+273.15)^4))/4)+((Database!$G$32)*(($I$29+273.15)^(5)-($Z$22+273.15)^5))/5</f>
        <v>0</v>
      </c>
      <c r="AA44" s="11" t="s">
        <v>279</v>
      </c>
      <c r="AB44" s="204"/>
      <c r="AC44" s="190"/>
      <c r="AD44" s="12"/>
    </row>
    <row r="45" spans="24:30" ht="15.6">
      <c r="X45" s="5"/>
      <c r="Y45" s="5"/>
      <c r="Z45" s="5"/>
      <c r="AA45" s="5"/>
      <c r="AB45" s="148"/>
      <c r="AC45" s="5"/>
      <c r="AD45" s="5"/>
    </row>
    <row r="46" spans="24:30" ht="15.6">
      <c r="X46" s="1"/>
      <c r="Y46" s="91" t="s">
        <v>280</v>
      </c>
      <c r="Z46" s="2"/>
      <c r="AA46" s="2"/>
      <c r="AB46" s="208"/>
      <c r="AC46" s="179"/>
      <c r="AD46" s="3"/>
    </row>
    <row r="47" spans="24:30" ht="15.6">
      <c r="X47" s="116" t="s">
        <v>540</v>
      </c>
      <c r="Y47" s="5"/>
      <c r="Z47" s="109" t="s">
        <v>539</v>
      </c>
      <c r="AA47" s="5"/>
      <c r="AB47" s="148"/>
      <c r="AC47" s="5"/>
      <c r="AD47" s="6"/>
    </row>
    <row r="48" spans="24:30" ht="15.6">
      <c r="X48" s="4"/>
      <c r="Y48" s="5"/>
      <c r="Z48" s="5"/>
      <c r="AA48" s="5"/>
      <c r="AB48" s="148"/>
      <c r="AC48" s="5"/>
      <c r="AD48" s="6"/>
    </row>
    <row r="49" spans="24:30" ht="15.6">
      <c r="X49" s="4" t="s">
        <v>593</v>
      </c>
      <c r="Y49" s="9"/>
      <c r="Z49" s="5"/>
      <c r="AA49" s="5"/>
      <c r="AB49" s="148"/>
      <c r="AC49" s="5"/>
      <c r="AD49" s="6"/>
    </row>
    <row r="50" spans="24:30" ht="48" customHeight="1">
      <c r="X50" s="88" t="s">
        <v>280</v>
      </c>
      <c r="Y50" s="94" t="s">
        <v>135</v>
      </c>
      <c r="Z50" s="377"/>
      <c r="AA50" s="377"/>
      <c r="AB50" s="377"/>
      <c r="AC50" s="377"/>
      <c r="AD50" s="465"/>
    </row>
    <row r="51" spans="24:30" ht="15.6">
      <c r="X51" s="85" t="s">
        <v>280</v>
      </c>
      <c r="Y51" s="118" t="s">
        <v>135</v>
      </c>
      <c r="Z51" s="120">
        <f>(Database!$C$32*(($R$29+273.15)-($Z$22+273.15)))+(((Database!$D$32)*(($R$29+273.15)^2-($Z$22+273.15)^2))/2)+((Database!$E$32*(($R$29+273.15)^3-($Z$22+273.15)^3))/3)+((Database!$F$32*(($R$29+273.15)^4-($Z$22+273.15)^4))/4)+((Database!$G$32)*(($R$29+273.15)^(5)-($Z$22+273.15)^5))/5</f>
        <v>22197.989326815492</v>
      </c>
      <c r="AA51" s="11" t="s">
        <v>279</v>
      </c>
      <c r="AB51" s="204"/>
      <c r="AC51" s="190"/>
      <c r="AD51" s="12"/>
    </row>
    <row r="52" spans="24:30" ht="15.75" customHeight="1">
      <c r="X52" s="5"/>
      <c r="Y52" s="9"/>
      <c r="Z52" s="5"/>
      <c r="AA52" s="5"/>
      <c r="AB52" s="5"/>
      <c r="AC52" s="5"/>
      <c r="AD52" s="5"/>
    </row>
    <row r="53" spans="24:30" ht="15.75" customHeight="1">
      <c r="X53" s="5"/>
      <c r="Y53" s="9"/>
      <c r="Z53" s="5"/>
      <c r="AA53" s="5"/>
      <c r="AB53" s="5"/>
      <c r="AC53" s="5"/>
      <c r="AD53" s="5"/>
    </row>
    <row r="54" spans="24:30" ht="15.6">
      <c r="X54" s="148"/>
      <c r="Y54" s="148"/>
      <c r="Z54" s="148"/>
      <c r="AA54" s="148"/>
      <c r="AB54" s="148"/>
      <c r="AC54" s="148"/>
      <c r="AD54" s="148"/>
    </row>
    <row r="55" spans="24:30" ht="15.6">
      <c r="X55" s="148"/>
      <c r="Y55" s="148"/>
      <c r="Z55" s="148"/>
      <c r="AA55" s="148"/>
      <c r="AB55" s="148"/>
      <c r="AC55" s="148"/>
      <c r="AD55" s="148"/>
    </row>
    <row r="56" spans="24:30" ht="13.2"/>
    <row r="57" spans="24:30" ht="13.2"/>
    <row r="58" spans="24:30" ht="15.6">
      <c r="X58" s="5"/>
      <c r="Y58" s="9"/>
      <c r="Z58" s="5"/>
      <c r="AA58" s="9"/>
      <c r="AB58" s="5"/>
      <c r="AC58" s="5"/>
      <c r="AD58" s="5"/>
    </row>
    <row r="59" spans="24:30" ht="15.6">
      <c r="X59" s="5"/>
      <c r="Y59" s="5"/>
      <c r="Z59" s="9"/>
      <c r="AA59" s="5"/>
      <c r="AB59" s="5"/>
      <c r="AC59" s="5"/>
      <c r="AD59" s="5"/>
    </row>
    <row r="60" spans="24:30" ht="15.6">
      <c r="X60" s="5"/>
      <c r="Y60" s="5"/>
      <c r="Z60" s="5"/>
      <c r="AA60" s="5"/>
      <c r="AB60" s="5"/>
      <c r="AC60" s="5"/>
      <c r="AD60" s="5"/>
    </row>
    <row r="61" spans="24:30" ht="15.6">
      <c r="X61" s="9"/>
      <c r="Y61" s="9"/>
      <c r="Z61" s="5"/>
      <c r="AA61" s="5"/>
      <c r="AB61" s="5"/>
      <c r="AC61" s="5"/>
      <c r="AD61" s="5"/>
    </row>
    <row r="62" spans="24:30" ht="15.6">
      <c r="X62" s="9"/>
      <c r="Y62" s="9"/>
      <c r="Z62" s="129"/>
      <c r="AA62" s="5"/>
      <c r="AB62" s="5"/>
      <c r="AC62" s="5"/>
      <c r="AD62" s="5"/>
    </row>
    <row r="63" spans="24:30" ht="15.6">
      <c r="X63" s="5"/>
      <c r="Y63" s="9"/>
      <c r="Z63" s="5"/>
      <c r="AA63" s="5"/>
      <c r="AB63" s="5"/>
      <c r="AC63" s="5"/>
      <c r="AD63" s="5"/>
    </row>
    <row r="64" spans="24:30" ht="15.6">
      <c r="X64" s="5"/>
      <c r="Y64" s="9"/>
      <c r="Z64" s="5"/>
      <c r="AA64" s="5"/>
      <c r="AB64" s="5"/>
      <c r="AC64" s="5"/>
      <c r="AD64" s="5"/>
    </row>
    <row r="65" spans="24:30" ht="15.6">
      <c r="X65" s="9"/>
      <c r="Y65" s="9"/>
      <c r="Z65" s="5"/>
      <c r="AA65" s="5"/>
      <c r="AB65" s="5"/>
      <c r="AC65" s="5"/>
      <c r="AD65" s="5"/>
    </row>
    <row r="66" spans="24:30" ht="15.6">
      <c r="X66" s="9"/>
      <c r="Y66" s="9"/>
      <c r="Z66" s="9"/>
      <c r="AA66" s="5"/>
      <c r="AB66" s="5"/>
      <c r="AC66" s="5"/>
      <c r="AD66" s="5"/>
    </row>
    <row r="67" spans="24:30" ht="15.6">
      <c r="X67" s="5"/>
      <c r="Y67" s="9"/>
      <c r="Z67" s="5"/>
      <c r="AA67" s="5"/>
      <c r="AB67" s="5"/>
      <c r="AC67" s="5"/>
      <c r="AD67" s="5"/>
    </row>
    <row r="68" spans="24:30" ht="15.6">
      <c r="X68" s="5"/>
      <c r="Y68" s="9"/>
      <c r="Z68" s="5"/>
      <c r="AA68" s="5"/>
      <c r="AB68" s="5"/>
      <c r="AC68" s="5"/>
      <c r="AD68" s="5"/>
    </row>
    <row r="69" spans="24:30" ht="15.6">
      <c r="X69" s="9"/>
      <c r="Y69" s="9"/>
      <c r="Z69" s="5"/>
      <c r="AA69" s="5"/>
      <c r="AB69" s="5"/>
      <c r="AC69" s="5"/>
      <c r="AD69" s="5"/>
    </row>
    <row r="70" spans="24:30" ht="15.6">
      <c r="X70" s="9"/>
      <c r="Y70" s="9"/>
      <c r="Z70" s="96"/>
      <c r="AA70" s="5"/>
      <c r="AB70" s="5"/>
      <c r="AC70" s="5"/>
      <c r="AD70" s="5"/>
    </row>
    <row r="71" spans="24:30" ht="15.6">
      <c r="X71" s="5"/>
      <c r="Y71" s="5"/>
      <c r="Z71" s="5"/>
      <c r="AA71" s="5"/>
      <c r="AB71" s="5"/>
      <c r="AC71" s="5"/>
      <c r="AD71" s="5"/>
    </row>
    <row r="72" spans="24:30" ht="15.6">
      <c r="X72" s="9"/>
      <c r="Y72" s="9"/>
      <c r="Z72" s="9"/>
      <c r="AA72" s="5"/>
      <c r="AB72" s="9"/>
      <c r="AC72" s="5"/>
      <c r="AD72" s="9"/>
    </row>
    <row r="73" spans="24:30" ht="15.6">
      <c r="X73" s="9"/>
      <c r="Y73" s="9"/>
      <c r="Z73" s="9"/>
      <c r="AA73" s="5"/>
      <c r="AB73" s="5"/>
      <c r="AC73" s="5"/>
      <c r="AD73" s="5"/>
    </row>
  </sheetData>
  <mergeCells count="26">
    <mergeCell ref="G31:H31"/>
    <mergeCell ref="P31:Q31"/>
    <mergeCell ref="Y37:Z37"/>
    <mergeCell ref="AA37:AB37"/>
    <mergeCell ref="G11:H11"/>
    <mergeCell ref="P11:Q11"/>
    <mergeCell ref="G12:H12"/>
    <mergeCell ref="P12:Q12"/>
    <mergeCell ref="G30:H30"/>
    <mergeCell ref="G13:I13"/>
    <mergeCell ref="P13:R13"/>
    <mergeCell ref="G20:I20"/>
    <mergeCell ref="P20:R20"/>
    <mergeCell ref="P30:Q30"/>
    <mergeCell ref="G27:H27"/>
    <mergeCell ref="P27:Q27"/>
    <mergeCell ref="G28:H28"/>
    <mergeCell ref="P28:Q28"/>
    <mergeCell ref="G29:H29"/>
    <mergeCell ref="P29:Q29"/>
    <mergeCell ref="X23:X24"/>
    <mergeCell ref="Y23:Z23"/>
    <mergeCell ref="AA23:AB23"/>
    <mergeCell ref="Z50:AD50"/>
    <mergeCell ref="X3:Z3"/>
    <mergeCell ref="Z43:AD43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G2:AF61"/>
  <sheetViews>
    <sheetView topLeftCell="U15" zoomScaleNormal="100" workbookViewId="0">
      <selection activeCell="U37" sqref="U37"/>
    </sheetView>
  </sheetViews>
  <sheetFormatPr defaultColWidth="12.6640625" defaultRowHeight="15.75" customHeight="1"/>
  <cols>
    <col min="9" max="9" width="16.21875" customWidth="1"/>
    <col min="19" max="19" width="16" customWidth="1"/>
    <col min="20" max="20" width="13.88671875" bestFit="1" customWidth="1"/>
    <col min="23" max="23" width="15.88671875" customWidth="1"/>
    <col min="24" max="24" width="26.109375" customWidth="1"/>
    <col min="25" max="25" width="12.77734375" customWidth="1"/>
    <col min="26" max="26" width="40.6640625" customWidth="1"/>
    <col min="27" max="27" width="16.109375" customWidth="1"/>
    <col min="28" max="28" width="19.21875" customWidth="1"/>
    <col min="29" max="29" width="17.21875" customWidth="1"/>
    <col min="30" max="30" width="21.88671875" customWidth="1"/>
    <col min="31" max="31" width="16" customWidth="1"/>
    <col min="32" max="32" width="16.6640625" customWidth="1"/>
  </cols>
  <sheetData>
    <row r="2" spans="8:32" ht="15.75" customHeight="1">
      <c r="AC2" s="5"/>
    </row>
    <row r="3" spans="8:32" ht="15.75" customHeight="1">
      <c r="H3" s="407" t="s">
        <v>79</v>
      </c>
      <c r="I3" s="389"/>
      <c r="J3" s="33">
        <f>J4*X4</f>
        <v>7322.0170744743427</v>
      </c>
      <c r="R3" s="407" t="s">
        <v>79</v>
      </c>
      <c r="S3" s="389"/>
      <c r="T3" s="33">
        <f>T4*X4</f>
        <v>7322.0170744743427</v>
      </c>
      <c r="W3" s="15" t="s">
        <v>6</v>
      </c>
      <c r="X3" s="15" t="s">
        <v>7</v>
      </c>
      <c r="Z3" s="449" t="s">
        <v>307</v>
      </c>
      <c r="AA3" s="391"/>
      <c r="AB3" s="389"/>
      <c r="AC3" s="5"/>
    </row>
    <row r="4" spans="8:32" ht="15.75" customHeight="1">
      <c r="H4" s="407" t="s">
        <v>80</v>
      </c>
      <c r="I4" s="389"/>
      <c r="J4" s="33">
        <f>SUM(J6:J11)</f>
        <v>429.92290966322253</v>
      </c>
      <c r="R4" s="407" t="s">
        <v>80</v>
      </c>
      <c r="S4" s="389"/>
      <c r="T4" s="39">
        <f>SUM(T6:T11)</f>
        <v>429.92290966322253</v>
      </c>
      <c r="W4" s="19" t="s">
        <v>30</v>
      </c>
      <c r="X4" s="20">
        <f>17.031</f>
        <v>17.030999999999999</v>
      </c>
      <c r="Z4" s="82" t="s">
        <v>201</v>
      </c>
      <c r="AA4" s="85">
        <v>1</v>
      </c>
      <c r="AB4" s="81" t="s">
        <v>525</v>
      </c>
      <c r="AC4" s="5"/>
    </row>
    <row r="5" spans="8:32" ht="15.75" customHeight="1">
      <c r="H5" s="401" t="s">
        <v>66</v>
      </c>
      <c r="I5" s="391"/>
      <c r="J5" s="389"/>
      <c r="R5" s="401" t="s">
        <v>66</v>
      </c>
      <c r="S5" s="391"/>
      <c r="T5" s="389"/>
      <c r="W5" s="19" t="s">
        <v>48</v>
      </c>
      <c r="X5" s="20">
        <v>44.052999999999997</v>
      </c>
      <c r="Z5" s="123" t="s">
        <v>309</v>
      </c>
      <c r="AA5" s="124">
        <v>-1</v>
      </c>
      <c r="AB5" s="81" t="s">
        <v>397</v>
      </c>
      <c r="AC5" s="5"/>
    </row>
    <row r="6" spans="8:32" ht="15.75" customHeight="1">
      <c r="H6" s="34" t="s">
        <v>67</v>
      </c>
      <c r="I6" s="40" t="s">
        <v>526</v>
      </c>
      <c r="J6" s="36">
        <f>AB11</f>
        <v>429.92290966322253</v>
      </c>
      <c r="R6" s="34" t="s">
        <v>67</v>
      </c>
      <c r="S6" s="40" t="s">
        <v>88</v>
      </c>
      <c r="T6" s="36">
        <f>Reactor!D14</f>
        <v>429.92290966322253</v>
      </c>
      <c r="W6" s="19" t="s">
        <v>59</v>
      </c>
      <c r="X6" s="20">
        <v>61.082999999999998</v>
      </c>
      <c r="Z6" s="82" t="s">
        <v>209</v>
      </c>
      <c r="AA6" s="85">
        <v>0</v>
      </c>
      <c r="AB6" s="81" t="s">
        <v>311</v>
      </c>
      <c r="AC6" s="5"/>
    </row>
    <row r="7" spans="8:32" ht="15.75" customHeight="1">
      <c r="H7" s="34" t="s">
        <v>68</v>
      </c>
      <c r="I7" s="42"/>
      <c r="J7" s="35"/>
      <c r="R7" s="34" t="s">
        <v>68</v>
      </c>
      <c r="S7" s="42"/>
      <c r="T7" s="35"/>
      <c r="W7" s="19" t="s">
        <v>61</v>
      </c>
      <c r="X7" s="20">
        <v>105.136</v>
      </c>
      <c r="Z7" s="125"/>
      <c r="AA7" s="126">
        <f>SUM(AA4:AA6)</f>
        <v>0</v>
      </c>
      <c r="AB7" s="125" t="s">
        <v>214</v>
      </c>
      <c r="AC7" s="5"/>
    </row>
    <row r="8" spans="8:32" ht="15.75" customHeight="1">
      <c r="H8" s="34" t="s">
        <v>69</v>
      </c>
      <c r="I8" s="35"/>
      <c r="J8" s="35"/>
      <c r="R8" s="34" t="s">
        <v>69</v>
      </c>
      <c r="S8" s="35"/>
      <c r="T8" s="35"/>
      <c r="W8" s="19" t="s">
        <v>63</v>
      </c>
      <c r="X8" s="20">
        <v>149.18799999999999</v>
      </c>
      <c r="Z8" s="5"/>
      <c r="AA8" s="5"/>
      <c r="AB8" s="5"/>
      <c r="AC8" s="5"/>
    </row>
    <row r="9" spans="8:32" ht="15.75" customHeight="1">
      <c r="H9" s="34" t="s">
        <v>70</v>
      </c>
      <c r="I9" s="35"/>
      <c r="J9" s="35"/>
      <c r="R9" s="34" t="s">
        <v>70</v>
      </c>
      <c r="S9" s="35"/>
      <c r="T9" s="35"/>
      <c r="W9" s="19" t="s">
        <v>65</v>
      </c>
      <c r="X9" s="24">
        <v>62.07</v>
      </c>
      <c r="Z9" s="11" t="s">
        <v>243</v>
      </c>
      <c r="AA9" s="5"/>
      <c r="AB9" s="5"/>
      <c r="AC9" s="5"/>
    </row>
    <row r="10" spans="8:32" ht="15.75" customHeight="1">
      <c r="H10" s="34" t="s">
        <v>71</v>
      </c>
      <c r="I10" s="35"/>
      <c r="J10" s="35"/>
      <c r="R10" s="34" t="s">
        <v>71</v>
      </c>
      <c r="S10" s="35"/>
      <c r="T10" s="35"/>
      <c r="Z10" s="95" t="s">
        <v>526</v>
      </c>
      <c r="AA10" s="117" t="s">
        <v>135</v>
      </c>
      <c r="AB10" s="95" t="s">
        <v>88</v>
      </c>
    </row>
    <row r="11" spans="8:32" ht="15.75" customHeight="1">
      <c r="H11" s="34" t="s">
        <v>72</v>
      </c>
      <c r="I11" s="35"/>
      <c r="J11" s="35"/>
      <c r="R11" s="34" t="s">
        <v>72</v>
      </c>
      <c r="S11" s="35"/>
      <c r="T11" s="35"/>
      <c r="Z11" s="95" t="s">
        <v>526</v>
      </c>
      <c r="AA11" s="117" t="s">
        <v>135</v>
      </c>
      <c r="AB11" s="102">
        <f>T6</f>
        <v>429.92290966322253</v>
      </c>
      <c r="AC11" s="5" t="s">
        <v>317</v>
      </c>
    </row>
    <row r="12" spans="8:32" ht="15.75" customHeight="1">
      <c r="H12" s="404" t="s">
        <v>85</v>
      </c>
      <c r="I12" s="405"/>
      <c r="J12" s="398"/>
      <c r="R12" s="404" t="s">
        <v>85</v>
      </c>
      <c r="S12" s="405"/>
      <c r="T12" s="398"/>
    </row>
    <row r="13" spans="8:32" ht="15.75" customHeight="1">
      <c r="H13" s="34" t="s">
        <v>67</v>
      </c>
      <c r="I13" s="35"/>
      <c r="J13" s="146">
        <f>J6/$J$4</f>
        <v>1</v>
      </c>
      <c r="R13" s="34" t="s">
        <v>67</v>
      </c>
      <c r="S13" s="35"/>
      <c r="T13" s="146">
        <f>T6/$T$4</f>
        <v>1</v>
      </c>
    </row>
    <row r="14" spans="8:32" ht="15.75" customHeight="1">
      <c r="H14" s="34" t="s">
        <v>68</v>
      </c>
      <c r="I14" s="35"/>
      <c r="J14" s="35"/>
      <c r="R14" s="34" t="s">
        <v>68</v>
      </c>
      <c r="S14" s="35"/>
      <c r="T14" s="35"/>
      <c r="Z14" s="11" t="s">
        <v>256</v>
      </c>
      <c r="AA14" s="5"/>
      <c r="AB14" s="5"/>
      <c r="AC14" s="5"/>
      <c r="AD14" s="5"/>
      <c r="AE14" s="5"/>
      <c r="AF14" s="5"/>
    </row>
    <row r="15" spans="8:32" ht="15.75" customHeight="1">
      <c r="H15" s="34" t="s">
        <v>69</v>
      </c>
      <c r="I15" s="35"/>
      <c r="J15" s="35"/>
      <c r="R15" s="34" t="s">
        <v>69</v>
      </c>
      <c r="S15" s="35"/>
      <c r="T15" s="35"/>
      <c r="Z15" s="107" t="s">
        <v>257</v>
      </c>
      <c r="AA15" s="5"/>
      <c r="AB15" s="5"/>
      <c r="AC15" s="5"/>
      <c r="AD15" s="5"/>
      <c r="AE15" s="5"/>
      <c r="AF15" s="5"/>
    </row>
    <row r="16" spans="8:32" ht="15.75" customHeight="1">
      <c r="H16" s="34" t="s">
        <v>70</v>
      </c>
      <c r="I16" s="35"/>
      <c r="J16" s="35"/>
      <c r="R16" s="34" t="s">
        <v>70</v>
      </c>
      <c r="S16" s="35"/>
      <c r="T16" s="35"/>
      <c r="Z16" s="5"/>
      <c r="AA16" s="5"/>
      <c r="AB16" s="5"/>
      <c r="AC16" s="5"/>
      <c r="AD16" s="5"/>
      <c r="AE16" s="5"/>
      <c r="AF16" s="5"/>
    </row>
    <row r="17" spans="7:32" ht="15.75" customHeight="1">
      <c r="H17" s="34" t="s">
        <v>71</v>
      </c>
      <c r="I17" s="35"/>
      <c r="J17" s="35"/>
      <c r="R17" s="34" t="s">
        <v>71</v>
      </c>
      <c r="S17" s="35"/>
      <c r="T17" s="35"/>
      <c r="Z17" s="108" t="s">
        <v>258</v>
      </c>
      <c r="AA17" s="5"/>
      <c r="AB17" s="5"/>
      <c r="AC17" s="5"/>
      <c r="AD17" s="5"/>
      <c r="AE17" s="5"/>
      <c r="AF17" s="5"/>
    </row>
    <row r="18" spans="7:32" ht="15.75" customHeight="1">
      <c r="H18" s="34" t="s">
        <v>72</v>
      </c>
      <c r="I18" s="35"/>
      <c r="J18" s="35"/>
      <c r="R18" s="34" t="s">
        <v>72</v>
      </c>
      <c r="S18" s="35"/>
      <c r="T18" s="35"/>
      <c r="Z18" s="109">
        <v>1</v>
      </c>
      <c r="AA18" s="5" t="s">
        <v>259</v>
      </c>
      <c r="AB18" s="5"/>
      <c r="AC18" s="5"/>
      <c r="AD18" s="5"/>
      <c r="AE18" s="5"/>
      <c r="AF18" s="5"/>
    </row>
    <row r="19" spans="7:32" ht="15.75" customHeight="1">
      <c r="H19" s="406" t="s">
        <v>99</v>
      </c>
      <c r="I19" s="389"/>
      <c r="J19" s="50">
        <v>1</v>
      </c>
      <c r="R19" s="406" t="s">
        <v>99</v>
      </c>
      <c r="S19" s="389"/>
      <c r="T19" s="50">
        <v>1</v>
      </c>
      <c r="Z19" s="109">
        <v>2</v>
      </c>
      <c r="AA19" s="5" t="s">
        <v>260</v>
      </c>
      <c r="AB19" s="5"/>
      <c r="AC19" s="5"/>
      <c r="AD19" s="5"/>
      <c r="AE19" s="5"/>
      <c r="AF19" s="5"/>
    </row>
    <row r="20" spans="7:32" ht="15.75" customHeight="1">
      <c r="H20" s="397" t="s">
        <v>92</v>
      </c>
      <c r="I20" s="398"/>
      <c r="J20" s="48">
        <f>SUM(J13:J18)</f>
        <v>1</v>
      </c>
      <c r="R20" s="397" t="s">
        <v>92</v>
      </c>
      <c r="S20" s="398"/>
      <c r="T20" s="48">
        <f>SUM(T13:T18)</f>
        <v>1</v>
      </c>
      <c r="Z20" s="109">
        <v>3</v>
      </c>
      <c r="AA20" s="5" t="s">
        <v>261</v>
      </c>
      <c r="AB20" s="5"/>
      <c r="AC20" s="5"/>
      <c r="AD20" s="5"/>
      <c r="AE20" s="5"/>
      <c r="AF20" s="5"/>
    </row>
    <row r="21" spans="7:32" ht="15.75" customHeight="1">
      <c r="H21" s="397" t="s">
        <v>75</v>
      </c>
      <c r="I21" s="398"/>
      <c r="J21" s="40">
        <v>25</v>
      </c>
      <c r="R21" s="397" t="s">
        <v>75</v>
      </c>
      <c r="S21" s="398"/>
      <c r="T21" s="40">
        <v>350</v>
      </c>
      <c r="Z21" s="5"/>
      <c r="AA21" s="5"/>
      <c r="AB21" s="5"/>
      <c r="AC21" s="5"/>
      <c r="AD21" s="5"/>
      <c r="AE21" s="5"/>
      <c r="AF21" s="5"/>
    </row>
    <row r="22" spans="7:32" ht="15.75" customHeight="1">
      <c r="H22" s="396" t="s">
        <v>76</v>
      </c>
      <c r="I22" s="389"/>
      <c r="J22" s="45">
        <v>1</v>
      </c>
      <c r="R22" s="396" t="s">
        <v>76</v>
      </c>
      <c r="S22" s="389"/>
      <c r="T22" s="45">
        <v>1</v>
      </c>
      <c r="Z22" s="5" t="s">
        <v>262</v>
      </c>
      <c r="AA22" s="5" t="s">
        <v>604</v>
      </c>
      <c r="AB22" s="64">
        <v>25</v>
      </c>
      <c r="AC22" s="5" t="s">
        <v>527</v>
      </c>
      <c r="AD22" s="5"/>
      <c r="AE22" s="5"/>
      <c r="AF22" s="5"/>
    </row>
    <row r="23" spans="7:32" ht="15.75" customHeight="1">
      <c r="G23" s="7" t="s">
        <v>81</v>
      </c>
      <c r="H23" s="400" t="s">
        <v>548</v>
      </c>
      <c r="I23" s="400"/>
      <c r="J23" s="216">
        <f>AA35</f>
        <v>0</v>
      </c>
      <c r="R23" s="400" t="s">
        <v>548</v>
      </c>
      <c r="S23" s="400"/>
      <c r="T23" s="216">
        <f>AC35</f>
        <v>5670422.0474850787</v>
      </c>
      <c r="Z23" s="458" t="s">
        <v>152</v>
      </c>
      <c r="AA23" s="456" t="s">
        <v>528</v>
      </c>
      <c r="AB23" s="502"/>
      <c r="AC23" s="456" t="s">
        <v>264</v>
      </c>
      <c r="AD23" s="502"/>
      <c r="AE23" s="5"/>
    </row>
    <row r="24" spans="7:32" ht="15.75" customHeight="1">
      <c r="U24" s="32" t="s">
        <v>82</v>
      </c>
      <c r="Z24" s="501"/>
      <c r="AA24" s="221" t="s">
        <v>267</v>
      </c>
      <c r="AB24" s="221" t="s">
        <v>529</v>
      </c>
      <c r="AC24" s="221" t="s">
        <v>530</v>
      </c>
      <c r="AD24" s="221" t="s">
        <v>529</v>
      </c>
      <c r="AE24" s="9"/>
      <c r="AF24" s="9"/>
    </row>
    <row r="25" spans="7:32" ht="15.75" customHeight="1">
      <c r="Z25" s="20" t="s">
        <v>489</v>
      </c>
      <c r="AA25" s="20" t="s">
        <v>193</v>
      </c>
      <c r="AB25" s="20" t="s">
        <v>193</v>
      </c>
      <c r="AC25" s="20" t="s">
        <v>193</v>
      </c>
      <c r="AD25" s="20" t="s">
        <v>193</v>
      </c>
      <c r="AE25" s="9"/>
      <c r="AF25" s="9"/>
    </row>
    <row r="26" spans="7:32" ht="15.75" customHeight="1">
      <c r="Z26" s="20" t="s">
        <v>416</v>
      </c>
      <c r="AA26" s="20" t="s">
        <v>193</v>
      </c>
      <c r="AB26" s="20" t="s">
        <v>193</v>
      </c>
      <c r="AC26" s="20" t="s">
        <v>193</v>
      </c>
      <c r="AD26" s="20" t="s">
        <v>193</v>
      </c>
      <c r="AE26" s="9"/>
      <c r="AF26" s="9"/>
    </row>
    <row r="27" spans="7:32" ht="15.6">
      <c r="Z27" s="20" t="s">
        <v>417</v>
      </c>
      <c r="AA27" s="20" t="s">
        <v>193</v>
      </c>
      <c r="AB27" s="20" t="s">
        <v>193</v>
      </c>
      <c r="AC27" s="20" t="s">
        <v>193</v>
      </c>
      <c r="AD27" s="20" t="s">
        <v>193</v>
      </c>
      <c r="AE27" s="9"/>
      <c r="AF27" s="9"/>
    </row>
    <row r="28" spans="7:32" ht="15.6">
      <c r="Z28" s="20" t="s">
        <v>418</v>
      </c>
      <c r="AA28" s="20" t="s">
        <v>193</v>
      </c>
      <c r="AB28" s="20" t="s">
        <v>193</v>
      </c>
      <c r="AC28" s="20" t="s">
        <v>193</v>
      </c>
      <c r="AD28" s="20" t="s">
        <v>193</v>
      </c>
      <c r="AE28" s="9"/>
      <c r="AF28" s="9"/>
    </row>
    <row r="29" spans="7:32" ht="15.6">
      <c r="Z29" s="20" t="s">
        <v>337</v>
      </c>
      <c r="AA29" s="33">
        <f>J6</f>
        <v>429.92290966322253</v>
      </c>
      <c r="AB29" s="110">
        <f>AB46</f>
        <v>0</v>
      </c>
      <c r="AC29" s="33">
        <f>T6</f>
        <v>429.92290966322253</v>
      </c>
      <c r="AD29" s="110">
        <f>AB56</f>
        <v>13189.392609775015</v>
      </c>
      <c r="AE29" s="9"/>
      <c r="AF29" s="9"/>
    </row>
    <row r="30" spans="7:32" ht="15.6">
      <c r="Z30" s="20" t="s">
        <v>272</v>
      </c>
      <c r="AA30" s="20" t="s">
        <v>193</v>
      </c>
      <c r="AB30" s="20" t="s">
        <v>193</v>
      </c>
      <c r="AC30" s="20" t="s">
        <v>193</v>
      </c>
      <c r="AD30" s="20" t="s">
        <v>193</v>
      </c>
      <c r="AE30" s="9"/>
      <c r="AF30" s="9"/>
    </row>
    <row r="31" spans="7:32" ht="15.6">
      <c r="Z31" s="20" t="s">
        <v>273</v>
      </c>
      <c r="AA31" s="20" t="s">
        <v>193</v>
      </c>
      <c r="AB31" s="20" t="s">
        <v>193</v>
      </c>
      <c r="AC31" s="20" t="s">
        <v>193</v>
      </c>
      <c r="AD31" s="20" t="s">
        <v>193</v>
      </c>
      <c r="AE31" s="9"/>
      <c r="AF31" s="9"/>
    </row>
    <row r="32" spans="7:32" ht="15.6">
      <c r="Z32" s="20" t="s">
        <v>333</v>
      </c>
      <c r="AA32" s="20" t="s">
        <v>193</v>
      </c>
      <c r="AB32" s="20" t="s">
        <v>193</v>
      </c>
      <c r="AC32" s="20" t="s">
        <v>193</v>
      </c>
      <c r="AD32" s="20" t="s">
        <v>193</v>
      </c>
      <c r="AE32" s="9"/>
      <c r="AF32" s="9"/>
    </row>
    <row r="33" spans="26:32" ht="15.6">
      <c r="Z33" s="20" t="s">
        <v>275</v>
      </c>
      <c r="AA33" s="20" t="s">
        <v>193</v>
      </c>
      <c r="AB33" s="20" t="s">
        <v>193</v>
      </c>
      <c r="AC33" s="20" t="s">
        <v>193</v>
      </c>
      <c r="AD33" s="20" t="s">
        <v>193</v>
      </c>
      <c r="AE33" s="9"/>
      <c r="AF33" s="9"/>
    </row>
    <row r="34" spans="26:32" ht="15.6">
      <c r="Z34" s="20" t="s">
        <v>276</v>
      </c>
      <c r="AA34" s="20" t="s">
        <v>193</v>
      </c>
      <c r="AB34" s="20" t="s">
        <v>193</v>
      </c>
      <c r="AC34" s="20" t="s">
        <v>193</v>
      </c>
      <c r="AD34" s="20" t="s">
        <v>193</v>
      </c>
      <c r="AE34" s="9"/>
      <c r="AF34" s="9"/>
    </row>
    <row r="35" spans="26:32" ht="15.6">
      <c r="Z35" s="222" t="s">
        <v>469</v>
      </c>
      <c r="AA35" s="441">
        <f>AA29*AB29</f>
        <v>0</v>
      </c>
      <c r="AB35" s="500"/>
      <c r="AC35" s="469">
        <f>AC29*AD29</f>
        <v>5670422.0474850787</v>
      </c>
      <c r="AD35" s="500"/>
      <c r="AE35" s="377"/>
      <c r="AF35" s="376"/>
    </row>
    <row r="36" spans="26:32" ht="13.2">
      <c r="AA36" s="113"/>
      <c r="AB36" s="113"/>
      <c r="AC36" s="113"/>
      <c r="AD36" s="113"/>
    </row>
    <row r="38" spans="26:32" ht="15.6">
      <c r="Z38" s="5"/>
      <c r="AA38" s="148"/>
      <c r="AB38" s="148"/>
      <c r="AC38" s="148"/>
      <c r="AD38" s="148"/>
    </row>
    <row r="39" spans="26:32" ht="15.6">
      <c r="Z39" s="1"/>
      <c r="AA39" s="2"/>
      <c r="AB39" s="2"/>
      <c r="AC39" s="2"/>
      <c r="AD39" s="177"/>
      <c r="AE39" s="177"/>
      <c r="AF39" s="3"/>
    </row>
    <row r="40" spans="26:32" ht="15.6">
      <c r="Z40" s="4"/>
      <c r="AA40" s="9" t="s">
        <v>277</v>
      </c>
      <c r="AB40" s="148"/>
      <c r="AC40" s="148"/>
      <c r="AF40" s="6"/>
    </row>
    <row r="41" spans="26:32" ht="15.6">
      <c r="Z41" s="116" t="s">
        <v>561</v>
      </c>
      <c r="AA41" s="148"/>
      <c r="AB41" s="9" t="s">
        <v>570</v>
      </c>
      <c r="AC41" s="148"/>
      <c r="AF41" s="6"/>
    </row>
    <row r="42" spans="26:32" ht="15.6">
      <c r="Z42" s="4"/>
      <c r="AA42" s="148"/>
      <c r="AB42" s="148"/>
      <c r="AC42" s="148"/>
      <c r="AF42" s="6"/>
    </row>
    <row r="43" spans="26:32" ht="15.6">
      <c r="Z43" s="116"/>
      <c r="AA43" s="148"/>
      <c r="AB43" s="9"/>
      <c r="AC43" s="148"/>
      <c r="AF43" s="6"/>
    </row>
    <row r="44" spans="26:32" ht="15.6">
      <c r="Z44" s="4" t="s">
        <v>524</v>
      </c>
      <c r="AA44" s="9"/>
      <c r="AB44" s="5"/>
      <c r="AC44" s="5"/>
      <c r="AF44" s="6"/>
    </row>
    <row r="45" spans="26:32" ht="46.8" customHeight="1">
      <c r="Z45" s="183" t="s">
        <v>278</v>
      </c>
      <c r="AA45" s="94" t="s">
        <v>135</v>
      </c>
      <c r="AB45" s="503"/>
      <c r="AC45" s="503"/>
      <c r="AD45" s="503"/>
      <c r="AE45" s="503"/>
      <c r="AF45" s="504"/>
    </row>
    <row r="46" spans="26:32" ht="15.6">
      <c r="Z46" s="85" t="s">
        <v>278</v>
      </c>
      <c r="AA46" s="118" t="s">
        <v>135</v>
      </c>
      <c r="AB46" s="120">
        <f>(Database!$C$31*(($J$21+273.15)-($AB$22+273.15)))+(((Database!$D$31)*(($J$21+273.15)^2-($AB$22+273.15)^2))/2)+((Database!$E$31*(($J$21+273.15)^3-($AB$22+273.15)^3))/3)+((Database!$F$31*(($J$21+273.15)^4-($AB$22+273.15)^4))/4)+((Database!$G$31)*(($J$21+273.15)^(5)-($AB$22+273.15)^5))/5</f>
        <v>0</v>
      </c>
      <c r="AC46" s="11" t="s">
        <v>279</v>
      </c>
      <c r="AD46" s="178"/>
      <c r="AF46" s="12"/>
    </row>
    <row r="47" spans="26:32" ht="15.6">
      <c r="Z47" s="9"/>
      <c r="AA47" s="9"/>
      <c r="AB47" s="148"/>
      <c r="AC47" s="148"/>
      <c r="AE47" s="177"/>
      <c r="AF47" s="148"/>
    </row>
    <row r="48" spans="26:32" ht="15.6">
      <c r="Z48" s="32"/>
      <c r="AA48" s="148"/>
      <c r="AB48" s="148"/>
      <c r="AC48" s="148"/>
      <c r="AE48" s="148"/>
    </row>
    <row r="49" spans="26:32" ht="15.6">
      <c r="Z49" s="1"/>
      <c r="AA49" s="2"/>
      <c r="AB49" s="2"/>
      <c r="AC49" s="2"/>
      <c r="AD49" s="177"/>
      <c r="AE49" s="177"/>
      <c r="AF49" s="3"/>
    </row>
    <row r="50" spans="26:32" ht="15.6">
      <c r="Z50" s="4"/>
      <c r="AA50" s="9" t="s">
        <v>286</v>
      </c>
      <c r="AB50" s="148"/>
      <c r="AC50" s="148"/>
      <c r="AF50" s="6"/>
    </row>
    <row r="51" spans="26:32" ht="15.6">
      <c r="Z51" s="116" t="s">
        <v>561</v>
      </c>
      <c r="AA51" s="148"/>
      <c r="AB51" s="9" t="s">
        <v>562</v>
      </c>
      <c r="AC51" s="148"/>
      <c r="AF51" s="6"/>
    </row>
    <row r="52" spans="26:32" ht="15.6">
      <c r="Z52" s="4"/>
      <c r="AA52" s="148"/>
      <c r="AB52" s="148"/>
      <c r="AC52" s="148"/>
      <c r="AF52" s="6"/>
    </row>
    <row r="53" spans="26:32" ht="15.6">
      <c r="Z53" s="116"/>
      <c r="AA53" s="148"/>
      <c r="AB53" s="9"/>
      <c r="AC53" s="148"/>
      <c r="AF53" s="6"/>
    </row>
    <row r="54" spans="26:32" ht="15.6">
      <c r="Z54" s="4" t="s">
        <v>283</v>
      </c>
      <c r="AA54" s="9"/>
      <c r="AB54" s="5"/>
      <c r="AC54" s="5"/>
      <c r="AF54" s="6"/>
    </row>
    <row r="55" spans="26:32" ht="48.6" customHeight="1">
      <c r="Z55" s="88" t="s">
        <v>280</v>
      </c>
      <c r="AA55" s="94" t="s">
        <v>135</v>
      </c>
      <c r="AB55" s="377"/>
      <c r="AC55" s="377"/>
      <c r="AD55" s="377"/>
      <c r="AE55" s="377"/>
      <c r="AF55" s="446"/>
    </row>
    <row r="56" spans="26:32" ht="15.6">
      <c r="Z56" s="85" t="s">
        <v>280</v>
      </c>
      <c r="AA56" s="118" t="s">
        <v>135</v>
      </c>
      <c r="AB56" s="120">
        <f>(Database!$C$31*(($T$21+273.15)-($AB$22+273.15)))+(((Database!$D$31)*(($T$21+273.15)^2-($AB$22+273.15)^2))/2)+((Database!$E$31*(($T$21+273.15)^3-($AB$22+273.15)^3))/3)+((Database!$F$31*(($T$21+273.15)^4-($AB$22+273.15)^4))/4)+((Database!$G$31)*(($T$21+273.15)^(5)-($AB$22+273.15)^5))/5</f>
        <v>13189.392609775015</v>
      </c>
      <c r="AC56" s="11" t="s">
        <v>279</v>
      </c>
      <c r="AD56" s="178"/>
      <c r="AF56" s="12"/>
    </row>
    <row r="57" spans="26:32" ht="15.75" customHeight="1">
      <c r="Z57" s="148"/>
      <c r="AA57" s="148"/>
      <c r="AB57" s="148"/>
      <c r="AC57" s="148"/>
      <c r="AD57" s="148"/>
      <c r="AE57" s="177"/>
    </row>
    <row r="58" spans="26:32" ht="15.6">
      <c r="Z58" s="9"/>
      <c r="AA58" s="9"/>
      <c r="AB58" s="129"/>
      <c r="AC58" s="5"/>
      <c r="AD58" s="5"/>
    </row>
    <row r="59" spans="26:32" ht="15.75" customHeight="1">
      <c r="Z59" s="148"/>
      <c r="AA59" s="148"/>
      <c r="AB59" s="148"/>
      <c r="AC59" s="148"/>
      <c r="AD59" s="148"/>
    </row>
    <row r="61" spans="26:32" ht="15.6">
      <c r="Z61" s="9"/>
      <c r="AA61" s="9"/>
      <c r="AB61" s="129"/>
      <c r="AC61" s="5"/>
    </row>
  </sheetData>
  <mergeCells count="27">
    <mergeCell ref="AB45:AF45"/>
    <mergeCell ref="AB55:AF55"/>
    <mergeCell ref="H23:I23"/>
    <mergeCell ref="R23:S23"/>
    <mergeCell ref="AE35:AF35"/>
    <mergeCell ref="AA35:AB35"/>
    <mergeCell ref="H20:I20"/>
    <mergeCell ref="R20:S20"/>
    <mergeCell ref="R21:S21"/>
    <mergeCell ref="R22:S22"/>
    <mergeCell ref="AC35:AD35"/>
    <mergeCell ref="H21:I21"/>
    <mergeCell ref="H22:I22"/>
    <mergeCell ref="Z23:Z24"/>
    <mergeCell ref="AA23:AB23"/>
    <mergeCell ref="AC23:AD23"/>
    <mergeCell ref="H5:J5"/>
    <mergeCell ref="R5:T5"/>
    <mergeCell ref="H12:J12"/>
    <mergeCell ref="R12:T12"/>
    <mergeCell ref="H19:I19"/>
    <mergeCell ref="R19:S19"/>
    <mergeCell ref="H3:I3"/>
    <mergeCell ref="R3:S3"/>
    <mergeCell ref="Z3:AB3"/>
    <mergeCell ref="H4:I4"/>
    <mergeCell ref="R4:S4"/>
  </mergeCells>
  <phoneticPr fontId="23" type="noConversion"/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42EC-7C44-440A-81D4-F17BA0235AAB}">
  <sheetPr>
    <outlinePr summaryBelow="0" summaryRight="0"/>
  </sheetPr>
  <dimension ref="B3:AL104"/>
  <sheetViews>
    <sheetView topLeftCell="R76" zoomScale="50" zoomScaleNormal="50" workbookViewId="0">
      <selection activeCell="AA94" sqref="AA94"/>
    </sheetView>
  </sheetViews>
  <sheetFormatPr defaultColWidth="12.6640625" defaultRowHeight="15.75" customHeight="1"/>
  <cols>
    <col min="4" max="4" width="16.33203125" customWidth="1"/>
    <col min="5" max="5" width="13.5546875" bestFit="1" customWidth="1"/>
    <col min="6" max="6" width="14.33203125" customWidth="1"/>
    <col min="12" max="12" width="16.33203125" customWidth="1"/>
    <col min="13" max="13" width="14.77734375" customWidth="1"/>
    <col min="14" max="14" width="12.6640625" customWidth="1"/>
    <col min="18" max="18" width="17.109375" customWidth="1"/>
    <col min="19" max="19" width="14.6640625" bestFit="1" customWidth="1"/>
    <col min="23" max="23" width="14.6640625" customWidth="1"/>
    <col min="24" max="24" width="14.21875" customWidth="1"/>
    <col min="26" max="26" width="33.33203125" customWidth="1"/>
    <col min="27" max="27" width="36.21875" customWidth="1"/>
    <col min="29" max="29" width="36.109375" customWidth="1"/>
    <col min="30" max="30" width="21.6640625" customWidth="1"/>
    <col min="31" max="31" width="18.6640625" customWidth="1"/>
    <col min="32" max="32" width="22" customWidth="1"/>
    <col min="33" max="33" width="24.44140625" customWidth="1"/>
    <col min="35" max="35" width="15.33203125" customWidth="1"/>
    <col min="36" max="36" width="15.109375" customWidth="1"/>
    <col min="37" max="37" width="16.5546875" customWidth="1"/>
  </cols>
  <sheetData>
    <row r="3" spans="3:32" ht="15.75" customHeight="1">
      <c r="H3" s="266" t="s">
        <v>783</v>
      </c>
      <c r="K3" s="407" t="s">
        <v>79</v>
      </c>
      <c r="L3" s="389"/>
      <c r="M3" s="33">
        <f>AE104*3600</f>
        <v>71184.369355206916</v>
      </c>
    </row>
    <row r="4" spans="3:32" ht="15.75" customHeight="1">
      <c r="K4" s="407" t="s">
        <v>80</v>
      </c>
      <c r="L4" s="389"/>
      <c r="M4" s="33">
        <f>SUM(M6:M11)</f>
        <v>428.82150213980071</v>
      </c>
    </row>
    <row r="5" spans="3:32" ht="15.75" customHeight="1">
      <c r="K5" s="401" t="s">
        <v>66</v>
      </c>
      <c r="L5" s="391"/>
      <c r="M5" s="389"/>
    </row>
    <row r="6" spans="3:32" ht="15.75" customHeight="1">
      <c r="K6" s="34" t="s">
        <v>67</v>
      </c>
      <c r="L6" s="45" t="s">
        <v>395</v>
      </c>
      <c r="M6" s="36">
        <f>M3/AA19</f>
        <v>428.82150213980071</v>
      </c>
    </row>
    <row r="7" spans="3:32" ht="15.75" customHeight="1">
      <c r="K7" s="34" t="s">
        <v>68</v>
      </c>
      <c r="L7" s="37"/>
      <c r="M7" s="35"/>
    </row>
    <row r="8" spans="3:32" ht="15.75" customHeight="1">
      <c r="C8" s="407" t="s">
        <v>79</v>
      </c>
      <c r="D8" s="389"/>
      <c r="E8" s="33">
        <f>E11*AA13</f>
        <v>4393.2102446846047</v>
      </c>
      <c r="K8" s="34" t="s">
        <v>69</v>
      </c>
      <c r="L8" s="35"/>
      <c r="M8" s="35"/>
    </row>
    <row r="9" spans="3:32" ht="15.75" customHeight="1">
      <c r="C9" s="407" t="s">
        <v>80</v>
      </c>
      <c r="D9" s="389"/>
      <c r="E9" s="33">
        <f>SUM(E11:E16)</f>
        <v>257.95374579793349</v>
      </c>
      <c r="K9" s="34" t="s">
        <v>70</v>
      </c>
      <c r="L9" s="35"/>
      <c r="M9" s="35"/>
    </row>
    <row r="10" spans="3:32" ht="15.75" customHeight="1">
      <c r="C10" s="401" t="s">
        <v>66</v>
      </c>
      <c r="D10" s="391"/>
      <c r="E10" s="389"/>
      <c r="K10" s="34" t="s">
        <v>71</v>
      </c>
      <c r="L10" s="35"/>
      <c r="M10" s="35"/>
    </row>
    <row r="11" spans="3:32" ht="15.75" customHeight="1">
      <c r="C11" s="34" t="s">
        <v>67</v>
      </c>
      <c r="D11" s="45" t="s">
        <v>373</v>
      </c>
      <c r="E11" s="36">
        <f>'Phase Separator'!L5</f>
        <v>257.95374579793349</v>
      </c>
      <c r="K11" s="34" t="s">
        <v>72</v>
      </c>
      <c r="L11" s="35"/>
      <c r="M11" s="35"/>
    </row>
    <row r="12" spans="3:32" ht="15.75" customHeight="1">
      <c r="C12" s="34" t="s">
        <v>68</v>
      </c>
      <c r="D12" s="37"/>
      <c r="E12" s="35"/>
      <c r="K12" s="404" t="s">
        <v>85</v>
      </c>
      <c r="L12" s="405"/>
      <c r="M12" s="398"/>
      <c r="Z12" s="15" t="s">
        <v>6</v>
      </c>
      <c r="AA12" s="15" t="s">
        <v>7</v>
      </c>
      <c r="AC12" s="449" t="s">
        <v>307</v>
      </c>
      <c r="AD12" s="391"/>
      <c r="AE12" s="389"/>
      <c r="AF12" s="5"/>
    </row>
    <row r="13" spans="3:32" ht="15.75" customHeight="1">
      <c r="C13" s="34" t="s">
        <v>69</v>
      </c>
      <c r="D13" s="35"/>
      <c r="E13" s="35"/>
      <c r="K13" s="34" t="s">
        <v>67</v>
      </c>
      <c r="L13" s="35"/>
      <c r="M13" s="54">
        <f>M6/M4</f>
        <v>1</v>
      </c>
      <c r="Z13" s="19" t="s">
        <v>30</v>
      </c>
      <c r="AA13" s="20">
        <f>17.031</f>
        <v>17.030999999999999</v>
      </c>
      <c r="AC13" s="82" t="s">
        <v>201</v>
      </c>
      <c r="AD13" s="85">
        <v>1</v>
      </c>
      <c r="AE13" s="81" t="s">
        <v>396</v>
      </c>
      <c r="AF13" s="5"/>
    </row>
    <row r="14" spans="3:32" ht="15.75" customHeight="1">
      <c r="C14" s="34" t="s">
        <v>70</v>
      </c>
      <c r="D14" s="35"/>
      <c r="E14" s="35"/>
      <c r="K14" s="34" t="s">
        <v>68</v>
      </c>
      <c r="L14" s="35"/>
      <c r="M14" s="35"/>
      <c r="Z14" s="19" t="s">
        <v>48</v>
      </c>
      <c r="AA14" s="20">
        <v>44.052999999999997</v>
      </c>
      <c r="AC14" s="123" t="s">
        <v>309</v>
      </c>
      <c r="AD14" s="124">
        <v>-1</v>
      </c>
      <c r="AE14" s="81" t="s">
        <v>397</v>
      </c>
      <c r="AF14" s="5"/>
    </row>
    <row r="15" spans="3:32" ht="15.75" customHeight="1">
      <c r="C15" s="34" t="s">
        <v>71</v>
      </c>
      <c r="D15" s="35"/>
      <c r="E15" s="35"/>
      <c r="K15" s="34" t="s">
        <v>69</v>
      </c>
      <c r="L15" s="35"/>
      <c r="M15" s="35"/>
      <c r="Z15" s="19" t="s">
        <v>59</v>
      </c>
      <c r="AA15" s="20">
        <v>61.082999999999998</v>
      </c>
      <c r="AC15" s="82" t="s">
        <v>209</v>
      </c>
      <c r="AD15" s="85">
        <v>0</v>
      </c>
      <c r="AE15" s="81" t="s">
        <v>311</v>
      </c>
      <c r="AF15" s="5"/>
    </row>
    <row r="16" spans="3:32" ht="15.75" customHeight="1">
      <c r="C16" s="34" t="s">
        <v>72</v>
      </c>
      <c r="D16" s="35"/>
      <c r="E16" s="35"/>
      <c r="K16" s="34" t="s">
        <v>70</v>
      </c>
      <c r="L16" s="35"/>
      <c r="M16" s="35"/>
      <c r="Z16" s="19" t="s">
        <v>61</v>
      </c>
      <c r="AA16" s="20">
        <v>105.136</v>
      </c>
      <c r="AC16" s="125"/>
      <c r="AD16" s="126">
        <f>SUM(AD13:AD15)</f>
        <v>0</v>
      </c>
      <c r="AE16" s="125" t="s">
        <v>214</v>
      </c>
      <c r="AF16" s="5"/>
    </row>
    <row r="17" spans="2:37" ht="15.75" customHeight="1">
      <c r="C17" s="404" t="s">
        <v>85</v>
      </c>
      <c r="D17" s="405"/>
      <c r="E17" s="398"/>
      <c r="K17" s="34" t="s">
        <v>71</v>
      </c>
      <c r="L17" s="35"/>
      <c r="M17" s="35"/>
      <c r="Z17" s="19" t="s">
        <v>63</v>
      </c>
      <c r="AA17" s="20">
        <v>149.18799999999999</v>
      </c>
      <c r="AC17" s="5"/>
      <c r="AD17" s="5"/>
      <c r="AE17" s="5"/>
      <c r="AF17" s="5"/>
    </row>
    <row r="18" spans="2:37" ht="15.75" customHeight="1">
      <c r="C18" s="34" t="s">
        <v>67</v>
      </c>
      <c r="D18" s="35"/>
      <c r="E18" s="130">
        <f>E11/$E$9</f>
        <v>1</v>
      </c>
      <c r="K18" s="34" t="s">
        <v>72</v>
      </c>
      <c r="L18" s="35"/>
      <c r="M18" s="35"/>
      <c r="Z18" s="19" t="s">
        <v>65</v>
      </c>
      <c r="AA18" s="24">
        <v>62.07</v>
      </c>
      <c r="AC18" s="11" t="s">
        <v>243</v>
      </c>
      <c r="AD18" s="5"/>
      <c r="AE18" s="5"/>
      <c r="AF18" s="5"/>
    </row>
    <row r="19" spans="2:37" ht="15.75" customHeight="1">
      <c r="C19" s="34" t="s">
        <v>68</v>
      </c>
      <c r="D19" s="35"/>
      <c r="E19" s="35"/>
      <c r="K19" s="406" t="s">
        <v>99</v>
      </c>
      <c r="L19" s="389"/>
      <c r="M19" s="50">
        <v>0</v>
      </c>
      <c r="Z19" s="309" t="s">
        <v>804</v>
      </c>
      <c r="AA19" s="308">
        <v>166</v>
      </c>
      <c r="AC19" s="96">
        <f>E11</f>
        <v>257.95374579793349</v>
      </c>
      <c r="AD19" s="9"/>
      <c r="AE19" s="95" t="s">
        <v>395</v>
      </c>
      <c r="AF19" s="9"/>
    </row>
    <row r="20" spans="2:37" ht="15.75" customHeight="1">
      <c r="C20" s="34" t="s">
        <v>69</v>
      </c>
      <c r="D20" s="35"/>
      <c r="E20" s="35"/>
      <c r="K20" s="397" t="s">
        <v>92</v>
      </c>
      <c r="L20" s="398"/>
      <c r="M20" s="48">
        <f>SUM(M13:M18)</f>
        <v>1</v>
      </c>
      <c r="AC20" s="95" t="s">
        <v>395</v>
      </c>
      <c r="AD20" s="117" t="s">
        <v>135</v>
      </c>
      <c r="AE20" s="102">
        <f>AC19</f>
        <v>257.95374579793349</v>
      </c>
      <c r="AF20" s="9" t="s">
        <v>246</v>
      </c>
    </row>
    <row r="21" spans="2:37" ht="15.75" customHeight="1">
      <c r="C21" s="34" t="s">
        <v>70</v>
      </c>
      <c r="D21" s="35"/>
      <c r="E21" s="35"/>
      <c r="K21" s="397" t="s">
        <v>75</v>
      </c>
      <c r="L21" s="398"/>
      <c r="M21" s="40">
        <v>70</v>
      </c>
    </row>
    <row r="22" spans="2:37" ht="15.75" customHeight="1">
      <c r="C22" s="34" t="s">
        <v>71</v>
      </c>
      <c r="D22" s="35"/>
      <c r="E22" s="35"/>
      <c r="K22" s="396" t="s">
        <v>76</v>
      </c>
      <c r="L22" s="389"/>
      <c r="M22" s="45">
        <v>1</v>
      </c>
      <c r="AC22" s="11" t="s">
        <v>256</v>
      </c>
      <c r="AD22" s="5"/>
      <c r="AE22" s="5"/>
      <c r="AF22" s="5"/>
      <c r="AG22" s="5"/>
      <c r="AH22" s="5"/>
      <c r="AI22" s="5"/>
      <c r="AJ22" s="148"/>
    </row>
    <row r="23" spans="2:37" ht="15.75" customHeight="1">
      <c r="C23" s="34" t="s">
        <v>72</v>
      </c>
      <c r="D23" s="35"/>
      <c r="E23" s="35"/>
      <c r="K23" s="400" t="s">
        <v>548</v>
      </c>
      <c r="L23" s="400"/>
      <c r="M23" s="216">
        <f>AJ46</f>
        <v>4711132.1505241171</v>
      </c>
      <c r="AC23" s="107" t="s">
        <v>257</v>
      </c>
      <c r="AD23" s="5"/>
      <c r="AE23" s="5"/>
      <c r="AF23" s="5"/>
      <c r="AG23" s="5"/>
      <c r="AH23" s="5"/>
      <c r="AI23" s="5"/>
      <c r="AJ23" s="148"/>
    </row>
    <row r="24" spans="2:37" ht="15.75" customHeight="1">
      <c r="C24" s="406" t="s">
        <v>99</v>
      </c>
      <c r="D24" s="389"/>
      <c r="E24" s="50">
        <v>1</v>
      </c>
      <c r="AC24" s="5"/>
      <c r="AD24" s="5"/>
      <c r="AE24" s="5"/>
      <c r="AF24" s="5"/>
      <c r="AG24" s="5"/>
      <c r="AH24" s="5"/>
      <c r="AI24" s="5"/>
      <c r="AJ24" s="148"/>
    </row>
    <row r="25" spans="2:37" ht="15.75" customHeight="1">
      <c r="C25" s="397" t="s">
        <v>92</v>
      </c>
      <c r="D25" s="398"/>
      <c r="E25" s="48">
        <f>SUM(E18:E23)</f>
        <v>1</v>
      </c>
      <c r="AB25" s="5"/>
      <c r="AC25" s="108" t="s">
        <v>258</v>
      </c>
      <c r="AD25" s="5"/>
      <c r="AE25" s="5"/>
      <c r="AF25" s="5"/>
      <c r="AG25" s="5"/>
      <c r="AH25" s="5"/>
      <c r="AI25" s="5"/>
      <c r="AJ25" s="148"/>
    </row>
    <row r="26" spans="2:37" ht="15.75" customHeight="1">
      <c r="C26" s="397" t="s">
        <v>75</v>
      </c>
      <c r="D26" s="398"/>
      <c r="E26" s="40">
        <v>10</v>
      </c>
      <c r="AB26" s="5"/>
      <c r="AC26" s="109">
        <v>1</v>
      </c>
      <c r="AD26" s="5" t="s">
        <v>259</v>
      </c>
      <c r="AE26" s="5"/>
      <c r="AF26" s="5"/>
      <c r="AG26" s="5"/>
      <c r="AH26" s="5"/>
      <c r="AI26" s="5"/>
      <c r="AJ26" s="148"/>
    </row>
    <row r="27" spans="2:37" ht="15.75" customHeight="1">
      <c r="C27" s="396" t="s">
        <v>76</v>
      </c>
      <c r="D27" s="389"/>
      <c r="E27" s="45">
        <v>1</v>
      </c>
      <c r="AB27" s="5"/>
      <c r="AC27" s="109">
        <v>2</v>
      </c>
      <c r="AD27" s="5" t="s">
        <v>260</v>
      </c>
      <c r="AE27" s="5"/>
      <c r="AF27" s="5"/>
      <c r="AG27" s="5"/>
      <c r="AH27" s="5"/>
      <c r="AI27" s="5"/>
      <c r="AJ27" s="148"/>
    </row>
    <row r="28" spans="2:37" ht="15.75" customHeight="1">
      <c r="C28" s="400" t="s">
        <v>548</v>
      </c>
      <c r="D28" s="400"/>
      <c r="E28" s="216">
        <f>AD46</f>
        <v>-138511.69863363699</v>
      </c>
      <c r="AB28" s="5"/>
      <c r="AC28" s="109">
        <v>3</v>
      </c>
      <c r="AD28" s="5" t="s">
        <v>261</v>
      </c>
      <c r="AE28" s="5"/>
      <c r="AF28" s="5"/>
      <c r="AG28" s="5"/>
      <c r="AH28" s="5"/>
      <c r="AI28" s="5"/>
      <c r="AJ28" s="148"/>
    </row>
    <row r="29" spans="2:37" ht="15.75" customHeight="1">
      <c r="T29" s="32" t="s">
        <v>78</v>
      </c>
      <c r="AB29" s="5"/>
      <c r="AC29" s="5"/>
      <c r="AD29" s="5"/>
      <c r="AE29" s="5"/>
      <c r="AF29" s="5"/>
      <c r="AG29" s="5"/>
      <c r="AH29" s="5"/>
      <c r="AI29" s="5"/>
      <c r="AJ29" s="148"/>
    </row>
    <row r="30" spans="2:37" ht="15.75" customHeight="1">
      <c r="B30" s="32" t="s">
        <v>77</v>
      </c>
      <c r="AB30" s="5"/>
      <c r="AC30" s="5" t="s">
        <v>262</v>
      </c>
      <c r="AD30" s="463" t="s">
        <v>398</v>
      </c>
      <c r="AE30" s="445"/>
      <c r="AF30" s="64">
        <v>25</v>
      </c>
      <c r="AG30" s="5" t="s">
        <v>326</v>
      </c>
      <c r="AH30" s="5"/>
      <c r="AI30" s="5"/>
      <c r="AJ30" s="148"/>
    </row>
    <row r="31" spans="2:37" ht="15.75" customHeight="1">
      <c r="AB31" s="5"/>
      <c r="AC31" s="458" t="s">
        <v>152</v>
      </c>
      <c r="AD31" s="456" t="s">
        <v>379</v>
      </c>
      <c r="AE31" s="464"/>
      <c r="AF31" s="456" t="s">
        <v>399</v>
      </c>
      <c r="AG31" s="464"/>
      <c r="AH31" s="505" t="s">
        <v>784</v>
      </c>
      <c r="AI31" s="506"/>
      <c r="AJ31" s="505" t="s">
        <v>785</v>
      </c>
      <c r="AK31" s="506"/>
    </row>
    <row r="32" spans="2:37" ht="15.75" customHeight="1">
      <c r="AB32" s="5"/>
      <c r="AC32" s="459"/>
      <c r="AD32" s="221" t="s">
        <v>267</v>
      </c>
      <c r="AE32" s="221" t="s">
        <v>400</v>
      </c>
      <c r="AF32" s="221" t="s">
        <v>328</v>
      </c>
      <c r="AG32" s="221" t="s">
        <v>329</v>
      </c>
      <c r="AH32" s="268" t="s">
        <v>786</v>
      </c>
      <c r="AI32" s="268" t="s">
        <v>400</v>
      </c>
      <c r="AJ32" s="268" t="s">
        <v>787</v>
      </c>
      <c r="AK32" s="268" t="s">
        <v>788</v>
      </c>
    </row>
    <row r="33" spans="5:37" ht="15.6">
      <c r="Q33" s="407" t="s">
        <v>79</v>
      </c>
      <c r="R33" s="389"/>
      <c r="S33" s="33">
        <f>S36*AA13</f>
        <v>4393.2102446846047</v>
      </c>
      <c r="AB33" s="5"/>
      <c r="AC33" s="20" t="s">
        <v>271</v>
      </c>
      <c r="AD33" s="33">
        <f>E11</f>
        <v>257.95374579793349</v>
      </c>
      <c r="AE33" s="110">
        <f>AE54</f>
        <v>-536.96331567186962</v>
      </c>
      <c r="AF33" s="20" t="s">
        <v>193</v>
      </c>
      <c r="AG33" s="20" t="s">
        <v>193</v>
      </c>
      <c r="AH33" s="269" t="s">
        <v>193</v>
      </c>
      <c r="AI33" s="269" t="s">
        <v>193</v>
      </c>
      <c r="AJ33" s="269" t="s">
        <v>193</v>
      </c>
      <c r="AK33" s="269" t="s">
        <v>193</v>
      </c>
    </row>
    <row r="34" spans="5:37" ht="15.6">
      <c r="Q34" s="407" t="s">
        <v>80</v>
      </c>
      <c r="R34" s="389"/>
      <c r="S34" s="33">
        <f>SUM(S36:S41)</f>
        <v>257.95374579793349</v>
      </c>
      <c r="AC34" s="20" t="s">
        <v>272</v>
      </c>
      <c r="AD34" s="20" t="s">
        <v>193</v>
      </c>
      <c r="AE34" s="20" t="s">
        <v>193</v>
      </c>
      <c r="AF34" s="20" t="s">
        <v>193</v>
      </c>
      <c r="AG34" s="20" t="s">
        <v>193</v>
      </c>
      <c r="AH34" s="269" t="s">
        <v>193</v>
      </c>
      <c r="AI34" s="269" t="s">
        <v>193</v>
      </c>
      <c r="AJ34" s="269" t="s">
        <v>193</v>
      </c>
      <c r="AK34" s="269" t="s">
        <v>193</v>
      </c>
    </row>
    <row r="35" spans="5:37" ht="15.6">
      <c r="Q35" s="401" t="s">
        <v>66</v>
      </c>
      <c r="R35" s="391"/>
      <c r="S35" s="389"/>
      <c r="AC35" s="20" t="s">
        <v>273</v>
      </c>
      <c r="AD35" s="20" t="s">
        <v>193</v>
      </c>
      <c r="AE35" s="20" t="s">
        <v>193</v>
      </c>
      <c r="AF35" s="20" t="s">
        <v>193</v>
      </c>
      <c r="AG35" s="20" t="s">
        <v>193</v>
      </c>
      <c r="AH35" s="269" t="s">
        <v>193</v>
      </c>
      <c r="AI35" s="269" t="s">
        <v>193</v>
      </c>
      <c r="AJ35" s="269" t="s">
        <v>193</v>
      </c>
      <c r="AK35" s="269" t="s">
        <v>193</v>
      </c>
    </row>
    <row r="36" spans="5:37" ht="15.6">
      <c r="Q36" s="34" t="s">
        <v>67</v>
      </c>
      <c r="R36" s="45" t="s">
        <v>395</v>
      </c>
      <c r="S36" s="36">
        <f>AE20</f>
        <v>257.95374579793349</v>
      </c>
      <c r="AC36" s="20" t="s">
        <v>333</v>
      </c>
      <c r="AD36" s="20" t="s">
        <v>193</v>
      </c>
      <c r="AE36" s="20" t="s">
        <v>193</v>
      </c>
      <c r="AF36" s="20" t="s">
        <v>193</v>
      </c>
      <c r="AG36" s="20" t="s">
        <v>193</v>
      </c>
      <c r="AH36" s="269" t="s">
        <v>193</v>
      </c>
      <c r="AI36" s="269" t="s">
        <v>193</v>
      </c>
      <c r="AJ36" s="269" t="s">
        <v>193</v>
      </c>
      <c r="AK36" s="269" t="s">
        <v>193</v>
      </c>
    </row>
    <row r="37" spans="5:37" ht="15.6">
      <c r="E37" s="407" t="s">
        <v>79</v>
      </c>
      <c r="F37" s="389"/>
      <c r="G37" s="33">
        <f>AE104*3600</f>
        <v>71184.369355206916</v>
      </c>
      <c r="Q37" s="34" t="s">
        <v>68</v>
      </c>
      <c r="R37" s="37"/>
      <c r="S37" s="35"/>
      <c r="AB37" s="5"/>
      <c r="AC37" s="20" t="s">
        <v>275</v>
      </c>
      <c r="AD37" s="272" t="s">
        <v>193</v>
      </c>
      <c r="AE37" s="272" t="s">
        <v>193</v>
      </c>
      <c r="AF37" s="272" t="s">
        <v>193</v>
      </c>
      <c r="AG37" s="272" t="s">
        <v>193</v>
      </c>
      <c r="AH37" s="269" t="s">
        <v>193</v>
      </c>
      <c r="AI37" s="269" t="s">
        <v>193</v>
      </c>
      <c r="AJ37" s="269" t="s">
        <v>193</v>
      </c>
      <c r="AK37" s="269" t="s">
        <v>193</v>
      </c>
    </row>
    <row r="38" spans="5:37" ht="15.6">
      <c r="E38" s="407" t="s">
        <v>80</v>
      </c>
      <c r="F38" s="389"/>
      <c r="G38" s="33">
        <f>SUM(G40:G45)</f>
        <v>428.82150213980071</v>
      </c>
      <c r="Q38" s="34" t="s">
        <v>69</v>
      </c>
      <c r="R38" s="35"/>
      <c r="S38" s="35"/>
      <c r="AB38" s="5"/>
      <c r="AC38" s="116" t="s">
        <v>789</v>
      </c>
      <c r="AD38" s="231"/>
      <c r="AE38" s="231"/>
      <c r="AF38" s="231"/>
      <c r="AG38" s="231"/>
      <c r="AH38" s="269" t="s">
        <v>193</v>
      </c>
      <c r="AI38" s="269" t="s">
        <v>193</v>
      </c>
      <c r="AJ38" s="270">
        <f>AE104</f>
        <v>19.77343593200192</v>
      </c>
      <c r="AK38" s="271">
        <f>AE97</f>
        <v>66.182115444695057</v>
      </c>
    </row>
    <row r="39" spans="5:37" ht="15.6">
      <c r="E39" s="401" t="s">
        <v>66</v>
      </c>
      <c r="F39" s="391"/>
      <c r="G39" s="389"/>
      <c r="Q39" s="34" t="s">
        <v>70</v>
      </c>
      <c r="R39" s="35"/>
      <c r="S39" s="35"/>
      <c r="AB39" s="5"/>
      <c r="AC39" s="20" t="s">
        <v>489</v>
      </c>
      <c r="AD39" s="279" t="s">
        <v>193</v>
      </c>
      <c r="AE39" s="279" t="s">
        <v>193</v>
      </c>
      <c r="AF39" s="188">
        <f>S36</f>
        <v>257.95374579793349</v>
      </c>
      <c r="AG39" s="189">
        <f>AE76</f>
        <v>-18800.439722851297</v>
      </c>
      <c r="AH39" s="269" t="s">
        <v>193</v>
      </c>
      <c r="AI39" s="269" t="s">
        <v>193</v>
      </c>
      <c r="AJ39" s="269" t="s">
        <v>193</v>
      </c>
      <c r="AK39" s="269" t="s">
        <v>193</v>
      </c>
    </row>
    <row r="40" spans="5:37" ht="15.6">
      <c r="E40" s="34" t="s">
        <v>67</v>
      </c>
      <c r="F40" s="45" t="s">
        <v>808</v>
      </c>
      <c r="G40" s="36">
        <f>G37/AA19</f>
        <v>428.82150213980071</v>
      </c>
      <c r="Q40" s="34" t="s">
        <v>71</v>
      </c>
      <c r="R40" s="35"/>
      <c r="S40" s="35"/>
      <c r="AB40" s="5"/>
      <c r="AC40" s="20" t="s">
        <v>416</v>
      </c>
      <c r="AD40" s="20" t="s">
        <v>193</v>
      </c>
      <c r="AE40" s="20" t="s">
        <v>193</v>
      </c>
      <c r="AF40" s="20" t="s">
        <v>193</v>
      </c>
      <c r="AG40" s="20" t="s">
        <v>193</v>
      </c>
      <c r="AH40" s="269" t="s">
        <v>193</v>
      </c>
      <c r="AI40" s="269" t="s">
        <v>193</v>
      </c>
      <c r="AJ40" s="269" t="s">
        <v>193</v>
      </c>
      <c r="AK40" s="269" t="s">
        <v>193</v>
      </c>
    </row>
    <row r="41" spans="5:37" ht="15.6">
      <c r="E41" s="34" t="s">
        <v>68</v>
      </c>
      <c r="F41" s="37"/>
      <c r="G41" s="35"/>
      <c r="Q41" s="34" t="s">
        <v>72</v>
      </c>
      <c r="R41" s="35"/>
      <c r="S41" s="35"/>
      <c r="AB41" s="5"/>
      <c r="AC41" s="20" t="s">
        <v>417</v>
      </c>
      <c r="AD41" s="20" t="s">
        <v>193</v>
      </c>
      <c r="AE41" s="20" t="s">
        <v>193</v>
      </c>
      <c r="AF41" s="20" t="s">
        <v>193</v>
      </c>
      <c r="AG41" s="20" t="s">
        <v>193</v>
      </c>
      <c r="AH41" s="269" t="s">
        <v>193</v>
      </c>
      <c r="AI41" s="269" t="s">
        <v>193</v>
      </c>
      <c r="AJ41" s="269" t="s">
        <v>193</v>
      </c>
      <c r="AK41" s="269" t="s">
        <v>193</v>
      </c>
    </row>
    <row r="42" spans="5:37" ht="15.6">
      <c r="E42" s="34" t="s">
        <v>69</v>
      </c>
      <c r="F42" s="35"/>
      <c r="G42" s="35"/>
      <c r="Q42" s="404" t="s">
        <v>85</v>
      </c>
      <c r="R42" s="405"/>
      <c r="S42" s="398"/>
      <c r="AB42" s="5"/>
      <c r="AC42" s="20" t="s">
        <v>418</v>
      </c>
      <c r="AD42" s="20" t="s">
        <v>193</v>
      </c>
      <c r="AE42" s="20" t="s">
        <v>193</v>
      </c>
      <c r="AF42" s="20" t="s">
        <v>193</v>
      </c>
      <c r="AG42" s="20" t="s">
        <v>193</v>
      </c>
      <c r="AH42" s="269" t="s">
        <v>193</v>
      </c>
      <c r="AI42" s="269" t="s">
        <v>193</v>
      </c>
      <c r="AJ42" s="269" t="s">
        <v>193</v>
      </c>
      <c r="AK42" s="269" t="s">
        <v>193</v>
      </c>
    </row>
    <row r="43" spans="5:37" ht="15.6">
      <c r="E43" s="34" t="s">
        <v>70</v>
      </c>
      <c r="F43" s="35"/>
      <c r="G43" s="35"/>
      <c r="Q43" s="34" t="s">
        <v>67</v>
      </c>
      <c r="R43" s="35"/>
      <c r="S43" s="54">
        <f>S36/$S$34</f>
        <v>1</v>
      </c>
      <c r="AB43" s="5"/>
      <c r="AC43" s="20" t="s">
        <v>337</v>
      </c>
      <c r="AD43" s="20" t="s">
        <v>193</v>
      </c>
      <c r="AE43" s="20" t="s">
        <v>193</v>
      </c>
      <c r="AF43" s="20" t="s">
        <v>193</v>
      </c>
      <c r="AG43" s="20" t="s">
        <v>193</v>
      </c>
      <c r="AH43" s="269" t="s">
        <v>193</v>
      </c>
      <c r="AI43" s="269" t="s">
        <v>193</v>
      </c>
      <c r="AJ43" s="269" t="s">
        <v>193</v>
      </c>
      <c r="AK43" s="269" t="s">
        <v>193</v>
      </c>
    </row>
    <row r="44" spans="5:37" ht="15.6">
      <c r="E44" s="34" t="s">
        <v>71</v>
      </c>
      <c r="F44" s="35"/>
      <c r="G44" s="35"/>
      <c r="Q44" s="34" t="s">
        <v>68</v>
      </c>
      <c r="R44" s="35"/>
      <c r="S44" s="35"/>
      <c r="AB44" s="5"/>
      <c r="AC44" s="272" t="s">
        <v>276</v>
      </c>
      <c r="AD44" s="272" t="s">
        <v>193</v>
      </c>
      <c r="AE44" s="272" t="s">
        <v>193</v>
      </c>
      <c r="AF44" s="272" t="s">
        <v>193</v>
      </c>
      <c r="AG44" s="272" t="s">
        <v>193</v>
      </c>
      <c r="AH44" s="273" t="s">
        <v>193</v>
      </c>
      <c r="AI44" s="273" t="s">
        <v>193</v>
      </c>
      <c r="AJ44" s="273" t="s">
        <v>193</v>
      </c>
      <c r="AK44" s="273" t="s">
        <v>193</v>
      </c>
    </row>
    <row r="45" spans="5:37" ht="15.6">
      <c r="E45" s="34" t="s">
        <v>72</v>
      </c>
      <c r="F45" s="35"/>
      <c r="G45" s="35"/>
      <c r="Q45" s="34" t="s">
        <v>69</v>
      </c>
      <c r="R45" s="35"/>
      <c r="S45" s="35"/>
      <c r="AB45" s="5"/>
      <c r="AC45" s="275" t="s">
        <v>790</v>
      </c>
      <c r="AD45" s="276"/>
      <c r="AE45" s="276"/>
      <c r="AF45" s="276"/>
      <c r="AG45" s="276"/>
      <c r="AH45" s="277">
        <f>AE104</f>
        <v>19.77343593200192</v>
      </c>
      <c r="AI45" s="277">
        <v>0</v>
      </c>
      <c r="AJ45" s="278" t="s">
        <v>193</v>
      </c>
      <c r="AK45" s="278" t="s">
        <v>193</v>
      </c>
    </row>
    <row r="46" spans="5:37" ht="15.6">
      <c r="E46" s="404" t="s">
        <v>85</v>
      </c>
      <c r="F46" s="405"/>
      <c r="G46" s="398"/>
      <c r="Q46" s="34" t="s">
        <v>70</v>
      </c>
      <c r="R46" s="35"/>
      <c r="S46" s="35"/>
      <c r="AB46" s="5"/>
      <c r="AC46" s="274" t="s">
        <v>469</v>
      </c>
      <c r="AD46" s="508">
        <f>AD33*AE33</f>
        <v>-138511.69863363699</v>
      </c>
      <c r="AE46" s="509"/>
      <c r="AF46" s="510">
        <f>AF39*AG39</f>
        <v>-4849643.8491577543</v>
      </c>
      <c r="AG46" s="511"/>
      <c r="AH46" s="507">
        <f>AH45*AI45</f>
        <v>0</v>
      </c>
      <c r="AI46" s="477"/>
      <c r="AJ46" s="507">
        <f>AJ38*AK38*3600</f>
        <v>4711132.1505241171</v>
      </c>
      <c r="AK46" s="477"/>
    </row>
    <row r="47" spans="5:37" ht="15.6">
      <c r="E47" s="34" t="s">
        <v>67</v>
      </c>
      <c r="F47" s="35"/>
      <c r="G47" s="54">
        <f>G40/G38</f>
        <v>1</v>
      </c>
      <c r="Q47" s="34" t="s">
        <v>71</v>
      </c>
      <c r="R47" s="35"/>
      <c r="S47" s="35"/>
      <c r="AB47" s="5"/>
      <c r="AC47" s="5"/>
      <c r="AD47" s="5"/>
      <c r="AE47" s="5"/>
      <c r="AF47" s="5"/>
      <c r="AG47" s="5"/>
      <c r="AH47" s="5"/>
      <c r="AI47" s="5"/>
      <c r="AJ47" s="148"/>
    </row>
    <row r="48" spans="5:37" ht="15.6">
      <c r="E48" s="34" t="s">
        <v>68</v>
      </c>
      <c r="F48" s="35"/>
      <c r="G48" s="35"/>
      <c r="Q48" s="34" t="s">
        <v>72</v>
      </c>
      <c r="R48" s="35"/>
      <c r="S48" s="35"/>
      <c r="AB48" s="5"/>
      <c r="AC48" s="5"/>
      <c r="AD48" s="5"/>
      <c r="AE48" s="5"/>
      <c r="AF48" s="5"/>
      <c r="AG48" s="5"/>
      <c r="AH48" s="5"/>
      <c r="AI48" s="5"/>
      <c r="AJ48" s="148"/>
    </row>
    <row r="49" spans="5:36" ht="15.6">
      <c r="E49" s="34" t="s">
        <v>69</v>
      </c>
      <c r="F49" s="35"/>
      <c r="G49" s="35"/>
      <c r="Q49" s="406" t="s">
        <v>99</v>
      </c>
      <c r="R49" s="389"/>
      <c r="S49" s="50">
        <v>0</v>
      </c>
      <c r="AB49" s="5"/>
      <c r="AC49" s="1"/>
      <c r="AD49" s="472" t="s">
        <v>278</v>
      </c>
      <c r="AE49" s="472"/>
      <c r="AF49" s="2"/>
      <c r="AG49" s="208"/>
      <c r="AH49" s="179"/>
      <c r="AI49" s="208"/>
      <c r="AJ49" s="3"/>
    </row>
    <row r="50" spans="5:36" ht="15.6">
      <c r="E50" s="34" t="s">
        <v>70</v>
      </c>
      <c r="F50" s="35"/>
      <c r="G50" s="35"/>
      <c r="Q50" s="397" t="s">
        <v>92</v>
      </c>
      <c r="R50" s="398"/>
      <c r="S50" s="48">
        <f>SUM(S43:S48)</f>
        <v>1</v>
      </c>
      <c r="AB50" s="5"/>
      <c r="AC50" s="116" t="s">
        <v>563</v>
      </c>
      <c r="AD50" s="5"/>
      <c r="AE50" s="148"/>
      <c r="AF50" s="109" t="s">
        <v>582</v>
      </c>
      <c r="AG50" s="148"/>
      <c r="AH50" s="5"/>
      <c r="AI50" s="148"/>
      <c r="AJ50" s="6"/>
    </row>
    <row r="51" spans="5:36" ht="15.6">
      <c r="E51" s="34" t="s">
        <v>71</v>
      </c>
      <c r="F51" s="35"/>
      <c r="G51" s="35"/>
      <c r="Q51" s="397" t="s">
        <v>75</v>
      </c>
      <c r="R51" s="398"/>
      <c r="S51" s="40">
        <v>50</v>
      </c>
      <c r="AB51" s="5"/>
      <c r="AC51" s="4"/>
      <c r="AD51" s="5"/>
      <c r="AE51" s="5"/>
      <c r="AF51" s="5"/>
      <c r="AG51" s="148"/>
      <c r="AH51" s="5"/>
      <c r="AI51" s="148"/>
      <c r="AJ51" s="6"/>
    </row>
    <row r="52" spans="5:36" ht="15.6">
      <c r="E52" s="34" t="s">
        <v>72</v>
      </c>
      <c r="F52" s="35"/>
      <c r="G52" s="35"/>
      <c r="Q52" s="396" t="s">
        <v>76</v>
      </c>
      <c r="R52" s="389"/>
      <c r="S52" s="45">
        <v>1</v>
      </c>
      <c r="AB52" s="5"/>
      <c r="AC52" s="4" t="s">
        <v>575</v>
      </c>
      <c r="AD52" s="9"/>
      <c r="AE52" s="5"/>
      <c r="AF52" s="5"/>
      <c r="AG52" s="148"/>
      <c r="AH52" s="5"/>
      <c r="AI52" s="148"/>
      <c r="AJ52" s="67"/>
    </row>
    <row r="53" spans="5:36" ht="61.2" customHeight="1">
      <c r="E53" s="406" t="s">
        <v>99</v>
      </c>
      <c r="F53" s="389"/>
      <c r="G53" s="50">
        <v>0</v>
      </c>
      <c r="Q53" s="400" t="s">
        <v>548</v>
      </c>
      <c r="R53" s="400"/>
      <c r="S53" s="216">
        <f>AF46</f>
        <v>-4849643.8491577543</v>
      </c>
      <c r="AB53" s="5"/>
      <c r="AC53" s="88" t="s">
        <v>278</v>
      </c>
      <c r="AD53" s="94" t="s">
        <v>135</v>
      </c>
      <c r="AE53" s="377"/>
      <c r="AF53" s="377"/>
      <c r="AG53" s="377"/>
      <c r="AH53" s="377"/>
      <c r="AI53" s="377"/>
      <c r="AJ53" s="465"/>
    </row>
    <row r="54" spans="5:36" ht="15.6">
      <c r="E54" s="397" t="s">
        <v>92</v>
      </c>
      <c r="F54" s="398"/>
      <c r="G54" s="48">
        <f>SUM(G47:G52)</f>
        <v>1</v>
      </c>
      <c r="AB54" s="5"/>
      <c r="AC54" s="85" t="s">
        <v>278</v>
      </c>
      <c r="AD54" s="118" t="s">
        <v>135</v>
      </c>
      <c r="AE54" s="120">
        <f>(Database!$C$31*(($E$26+273.15)-($AF$30+273.15)))+(((Database!$D$31)*(($E$26+273.15)^2-($AF$30+273.15)^2))/2)+((Database!$E$31*(($E$26+273.15)^3-($AF$30+273.15)^3))/3)+((Database!$F$31*(($E$26+273.15)^4-($AF$30+273.15)^4))/4)+((Database!$G$31)*(($E$26+273.15)^(5)-($AF$30+273.15)^5))/5</f>
        <v>-536.96331567186962</v>
      </c>
      <c r="AF54" s="11" t="s">
        <v>279</v>
      </c>
      <c r="AG54" s="204"/>
      <c r="AH54" s="190"/>
      <c r="AI54" s="204"/>
      <c r="AJ54" s="12"/>
    </row>
    <row r="55" spans="5:36" ht="15.6">
      <c r="E55" s="397" t="s">
        <v>75</v>
      </c>
      <c r="F55" s="398"/>
      <c r="G55" s="40">
        <v>230</v>
      </c>
      <c r="AB55" s="5"/>
      <c r="AC55" s="5"/>
      <c r="AD55" s="5"/>
      <c r="AE55" s="5"/>
      <c r="AF55" s="5"/>
      <c r="AG55" s="5"/>
      <c r="AH55" s="5"/>
      <c r="AI55" s="5"/>
      <c r="AJ55" s="148"/>
    </row>
    <row r="56" spans="5:36" ht="15.6">
      <c r="E56" s="396" t="s">
        <v>76</v>
      </c>
      <c r="F56" s="389"/>
      <c r="G56" s="45">
        <v>1</v>
      </c>
      <c r="AB56" s="5"/>
      <c r="AC56" s="5"/>
      <c r="AD56" s="5"/>
      <c r="AE56" s="5"/>
      <c r="AF56" s="5"/>
      <c r="AG56" s="5"/>
      <c r="AH56" s="5"/>
      <c r="AI56" s="5"/>
      <c r="AJ56" s="148"/>
    </row>
    <row r="57" spans="5:36" ht="15.6">
      <c r="E57" s="400" t="s">
        <v>548</v>
      </c>
      <c r="F57" s="400"/>
      <c r="G57" s="216">
        <f>AH46</f>
        <v>0</v>
      </c>
      <c r="J57" s="265" t="s">
        <v>782</v>
      </c>
      <c r="AB57" s="5"/>
      <c r="AC57" s="1"/>
      <c r="AD57" s="2"/>
      <c r="AE57" s="91" t="s">
        <v>280</v>
      </c>
      <c r="AF57" s="2"/>
      <c r="AG57" s="2"/>
      <c r="AH57" s="2"/>
      <c r="AI57" s="208"/>
      <c r="AJ57" s="3"/>
    </row>
    <row r="58" spans="5:36" ht="15.6">
      <c r="AB58" s="5"/>
      <c r="AC58" s="116" t="s">
        <v>565</v>
      </c>
      <c r="AD58" s="5"/>
      <c r="AE58" s="5"/>
      <c r="AF58" s="5"/>
      <c r="AG58" s="9" t="s">
        <v>568</v>
      </c>
      <c r="AH58" s="5"/>
      <c r="AI58" s="148"/>
      <c r="AJ58" s="6"/>
    </row>
    <row r="59" spans="5:36" ht="15.6">
      <c r="AB59" s="5"/>
      <c r="AC59" s="4"/>
      <c r="AD59" s="5"/>
      <c r="AE59" s="5"/>
      <c r="AF59" s="5"/>
      <c r="AG59" s="64" t="s">
        <v>384</v>
      </c>
      <c r="AH59" s="5"/>
      <c r="AI59" s="148"/>
      <c r="AJ59" s="6"/>
    </row>
    <row r="60" spans="5:36" ht="15.6">
      <c r="AB60" s="5"/>
      <c r="AC60" s="156" t="s">
        <v>383</v>
      </c>
      <c r="AD60" s="5"/>
      <c r="AE60" s="5"/>
      <c r="AF60" s="5"/>
      <c r="AG60" s="148"/>
      <c r="AH60" s="5"/>
      <c r="AI60" s="148"/>
      <c r="AJ60" s="6"/>
    </row>
    <row r="61" spans="5:36" ht="15.6">
      <c r="AB61" s="5"/>
      <c r="AC61" s="4"/>
      <c r="AD61" s="9" t="s">
        <v>566</v>
      </c>
      <c r="AE61" s="9" t="s">
        <v>385</v>
      </c>
      <c r="AF61" s="9" t="s">
        <v>567</v>
      </c>
      <c r="AG61" s="5"/>
      <c r="AH61" s="5"/>
      <c r="AI61" s="148"/>
      <c r="AJ61" s="6"/>
    </row>
    <row r="62" spans="5:36" ht="15.6">
      <c r="AB62" s="5"/>
      <c r="AC62" s="4"/>
      <c r="AD62" s="148"/>
      <c r="AE62" s="5"/>
      <c r="AF62" s="148"/>
      <c r="AG62" s="5"/>
      <c r="AH62" s="5"/>
      <c r="AI62" s="148"/>
      <c r="AJ62" s="6"/>
    </row>
    <row r="63" spans="5:36" ht="15.6">
      <c r="AB63" s="5"/>
      <c r="AC63" s="4" t="s">
        <v>583</v>
      </c>
      <c r="AD63" s="5"/>
      <c r="AE63" s="5"/>
      <c r="AF63" s="5"/>
      <c r="AG63" s="5"/>
      <c r="AH63" s="5"/>
      <c r="AI63" s="148"/>
      <c r="AJ63" s="6"/>
    </row>
    <row r="64" spans="5:36" ht="48" customHeight="1">
      <c r="AB64" s="5"/>
      <c r="AC64" s="88" t="s">
        <v>383</v>
      </c>
      <c r="AD64" s="94" t="s">
        <v>135</v>
      </c>
      <c r="AE64" s="377"/>
      <c r="AF64" s="377"/>
      <c r="AG64" s="377"/>
      <c r="AH64" s="377"/>
      <c r="AI64" s="377"/>
      <c r="AJ64" s="465"/>
    </row>
    <row r="65" spans="28:38" ht="15.6">
      <c r="AB65" s="5"/>
      <c r="AC65" s="116" t="s">
        <v>383</v>
      </c>
      <c r="AD65" s="117" t="s">
        <v>135</v>
      </c>
      <c r="AE65" s="96">
        <f>(Database!$C$31*((Database!$H$10)-($AF$30+273.15)))+(((Database!$D$31)*((Database!$H$10)^2-($AF$30+273.15)^2))/2)+((Database!$E$31*((Database!$H$10)^3-($AF$30+273.15)^3))/3)+((Database!$F$31*((Database!$H$10)^4-($AF$30+273.15)^4))/4)+((Database!$G$31)*((Database!$H$10)^(5)-($AF$30+273.15)^5))/5</f>
        <v>-2064.4337889981762</v>
      </c>
      <c r="AF65" s="5" t="s">
        <v>279</v>
      </c>
      <c r="AG65" s="5"/>
      <c r="AH65" s="5"/>
      <c r="AI65" s="148"/>
      <c r="AJ65" s="6"/>
    </row>
    <row r="66" spans="28:38" ht="15.6">
      <c r="AB66" s="5"/>
      <c r="AC66" s="4"/>
      <c r="AD66" s="9"/>
      <c r="AE66" s="9"/>
      <c r="AF66" s="5"/>
      <c r="AG66" s="5"/>
      <c r="AH66" s="5"/>
      <c r="AI66" s="148"/>
      <c r="AJ66" s="6"/>
    </row>
    <row r="67" spans="28:38" ht="15.6">
      <c r="AB67" s="5"/>
      <c r="AC67" s="4" t="s">
        <v>569</v>
      </c>
      <c r="AD67" s="9"/>
      <c r="AE67" s="9"/>
      <c r="AF67" s="5"/>
      <c r="AG67" s="5"/>
      <c r="AH67" s="5"/>
      <c r="AI67" s="148"/>
      <c r="AJ67" s="6"/>
    </row>
    <row r="68" spans="28:38" ht="15.6">
      <c r="AB68" s="5"/>
      <c r="AC68" s="116" t="s">
        <v>385</v>
      </c>
      <c r="AD68" s="117" t="s">
        <v>135</v>
      </c>
      <c r="AE68" s="94" t="s">
        <v>556</v>
      </c>
      <c r="AF68" s="5"/>
      <c r="AG68" s="5"/>
      <c r="AH68" s="5"/>
      <c r="AI68" s="148"/>
      <c r="AJ68" s="6"/>
    </row>
    <row r="69" spans="28:38" ht="15.6">
      <c r="AB69" s="5"/>
      <c r="AC69" s="116" t="s">
        <v>385</v>
      </c>
      <c r="AD69" s="117" t="s">
        <v>135</v>
      </c>
      <c r="AE69" s="9">
        <f>Database!$I$10*-1*1000</f>
        <v>-23351</v>
      </c>
      <c r="AF69" s="5" t="s">
        <v>279</v>
      </c>
      <c r="AG69" s="5"/>
      <c r="AH69" s="5"/>
      <c r="AI69" s="148"/>
      <c r="AJ69" s="6"/>
    </row>
    <row r="70" spans="28:38" ht="15.6">
      <c r="AB70" s="5"/>
      <c r="AC70" s="4"/>
      <c r="AD70" s="9"/>
      <c r="AE70" s="9"/>
      <c r="AF70" s="5"/>
      <c r="AG70" s="5"/>
      <c r="AH70" s="5"/>
      <c r="AI70" s="148"/>
      <c r="AJ70" s="6"/>
    </row>
    <row r="71" spans="28:38" ht="15.6">
      <c r="AB71" s="5"/>
      <c r="AC71" s="4" t="s">
        <v>584</v>
      </c>
      <c r="AD71" s="9"/>
      <c r="AE71" s="9"/>
      <c r="AF71" s="5"/>
      <c r="AG71" s="5"/>
      <c r="AH71" s="5"/>
      <c r="AI71" s="148"/>
      <c r="AJ71" s="6"/>
    </row>
    <row r="72" spans="28:38" ht="48" customHeight="1">
      <c r="AB72" s="5"/>
      <c r="AC72" s="88" t="s">
        <v>384</v>
      </c>
      <c r="AD72" s="94" t="s">
        <v>135</v>
      </c>
      <c r="AE72" s="377"/>
      <c r="AF72" s="377"/>
      <c r="AG72" s="377"/>
      <c r="AH72" s="377"/>
      <c r="AI72" s="377"/>
      <c r="AJ72" s="465"/>
    </row>
    <row r="73" spans="28:38" ht="15.6">
      <c r="AB73" s="5"/>
      <c r="AC73" s="116" t="s">
        <v>384</v>
      </c>
      <c r="AD73" s="117" t="s">
        <v>135</v>
      </c>
      <c r="AE73" s="129">
        <f>Database!$C$43*((S51+273.15)-(Database!$H$10))+((Database!$D$43*((S51+273.15)^2-(Database!$H$10)^2))/2)+((Database!$E$43*((S51+273.15)^3-(Database!$H$10)^3))/3)+((Database!$F$43*((S51+273.15)^4-(Database!$H$10)^4))/4)</f>
        <v>6614.994066146879</v>
      </c>
      <c r="AF73" s="5" t="s">
        <v>279</v>
      </c>
      <c r="AG73" s="5"/>
      <c r="AH73" s="5"/>
      <c r="AI73" s="148"/>
      <c r="AJ73" s="6"/>
    </row>
    <row r="74" spans="28:38" ht="15.6">
      <c r="AB74" s="5"/>
      <c r="AC74" s="4"/>
      <c r="AD74" s="5"/>
      <c r="AE74" s="5"/>
      <c r="AF74" s="5"/>
      <c r="AG74" s="5"/>
      <c r="AH74" s="5"/>
      <c r="AI74" s="148"/>
      <c r="AJ74" s="6"/>
    </row>
    <row r="75" spans="28:38" ht="15.6">
      <c r="AB75" s="5"/>
      <c r="AC75" s="116" t="s">
        <v>280</v>
      </c>
      <c r="AD75" s="117" t="s">
        <v>135</v>
      </c>
      <c r="AE75" s="9" t="s">
        <v>383</v>
      </c>
      <c r="AF75" s="117" t="s">
        <v>284</v>
      </c>
      <c r="AG75" s="9" t="s">
        <v>385</v>
      </c>
      <c r="AH75" s="117" t="s">
        <v>284</v>
      </c>
      <c r="AI75" s="148"/>
      <c r="AJ75" s="121" t="s">
        <v>384</v>
      </c>
    </row>
    <row r="76" spans="28:38" ht="15.6">
      <c r="AB76" s="5"/>
      <c r="AC76" s="85" t="s">
        <v>280</v>
      </c>
      <c r="AD76" s="118" t="s">
        <v>135</v>
      </c>
      <c r="AE76" s="119">
        <f>AE73+AE69+AE65</f>
        <v>-18800.439722851297</v>
      </c>
      <c r="AF76" s="11" t="s">
        <v>279</v>
      </c>
      <c r="AG76" s="11"/>
      <c r="AH76" s="11"/>
      <c r="AI76" s="204"/>
      <c r="AJ76" s="12"/>
    </row>
    <row r="77" spans="28:38" ht="15.6">
      <c r="AB77" s="5"/>
      <c r="AC77" s="5"/>
      <c r="AD77" s="5"/>
      <c r="AE77" s="5"/>
      <c r="AF77" s="5"/>
      <c r="AG77" s="5"/>
      <c r="AH77" s="5"/>
      <c r="AI77" s="5"/>
      <c r="AJ77" s="148"/>
    </row>
    <row r="78" spans="28:38" ht="15.6" customHeight="1">
      <c r="AC78" s="294"/>
      <c r="AD78" s="295"/>
      <c r="AE78" s="296"/>
      <c r="AF78" s="295"/>
      <c r="AG78" s="295"/>
      <c r="AH78" s="295"/>
      <c r="AI78" s="295"/>
      <c r="AJ78" s="295"/>
      <c r="AK78" s="177"/>
      <c r="AL78" s="297"/>
    </row>
    <row r="79" spans="28:38" ht="15.75" customHeight="1">
      <c r="AC79" s="298" t="s">
        <v>791</v>
      </c>
      <c r="AD79" s="267"/>
      <c r="AE79" s="267"/>
      <c r="AF79" s="267"/>
      <c r="AG79" s="288" t="s">
        <v>792</v>
      </c>
      <c r="AH79" s="267"/>
      <c r="AI79" s="267"/>
      <c r="AJ79" s="267"/>
      <c r="AL79" s="219"/>
    </row>
    <row r="80" spans="28:38" ht="15.75" customHeight="1">
      <c r="AC80" s="299"/>
      <c r="AD80" s="267"/>
      <c r="AE80" s="267"/>
      <c r="AF80" s="267"/>
      <c r="AG80" s="289"/>
      <c r="AH80" s="267"/>
      <c r="AI80" s="267"/>
      <c r="AJ80" s="267"/>
      <c r="AL80" s="219"/>
    </row>
    <row r="81" spans="29:38" ht="15.75" customHeight="1">
      <c r="AC81" s="300"/>
      <c r="AD81" s="267"/>
      <c r="AE81" s="267"/>
      <c r="AF81" s="267"/>
      <c r="AG81" s="267"/>
      <c r="AH81" s="267"/>
      <c r="AI81" s="267"/>
      <c r="AJ81" s="267"/>
      <c r="AL81" s="219"/>
    </row>
    <row r="82" spans="29:38" ht="15.75" customHeight="1">
      <c r="AC82" s="299"/>
      <c r="AD82" s="288" t="s">
        <v>793</v>
      </c>
      <c r="AE82" s="267"/>
      <c r="AF82" s="288" t="s">
        <v>794</v>
      </c>
      <c r="AG82" s="267"/>
      <c r="AH82" s="267"/>
      <c r="AI82" s="267"/>
      <c r="AJ82" s="267"/>
      <c r="AL82" s="219"/>
    </row>
    <row r="83" spans="29:38" ht="15.75" customHeight="1">
      <c r="AC83" s="299"/>
      <c r="AD83" s="267"/>
      <c r="AE83" s="267"/>
      <c r="AF83" s="267"/>
      <c r="AG83" s="267"/>
      <c r="AH83" s="267"/>
      <c r="AI83" s="267"/>
      <c r="AJ83" s="267"/>
      <c r="AL83" s="219"/>
    </row>
    <row r="84" spans="29:38" ht="15.75" customHeight="1">
      <c r="AC84" s="512" t="s">
        <v>583</v>
      </c>
      <c r="AD84" s="513"/>
      <c r="AE84" s="267"/>
      <c r="AF84" s="267"/>
      <c r="AG84" s="267"/>
      <c r="AH84" s="267"/>
      <c r="AI84" s="267"/>
      <c r="AJ84" s="267"/>
      <c r="AL84" s="219"/>
    </row>
    <row r="85" spans="29:38" ht="52.8" customHeight="1">
      <c r="AC85" s="301"/>
      <c r="AD85" s="290" t="s">
        <v>135</v>
      </c>
      <c r="AE85" s="516"/>
      <c r="AF85" s="513"/>
      <c r="AG85" s="513"/>
      <c r="AH85" s="513"/>
      <c r="AI85" s="513"/>
      <c r="AJ85" s="515"/>
      <c r="AL85" s="219"/>
    </row>
    <row r="86" spans="29:38" ht="15.75" customHeight="1">
      <c r="AC86" s="301"/>
      <c r="AD86" s="290" t="s">
        <v>135</v>
      </c>
      <c r="AE86" s="291">
        <f>((Database!C49*(257+273.15-230-273.15))+((((Database!D49)*(257+273.15)^2)/2)-((Database!D49)*(230+273.15)^2)/2)+((((Database!E49)*(257+273.15)^3)/3)-((Database!E49)*(230+273.15)^3)/3))/1000</f>
        <v>60.433336976624943</v>
      </c>
      <c r="AF86" s="267" t="s">
        <v>795</v>
      </c>
      <c r="AG86" s="267"/>
      <c r="AH86" s="267"/>
      <c r="AI86" s="267"/>
      <c r="AJ86" s="267"/>
      <c r="AL86" s="219"/>
    </row>
    <row r="87" spans="29:38" ht="15.75" customHeight="1">
      <c r="AC87" s="299"/>
      <c r="AD87" s="288"/>
      <c r="AE87" s="288"/>
      <c r="AF87" s="267"/>
      <c r="AG87" s="280"/>
      <c r="AH87" s="267"/>
      <c r="AI87" s="267"/>
      <c r="AJ87" s="267"/>
      <c r="AL87" s="219"/>
    </row>
    <row r="88" spans="29:38" ht="15.75" customHeight="1">
      <c r="AC88" s="512" t="s">
        <v>569</v>
      </c>
      <c r="AD88" s="513"/>
      <c r="AE88" s="288"/>
      <c r="AF88" s="267"/>
      <c r="AG88" s="267"/>
      <c r="AH88" s="267"/>
      <c r="AI88" s="267"/>
      <c r="AJ88" s="267"/>
      <c r="AL88" s="219"/>
    </row>
    <row r="89" spans="29:38" ht="15.75" customHeight="1">
      <c r="AC89" s="301"/>
      <c r="AD89" s="290" t="s">
        <v>135</v>
      </c>
      <c r="AE89" s="288"/>
      <c r="AF89" s="267"/>
      <c r="AG89" s="267"/>
      <c r="AH89" s="267"/>
      <c r="AI89" s="267"/>
      <c r="AJ89" s="267"/>
      <c r="AL89" s="219"/>
    </row>
    <row r="90" spans="29:38" ht="15.75" customHeight="1">
      <c r="AC90" s="298"/>
      <c r="AD90" s="290" t="s">
        <v>135</v>
      </c>
      <c r="AE90" s="288">
        <f>Database!I16</f>
        <v>294.29950000000002</v>
      </c>
      <c r="AF90" s="267" t="s">
        <v>795</v>
      </c>
      <c r="AG90" s="267"/>
      <c r="AH90" s="267"/>
      <c r="AI90" s="267"/>
      <c r="AJ90" s="267"/>
      <c r="AL90" s="219"/>
    </row>
    <row r="91" spans="29:38" ht="15.75" customHeight="1">
      <c r="AC91" s="299"/>
      <c r="AD91" s="288"/>
      <c r="AE91" s="288"/>
      <c r="AF91" s="267"/>
      <c r="AG91" s="267"/>
      <c r="AH91" s="267"/>
      <c r="AI91" s="267"/>
      <c r="AJ91" s="267"/>
      <c r="AL91" s="219"/>
    </row>
    <row r="92" spans="29:38" ht="15.75" customHeight="1">
      <c r="AC92" s="512" t="s">
        <v>584</v>
      </c>
      <c r="AD92" s="513"/>
      <c r="AE92" s="288"/>
      <c r="AF92" s="267"/>
      <c r="AG92" s="267"/>
      <c r="AH92" s="267"/>
      <c r="AI92" s="267"/>
      <c r="AJ92" s="267"/>
      <c r="AL92" s="219"/>
    </row>
    <row r="93" spans="29:38" ht="49.2" customHeight="1">
      <c r="AC93" s="301"/>
      <c r="AD93" s="292" t="s">
        <v>135</v>
      </c>
      <c r="AE93" s="514"/>
      <c r="AF93" s="513"/>
      <c r="AG93" s="513"/>
      <c r="AH93" s="513"/>
      <c r="AI93" s="513"/>
      <c r="AJ93" s="515"/>
      <c r="AL93" s="219"/>
    </row>
    <row r="94" spans="29:38" ht="17.399999999999999" customHeight="1">
      <c r="AC94" s="301"/>
      <c r="AD94" s="292" t="s">
        <v>135</v>
      </c>
      <c r="AE94" s="291">
        <f>((Database!C37*(70+273.15-257-273.15))+((((Database!D37)*(70+273.15)^2)/2)-((Database!D37)*(257+273.15)^2)/2)+((((Database!E37)*(70+273.15)^3)/3)-((Database!E37)*(257+273.15)^3)/3)+((((Database!F37)*(70+273.15)^4)/4)-((Database!F37)*(257+273.15)^4)/4)+((((Database!G37)*(70+273.15)^5)/5)-((Database!G37)*(257+273.15)^5)/5)+((((Database!H37)*(70+273.15)^6)/6)-((Database!H37)*(257+273.15)^6)/6))/1000</f>
        <v>-288.55072153192992</v>
      </c>
      <c r="AF94" s="267" t="s">
        <v>795</v>
      </c>
      <c r="AG94" s="267"/>
      <c r="AH94" s="267"/>
      <c r="AI94" s="267"/>
      <c r="AJ94" s="267"/>
      <c r="AL94" s="219"/>
    </row>
    <row r="95" spans="29:38" ht="15.75" customHeight="1">
      <c r="AC95" s="299"/>
      <c r="AD95" s="293"/>
      <c r="AE95" s="288"/>
      <c r="AF95" s="267"/>
      <c r="AG95" s="267"/>
      <c r="AH95" s="267"/>
      <c r="AI95" s="267"/>
      <c r="AJ95" s="267"/>
      <c r="AL95" s="219"/>
    </row>
    <row r="96" spans="29:38" ht="15.75" customHeight="1">
      <c r="AC96" s="301"/>
      <c r="AD96" s="292" t="s">
        <v>135</v>
      </c>
      <c r="AE96" s="288"/>
      <c r="AF96" s="290" t="s">
        <v>284</v>
      </c>
      <c r="AG96" s="288"/>
      <c r="AH96" s="290" t="s">
        <v>284</v>
      </c>
      <c r="AI96" s="267"/>
      <c r="AJ96" s="288"/>
      <c r="AL96" s="219"/>
    </row>
    <row r="97" spans="29:38" ht="15.75" customHeight="1">
      <c r="AC97" s="302"/>
      <c r="AD97" s="303" t="s">
        <v>135</v>
      </c>
      <c r="AE97" s="304">
        <f>AE86+AE90+AE94</f>
        <v>66.182115444695057</v>
      </c>
      <c r="AF97" s="305" t="s">
        <v>795</v>
      </c>
      <c r="AG97" s="305"/>
      <c r="AH97" s="305"/>
      <c r="AI97" s="306"/>
      <c r="AJ97" s="305"/>
      <c r="AK97" s="178"/>
      <c r="AL97" s="307"/>
    </row>
    <row r="98" spans="29:38" ht="15.75" customHeight="1">
      <c r="AC98" s="281"/>
      <c r="AD98" s="281"/>
      <c r="AE98" s="281"/>
      <c r="AF98" s="281"/>
      <c r="AG98" s="281"/>
      <c r="AH98" s="281"/>
      <c r="AI98" s="281"/>
      <c r="AJ98" s="281"/>
    </row>
    <row r="99" spans="29:38" ht="15.75" customHeight="1">
      <c r="AC99" s="531" t="s">
        <v>306</v>
      </c>
      <c r="AD99" s="532" t="s">
        <v>135</v>
      </c>
      <c r="AE99" s="533">
        <f>(AF46-AD46)/3600*1000</f>
        <v>-1308647.8195900323</v>
      </c>
      <c r="AF99" s="534" t="s">
        <v>796</v>
      </c>
      <c r="AG99" s="539" t="s">
        <v>797</v>
      </c>
      <c r="AH99" s="281"/>
      <c r="AI99" s="281"/>
      <c r="AJ99" s="281"/>
    </row>
    <row r="100" spans="29:38" ht="15.75" customHeight="1">
      <c r="AC100" s="535" t="s">
        <v>798</v>
      </c>
      <c r="AD100" s="536" t="s">
        <v>135</v>
      </c>
      <c r="AE100" s="537">
        <f>S34*AA13/3600</f>
        <v>1.2203361790790568</v>
      </c>
      <c r="AF100" s="538" t="s">
        <v>799</v>
      </c>
      <c r="AG100" s="281"/>
      <c r="AH100" s="281"/>
      <c r="AI100" s="281"/>
      <c r="AJ100" s="281"/>
    </row>
    <row r="101" spans="29:38" ht="15.75" customHeight="1">
      <c r="AC101" s="282"/>
      <c r="AD101" s="282"/>
      <c r="AE101" s="283"/>
      <c r="AF101" s="282"/>
      <c r="AG101" s="281"/>
      <c r="AH101" s="281"/>
      <c r="AI101" s="281"/>
      <c r="AJ101" s="281"/>
    </row>
    <row r="102" spans="29:38" ht="15.75" customHeight="1">
      <c r="AC102" s="267" t="s">
        <v>800</v>
      </c>
      <c r="AD102" s="267"/>
      <c r="AE102" s="267"/>
      <c r="AF102" s="267"/>
      <c r="AG102" s="280"/>
      <c r="AH102" s="280"/>
      <c r="AI102" s="280"/>
      <c r="AJ102" s="280"/>
    </row>
    <row r="103" spans="29:38" ht="15.75" customHeight="1">
      <c r="AC103" s="284">
        <f>-AE99</f>
        <v>1308647.8195900323</v>
      </c>
      <c r="AD103" s="285" t="s">
        <v>135</v>
      </c>
      <c r="AE103" s="286" t="s">
        <v>801</v>
      </c>
      <c r="AF103" s="287"/>
      <c r="AG103" s="280"/>
      <c r="AH103" s="280"/>
      <c r="AI103" s="280"/>
      <c r="AJ103" s="280"/>
    </row>
    <row r="104" spans="29:38" ht="15.75" customHeight="1">
      <c r="AC104" s="540" t="s">
        <v>802</v>
      </c>
      <c r="AD104" s="541" t="s">
        <v>135</v>
      </c>
      <c r="AE104" s="542">
        <f>AC103/(AE97*1000)</f>
        <v>19.77343593200192</v>
      </c>
      <c r="AF104" s="543" t="s">
        <v>799</v>
      </c>
      <c r="AG104" s="282"/>
      <c r="AH104" s="280"/>
      <c r="AI104" s="280"/>
      <c r="AJ104" s="280"/>
    </row>
  </sheetData>
  <mergeCells count="56">
    <mergeCell ref="AC88:AD88"/>
    <mergeCell ref="AC92:AD92"/>
    <mergeCell ref="AE93:AJ93"/>
    <mergeCell ref="E54:F54"/>
    <mergeCell ref="E55:F55"/>
    <mergeCell ref="E56:F56"/>
    <mergeCell ref="E57:F57"/>
    <mergeCell ref="AC84:AD84"/>
    <mergeCell ref="AE85:AJ85"/>
    <mergeCell ref="K3:L3"/>
    <mergeCell ref="K5:M5"/>
    <mergeCell ref="K12:M12"/>
    <mergeCell ref="K19:L19"/>
    <mergeCell ref="E37:F37"/>
    <mergeCell ref="K4:L4"/>
    <mergeCell ref="K20:L20"/>
    <mergeCell ref="K21:L21"/>
    <mergeCell ref="AD49:AE49"/>
    <mergeCell ref="AD30:AE30"/>
    <mergeCell ref="AC31:AC32"/>
    <mergeCell ref="Q52:R52"/>
    <mergeCell ref="C28:D28"/>
    <mergeCell ref="AE53:AJ53"/>
    <mergeCell ref="AE64:AJ64"/>
    <mergeCell ref="AE72:AJ72"/>
    <mergeCell ref="AJ31:AK31"/>
    <mergeCell ref="AH46:AI46"/>
    <mergeCell ref="AJ46:AK46"/>
    <mergeCell ref="AD31:AE31"/>
    <mergeCell ref="AF31:AG31"/>
    <mergeCell ref="AH31:AI31"/>
    <mergeCell ref="AD46:AE46"/>
    <mergeCell ref="AF46:AG46"/>
    <mergeCell ref="E38:F38"/>
    <mergeCell ref="Q53:R53"/>
    <mergeCell ref="E39:G39"/>
    <mergeCell ref="E46:G46"/>
    <mergeCell ref="E53:F53"/>
    <mergeCell ref="AC12:AE12"/>
    <mergeCell ref="C17:E17"/>
    <mergeCell ref="Q42:S42"/>
    <mergeCell ref="C24:D24"/>
    <mergeCell ref="Q49:R49"/>
    <mergeCell ref="C25:D25"/>
    <mergeCell ref="Q50:R50"/>
    <mergeCell ref="K22:L22"/>
    <mergeCell ref="K23:L23"/>
    <mergeCell ref="Q35:S35"/>
    <mergeCell ref="C26:D26"/>
    <mergeCell ref="Q51:R51"/>
    <mergeCell ref="C8:D8"/>
    <mergeCell ref="Q33:R33"/>
    <mergeCell ref="C9:D9"/>
    <mergeCell ref="Q34:R34"/>
    <mergeCell ref="C10:E10"/>
    <mergeCell ref="C27:D27"/>
  </mergeCells>
  <pageMargins left="0.7" right="0.7" top="0.75" bottom="0.75" header="0.3" footer="0.3"/>
  <pageSetup orientation="portrait" r:id="rId1"/>
  <ignoredErrors>
    <ignoredError sqref="AJ46" evalError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370C-0A82-4C72-B0FA-7FE595853C41}">
  <dimension ref="B2:H38"/>
  <sheetViews>
    <sheetView topLeftCell="A25" zoomScaleNormal="100" workbookViewId="0">
      <selection activeCell="B38" sqref="B38"/>
    </sheetView>
  </sheetViews>
  <sheetFormatPr defaultRowHeight="13.2"/>
  <cols>
    <col min="2" max="2" width="24.6640625" customWidth="1"/>
    <col min="3" max="3" width="16.44140625" customWidth="1"/>
    <col min="5" max="5" width="16.21875" customWidth="1"/>
    <col min="6" max="6" width="15.88671875" customWidth="1"/>
    <col min="7" max="7" width="15.33203125" customWidth="1"/>
    <col min="8" max="8" width="17.6640625" customWidth="1"/>
  </cols>
  <sheetData>
    <row r="2" spans="2:4">
      <c r="B2" s="318" t="s">
        <v>809</v>
      </c>
      <c r="C2" s="319">
        <v>10</v>
      </c>
      <c r="D2" s="319" t="s">
        <v>810</v>
      </c>
    </row>
    <row r="3" spans="2:4">
      <c r="B3" s="318" t="s">
        <v>811</v>
      </c>
      <c r="C3" s="319">
        <v>50</v>
      </c>
      <c r="D3" s="319" t="s">
        <v>810</v>
      </c>
    </row>
    <row r="4" spans="2:4">
      <c r="B4" s="318" t="s">
        <v>812</v>
      </c>
      <c r="C4" s="319">
        <v>230</v>
      </c>
      <c r="D4" s="319" t="s">
        <v>810</v>
      </c>
    </row>
    <row r="5" spans="2:4">
      <c r="B5" s="318" t="s">
        <v>813</v>
      </c>
      <c r="C5" s="319">
        <v>70</v>
      </c>
      <c r="D5" s="319" t="s">
        <v>810</v>
      </c>
    </row>
    <row r="6" spans="2:4">
      <c r="B6" s="318" t="s">
        <v>814</v>
      </c>
      <c r="C6" s="319">
        <f>(C2+C3)/2</f>
        <v>30</v>
      </c>
      <c r="D6" s="319" t="s">
        <v>810</v>
      </c>
    </row>
    <row r="7" spans="2:4">
      <c r="B7" s="318" t="s">
        <v>815</v>
      </c>
      <c r="C7" s="319">
        <f>(C4+C5)/2</f>
        <v>150</v>
      </c>
      <c r="D7" s="319" t="s">
        <v>810</v>
      </c>
    </row>
    <row r="8" spans="2:4">
      <c r="B8" s="318" t="s">
        <v>816</v>
      </c>
      <c r="C8" s="320">
        <f>((C4-C3)-(C5-C2))/LN((C4-C3)/(C5-C2))</f>
        <v>109.22870719522048</v>
      </c>
      <c r="D8" s="319" t="s">
        <v>810</v>
      </c>
    </row>
    <row r="9" spans="2:4">
      <c r="B9" s="318" t="s">
        <v>817</v>
      </c>
      <c r="C9" s="319">
        <f>(C4-C5)/(C3-C2)</f>
        <v>4</v>
      </c>
      <c r="D9" s="319"/>
    </row>
    <row r="10" spans="2:4">
      <c r="B10" s="318" t="s">
        <v>818</v>
      </c>
      <c r="C10" s="320">
        <f>(C3-C2)/(C4-C2)</f>
        <v>0.18181818181818182</v>
      </c>
      <c r="D10" s="319"/>
    </row>
    <row r="11" spans="2:4">
      <c r="B11" s="114" t="s">
        <v>819</v>
      </c>
    </row>
    <row r="12" spans="2:4">
      <c r="B12" s="321" t="s">
        <v>820</v>
      </c>
      <c r="C12" s="319">
        <v>0.98</v>
      </c>
      <c r="D12" s="319" t="s">
        <v>821</v>
      </c>
    </row>
    <row r="13" spans="2:4">
      <c r="B13" s="321" t="s">
        <v>822</v>
      </c>
      <c r="C13" s="320">
        <f>C8*C12</f>
        <v>107.04413305131607</v>
      </c>
      <c r="D13" s="319" t="s">
        <v>810</v>
      </c>
    </row>
    <row r="16" spans="2:4">
      <c r="B16" s="114" t="s">
        <v>823</v>
      </c>
    </row>
    <row r="17" spans="2:7" ht="46.8">
      <c r="B17" s="322" t="s">
        <v>824</v>
      </c>
      <c r="C17" s="323" t="s">
        <v>825</v>
      </c>
      <c r="D17" s="324" t="s">
        <v>826</v>
      </c>
      <c r="E17" s="324" t="s">
        <v>827</v>
      </c>
      <c r="F17" s="324" t="s">
        <v>828</v>
      </c>
      <c r="G17" s="324" t="s">
        <v>829</v>
      </c>
    </row>
    <row r="18" spans="2:7">
      <c r="B18" s="325">
        <f>C6</f>
        <v>30</v>
      </c>
      <c r="C18" s="326">
        <v>9.0549999999999997</v>
      </c>
      <c r="D18" s="326">
        <v>3232</v>
      </c>
      <c r="E18" s="326">
        <f>1.057*10^-5</f>
        <v>1.057E-5</v>
      </c>
      <c r="F18" s="326">
        <v>2.7480000000000001E-2</v>
      </c>
      <c r="G18" s="326">
        <v>1.244</v>
      </c>
    </row>
    <row r="20" spans="2:7">
      <c r="B20" s="517" t="s">
        <v>830</v>
      </c>
      <c r="C20" s="376"/>
    </row>
    <row r="21" spans="2:7" ht="46.8">
      <c r="B21" s="327" t="s">
        <v>824</v>
      </c>
      <c r="C21" s="324" t="s">
        <v>825</v>
      </c>
      <c r="D21" s="324" t="s">
        <v>826</v>
      </c>
      <c r="E21" s="324" t="s">
        <v>827</v>
      </c>
      <c r="F21" s="324" t="s">
        <v>828</v>
      </c>
      <c r="G21" s="324" t="s">
        <v>829</v>
      </c>
    </row>
    <row r="22" spans="2:7">
      <c r="B22" s="328">
        <v>150</v>
      </c>
      <c r="C22" s="328">
        <v>957</v>
      </c>
      <c r="D22" s="328">
        <v>1913</v>
      </c>
      <c r="E22" s="328">
        <f>0.585*10^-3</f>
        <v>5.8500000000000002E-4</v>
      </c>
      <c r="F22" s="328">
        <v>0.1212</v>
      </c>
      <c r="G22" s="329">
        <f>D22*E22/F22</f>
        <v>9.2335396039603967</v>
      </c>
    </row>
    <row r="24" spans="2:7">
      <c r="B24" s="114" t="s">
        <v>831</v>
      </c>
    </row>
    <row r="25" spans="2:7" ht="46.8">
      <c r="B25" s="327" t="s">
        <v>824</v>
      </c>
      <c r="C25" s="324" t="s">
        <v>825</v>
      </c>
      <c r="D25" s="324" t="s">
        <v>826</v>
      </c>
      <c r="E25" s="324" t="s">
        <v>827</v>
      </c>
      <c r="F25" s="324" t="s">
        <v>828</v>
      </c>
      <c r="G25" s="324" t="s">
        <v>829</v>
      </c>
    </row>
    <row r="26" spans="2:7">
      <c r="B26" s="328">
        <v>30</v>
      </c>
      <c r="C26" s="328">
        <v>595.20000000000005</v>
      </c>
      <c r="D26" s="328">
        <v>4828</v>
      </c>
      <c r="E26" s="328">
        <f>1.361*10^-4</f>
        <v>1.361E-4</v>
      </c>
      <c r="F26" s="328">
        <v>0.46949999999999997</v>
      </c>
      <c r="G26" s="328">
        <v>1.399</v>
      </c>
    </row>
    <row r="28" spans="2:7">
      <c r="B28" s="517" t="s">
        <v>832</v>
      </c>
      <c r="C28" s="376"/>
    </row>
    <row r="29" spans="2:7" ht="46.8">
      <c r="B29" s="327" t="s">
        <v>824</v>
      </c>
      <c r="C29" s="324" t="s">
        <v>825</v>
      </c>
      <c r="D29" s="324" t="s">
        <v>826</v>
      </c>
      <c r="E29" s="324" t="s">
        <v>827</v>
      </c>
      <c r="F29" s="324" t="s">
        <v>828</v>
      </c>
      <c r="G29" s="324" t="s">
        <v>829</v>
      </c>
    </row>
    <row r="30" spans="2:7">
      <c r="B30" s="328">
        <v>150</v>
      </c>
      <c r="C30" s="328">
        <v>0.214</v>
      </c>
      <c r="D30" s="328">
        <v>1420</v>
      </c>
      <c r="E30" s="328">
        <f>0.0085*10^-3</f>
        <v>8.5000000000000016E-6</v>
      </c>
      <c r="F30" s="328">
        <v>1.54E-2</v>
      </c>
      <c r="G30" s="329">
        <f>(D30*E30)/F30</f>
        <v>0.78376623376623389</v>
      </c>
    </row>
    <row r="32" spans="2:7">
      <c r="B32" s="114" t="s">
        <v>833</v>
      </c>
    </row>
    <row r="33" spans="2:8" ht="46.8">
      <c r="B33" s="327" t="s">
        <v>824</v>
      </c>
      <c r="C33" s="324" t="s">
        <v>825</v>
      </c>
      <c r="D33" s="324" t="s">
        <v>826</v>
      </c>
      <c r="E33" s="324" t="s">
        <v>827</v>
      </c>
      <c r="F33" s="324" t="s">
        <v>828</v>
      </c>
      <c r="G33" s="324" t="s">
        <v>829</v>
      </c>
      <c r="H33" s="330" t="s">
        <v>834</v>
      </c>
    </row>
    <row r="34" spans="2:8">
      <c r="B34" s="326">
        <v>30</v>
      </c>
      <c r="C34" s="326">
        <f t="shared" ref="C34:G34" si="0">(C18+C26)/2</f>
        <v>302.1275</v>
      </c>
      <c r="D34" s="326">
        <f t="shared" si="0"/>
        <v>4030</v>
      </c>
      <c r="E34" s="326">
        <f t="shared" si="0"/>
        <v>7.3335000000000002E-5</v>
      </c>
      <c r="F34" s="331">
        <f t="shared" si="0"/>
        <v>0.24848999999999999</v>
      </c>
      <c r="G34" s="326">
        <f t="shared" si="0"/>
        <v>1.3214999999999999</v>
      </c>
      <c r="H34" s="326">
        <f>1144*1000</f>
        <v>1144000</v>
      </c>
    </row>
    <row r="35" spans="2:8" ht="15.6">
      <c r="H35" s="21"/>
    </row>
    <row r="36" spans="2:8" ht="15.6">
      <c r="B36" s="114" t="s">
        <v>835</v>
      </c>
      <c r="H36" s="21"/>
    </row>
    <row r="37" spans="2:8" ht="46.8">
      <c r="B37" s="327" t="s">
        <v>824</v>
      </c>
      <c r="C37" s="324" t="s">
        <v>825</v>
      </c>
      <c r="D37" s="324" t="s">
        <v>826</v>
      </c>
      <c r="E37" s="324" t="s">
        <v>827</v>
      </c>
      <c r="F37" s="324" t="s">
        <v>828</v>
      </c>
      <c r="G37" s="324" t="s">
        <v>829</v>
      </c>
      <c r="H37" s="330" t="s">
        <v>834</v>
      </c>
    </row>
    <row r="38" spans="2:8">
      <c r="B38" s="326">
        <f t="shared" ref="B38:G38" si="1">(B22+B30)/2</f>
        <v>150</v>
      </c>
      <c r="C38" s="326">
        <f t="shared" si="1"/>
        <v>478.60700000000003</v>
      </c>
      <c r="D38" s="326">
        <f t="shared" si="1"/>
        <v>1666.5</v>
      </c>
      <c r="E38" s="326">
        <f t="shared" si="1"/>
        <v>2.9675000000000003E-4</v>
      </c>
      <c r="F38" s="326">
        <f t="shared" si="1"/>
        <v>6.83E-2</v>
      </c>
      <c r="G38" s="331">
        <f t="shared" si="1"/>
        <v>5.0086529188633158</v>
      </c>
      <c r="H38" s="326">
        <f>347.6*1000</f>
        <v>347600</v>
      </c>
    </row>
  </sheetData>
  <mergeCells count="2">
    <mergeCell ref="B20:C20"/>
    <mergeCell ref="B28:C2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1B11D-8546-4181-83D1-C5538E90CC17}">
  <dimension ref="A1:Q53"/>
  <sheetViews>
    <sheetView topLeftCell="A19" zoomScale="60" zoomScaleNormal="60" workbookViewId="0">
      <selection activeCell="S18" sqref="S18"/>
    </sheetView>
  </sheetViews>
  <sheetFormatPr defaultRowHeight="13.2"/>
  <cols>
    <col min="3" max="3" width="27.77734375" customWidth="1"/>
    <col min="4" max="4" width="15.6640625" customWidth="1"/>
    <col min="8" max="8" width="13.109375" customWidth="1"/>
    <col min="9" max="9" width="19.5546875" customWidth="1"/>
    <col min="12" max="12" width="20.109375" customWidth="1"/>
    <col min="14" max="14" width="17.6640625" customWidth="1"/>
  </cols>
  <sheetData>
    <row r="1" spans="1:17" ht="15.6">
      <c r="A1" s="5"/>
      <c r="B1" s="5" t="s">
        <v>836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48"/>
      <c r="P1" s="148"/>
      <c r="Q1" s="148"/>
    </row>
    <row r="2" spans="1:17" ht="15.6">
      <c r="A2" s="5"/>
      <c r="B2" s="5" t="s">
        <v>837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48"/>
      <c r="P2" s="148"/>
      <c r="Q2" s="148"/>
    </row>
    <row r="3" spans="1:17" ht="15.6">
      <c r="A3" s="5"/>
      <c r="B3" s="332" t="s">
        <v>838</v>
      </c>
      <c r="C3" s="333" t="s">
        <v>135</v>
      </c>
      <c r="D3" s="334">
        <v>384.7</v>
      </c>
      <c r="E3" s="335" t="s">
        <v>839</v>
      </c>
      <c r="F3" s="5"/>
      <c r="G3" s="5"/>
      <c r="H3" s="5"/>
      <c r="I3" s="5"/>
      <c r="J3" s="5"/>
      <c r="K3" s="5"/>
      <c r="L3" s="5"/>
      <c r="M3" s="5"/>
      <c r="N3" s="5"/>
      <c r="O3" s="148"/>
      <c r="P3" s="148"/>
      <c r="Q3" s="148"/>
    </row>
    <row r="4" spans="1:17" ht="15.6">
      <c r="A4" s="5"/>
      <c r="B4" s="11" t="s">
        <v>840</v>
      </c>
      <c r="C4" s="5"/>
      <c r="D4" s="5"/>
      <c r="E4" s="148"/>
      <c r="F4" s="11" t="s">
        <v>841</v>
      </c>
      <c r="G4" s="5"/>
      <c r="H4" s="5"/>
      <c r="I4" s="5"/>
      <c r="J4" s="5"/>
      <c r="K4" s="5"/>
      <c r="L4" s="5"/>
      <c r="M4" s="5"/>
      <c r="N4" s="5"/>
      <c r="O4" s="148"/>
      <c r="P4" s="148"/>
      <c r="Q4" s="148"/>
    </row>
    <row r="5" spans="1:17" ht="15.6">
      <c r="A5" s="5"/>
      <c r="B5" s="336" t="s">
        <v>842</v>
      </c>
      <c r="C5" s="327">
        <v>0.75</v>
      </c>
      <c r="D5" s="327" t="s">
        <v>843</v>
      </c>
      <c r="E5" s="148"/>
      <c r="F5" s="336" t="s">
        <v>844</v>
      </c>
      <c r="G5" s="327">
        <v>12</v>
      </c>
      <c r="H5" s="327" t="s">
        <v>843</v>
      </c>
      <c r="I5" s="5"/>
      <c r="J5" s="5"/>
      <c r="K5" s="5"/>
      <c r="L5" s="5"/>
      <c r="M5" s="5"/>
      <c r="N5" s="5"/>
      <c r="O5" s="148"/>
      <c r="P5" s="148"/>
      <c r="Q5" s="148"/>
    </row>
    <row r="6" spans="1:17" ht="15.6">
      <c r="A6" s="5"/>
      <c r="B6" s="336" t="s">
        <v>842</v>
      </c>
      <c r="C6" s="337">
        <f>C5/39.3701</f>
        <v>1.9049989713005554E-2</v>
      </c>
      <c r="D6" s="327" t="s">
        <v>655</v>
      </c>
      <c r="E6" s="148"/>
      <c r="F6" s="336" t="s">
        <v>844</v>
      </c>
      <c r="G6" s="337">
        <f>G5/39.3701</f>
        <v>0.30479983540808886</v>
      </c>
      <c r="H6" s="327" t="s">
        <v>655</v>
      </c>
      <c r="I6" s="5"/>
      <c r="J6" s="5"/>
      <c r="K6" s="5"/>
      <c r="L6" s="5"/>
      <c r="M6" s="5"/>
      <c r="N6" s="5"/>
      <c r="O6" s="148"/>
      <c r="P6" s="148"/>
      <c r="Q6" s="148"/>
    </row>
    <row r="7" spans="1:17" ht="15.6">
      <c r="A7" s="5"/>
      <c r="B7" s="336" t="s">
        <v>845</v>
      </c>
      <c r="C7" s="327">
        <v>0.48199999999999998</v>
      </c>
      <c r="D7" s="327" t="s">
        <v>843</v>
      </c>
      <c r="E7" s="148"/>
      <c r="F7" s="148"/>
      <c r="G7" s="148"/>
      <c r="H7" s="148"/>
      <c r="I7" s="5"/>
      <c r="J7" s="5"/>
      <c r="K7" s="5"/>
      <c r="L7" s="5"/>
      <c r="M7" s="5"/>
      <c r="N7" s="5"/>
      <c r="O7" s="148"/>
      <c r="P7" s="148"/>
      <c r="Q7" s="148"/>
    </row>
    <row r="8" spans="1:17" ht="15.6">
      <c r="A8" s="5"/>
      <c r="B8" s="336" t="s">
        <v>845</v>
      </c>
      <c r="C8" s="337">
        <f>C7/39.3701</f>
        <v>1.224279338889157E-2</v>
      </c>
      <c r="D8" s="327" t="s">
        <v>655</v>
      </c>
      <c r="E8" s="148"/>
      <c r="F8" s="21"/>
      <c r="G8" s="21"/>
      <c r="H8" s="21"/>
      <c r="I8" s="5"/>
      <c r="J8" s="5"/>
      <c r="K8" s="5"/>
      <c r="L8" s="5"/>
      <c r="M8" s="5"/>
      <c r="N8" s="5"/>
      <c r="O8" s="148"/>
      <c r="P8" s="148"/>
      <c r="Q8" s="148"/>
    </row>
    <row r="9" spans="1:17" ht="15.6">
      <c r="A9" s="5"/>
      <c r="B9" s="148"/>
      <c r="C9" s="148"/>
      <c r="D9" s="148"/>
      <c r="E9" s="148"/>
      <c r="F9" s="21"/>
      <c r="G9" s="21"/>
      <c r="H9" s="21"/>
      <c r="I9" s="5"/>
      <c r="J9" s="5"/>
      <c r="K9" s="5"/>
      <c r="L9" s="5"/>
      <c r="M9" s="5"/>
      <c r="N9" s="5"/>
      <c r="O9" s="148"/>
      <c r="P9" s="148"/>
      <c r="Q9" s="148"/>
    </row>
    <row r="10" spans="1:17" ht="15.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48"/>
      <c r="P10" s="148"/>
      <c r="Q10" s="148"/>
    </row>
    <row r="11" spans="1:17" ht="15.6">
      <c r="A11" s="5"/>
      <c r="B11" s="11" t="s">
        <v>846</v>
      </c>
      <c r="C11" s="5"/>
      <c r="D11" s="5"/>
      <c r="E11" s="5"/>
      <c r="F11" s="5"/>
      <c r="G11" s="5"/>
      <c r="H11" s="5"/>
      <c r="I11" s="5"/>
      <c r="J11" s="5"/>
      <c r="K11" s="148"/>
      <c r="L11" s="11" t="s">
        <v>847</v>
      </c>
      <c r="M11" s="5"/>
      <c r="N11" s="5"/>
      <c r="O11" s="5"/>
      <c r="P11" s="148"/>
      <c r="Q11" s="148"/>
    </row>
    <row r="12" spans="1:17" ht="15.6">
      <c r="A12" s="5"/>
      <c r="B12" s="332" t="s">
        <v>848</v>
      </c>
      <c r="C12" s="333" t="s">
        <v>135</v>
      </c>
      <c r="D12" s="334">
        <v>575</v>
      </c>
      <c r="E12" s="335" t="s">
        <v>849</v>
      </c>
      <c r="F12" s="5"/>
      <c r="G12" s="124" t="s">
        <v>850</v>
      </c>
      <c r="H12" s="9"/>
      <c r="I12" s="5"/>
      <c r="J12" s="5"/>
      <c r="K12" s="148"/>
      <c r="L12" s="332" t="s">
        <v>851</v>
      </c>
      <c r="M12" s="333" t="s">
        <v>135</v>
      </c>
      <c r="N12" s="334" t="s">
        <v>852</v>
      </c>
      <c r="O12" s="338" t="s">
        <v>655</v>
      </c>
      <c r="P12" s="148"/>
      <c r="Q12" s="148"/>
    </row>
    <row r="13" spans="1:17" ht="15.6">
      <c r="A13" s="5"/>
      <c r="B13" s="332" t="s">
        <v>853</v>
      </c>
      <c r="C13" s="333" t="s">
        <v>135</v>
      </c>
      <c r="D13" s="334" t="s">
        <v>854</v>
      </c>
      <c r="E13" s="335" t="s">
        <v>736</v>
      </c>
      <c r="F13" s="5"/>
      <c r="G13" s="332" t="s">
        <v>855</v>
      </c>
      <c r="H13" s="339">
        <f>1/0.0001763</f>
        <v>5672.1497447532611</v>
      </c>
      <c r="I13" s="335" t="s">
        <v>849</v>
      </c>
      <c r="J13" s="5"/>
      <c r="K13" s="148"/>
      <c r="L13" s="332" t="s">
        <v>851</v>
      </c>
      <c r="M13" s="333" t="s">
        <v>135</v>
      </c>
      <c r="N13" s="339">
        <f>0.3*G6</f>
        <v>9.1439950622426658E-2</v>
      </c>
      <c r="O13" s="338" t="s">
        <v>655</v>
      </c>
      <c r="P13" s="148"/>
      <c r="Q13" s="148"/>
    </row>
    <row r="14" spans="1:17" ht="15.6">
      <c r="A14" s="5"/>
      <c r="B14" s="9"/>
      <c r="C14" s="9"/>
      <c r="D14" s="9"/>
      <c r="E14" s="5"/>
      <c r="F14" s="5"/>
      <c r="G14" s="332" t="s">
        <v>856</v>
      </c>
      <c r="H14" s="334">
        <v>2000</v>
      </c>
      <c r="I14" s="335" t="s">
        <v>849</v>
      </c>
      <c r="J14" s="5"/>
      <c r="K14" s="148"/>
      <c r="L14" s="9"/>
      <c r="M14" s="9"/>
      <c r="N14" s="9"/>
      <c r="O14" s="9"/>
      <c r="P14" s="148"/>
      <c r="Q14" s="148"/>
    </row>
    <row r="15" spans="1:17" ht="15.6">
      <c r="A15" s="5"/>
      <c r="B15" s="332" t="s">
        <v>857</v>
      </c>
      <c r="C15" s="333" t="s">
        <v>135</v>
      </c>
      <c r="D15" s="334" t="s">
        <v>858</v>
      </c>
      <c r="E15" s="335" t="s">
        <v>859</v>
      </c>
      <c r="F15" s="5"/>
      <c r="G15" s="5"/>
      <c r="H15" s="5"/>
      <c r="I15" s="5"/>
      <c r="J15" s="5"/>
      <c r="K15" s="148"/>
      <c r="L15" s="332" t="s">
        <v>860</v>
      </c>
      <c r="M15" s="333" t="s">
        <v>135</v>
      </c>
      <c r="N15" s="518" t="s">
        <v>861</v>
      </c>
      <c r="O15" s="519"/>
      <c r="P15" s="338" t="s">
        <v>859</v>
      </c>
      <c r="Q15" s="148"/>
    </row>
    <row r="16" spans="1:17" ht="15.6">
      <c r="A16" s="5"/>
      <c r="B16" s="332" t="s">
        <v>857</v>
      </c>
      <c r="C16" s="333" t="s">
        <v>135</v>
      </c>
      <c r="D16" s="339">
        <f>-'Heat Exchanger'!AE99/('Iteration 1 of HEX'!D12*'∆Tm Calculation'!C13)</f>
        <v>21.261410472350445</v>
      </c>
      <c r="E16" s="335" t="s">
        <v>859</v>
      </c>
      <c r="F16" s="5"/>
      <c r="G16" s="332" t="s">
        <v>631</v>
      </c>
      <c r="H16" s="333" t="s">
        <v>135</v>
      </c>
      <c r="I16" s="334" t="s">
        <v>862</v>
      </c>
      <c r="J16" s="335" t="s">
        <v>863</v>
      </c>
      <c r="K16" s="148"/>
      <c r="L16" s="332" t="s">
        <v>860</v>
      </c>
      <c r="M16" s="333" t="s">
        <v>135</v>
      </c>
      <c r="N16" s="339">
        <f>(G6*N13*(I21-C6)/I21)</f>
        <v>6.9677204748598565E-3</v>
      </c>
      <c r="O16" s="338" t="s">
        <v>859</v>
      </c>
      <c r="P16" s="148"/>
      <c r="Q16" s="148"/>
    </row>
    <row r="17" spans="1:17" ht="15.6">
      <c r="A17" s="5"/>
      <c r="B17" s="9"/>
      <c r="C17" s="9"/>
      <c r="D17" s="9"/>
      <c r="E17" s="5"/>
      <c r="F17" s="5"/>
      <c r="G17" s="332" t="s">
        <v>631</v>
      </c>
      <c r="H17" s="333" t="s">
        <v>135</v>
      </c>
      <c r="I17" s="340">
        <f>LN(C5/C7)/(2*PI()*D3*D19)</f>
        <v>3.0005584678857994E-5</v>
      </c>
      <c r="J17" s="335" t="s">
        <v>863</v>
      </c>
      <c r="K17" s="148"/>
      <c r="L17" s="5"/>
      <c r="M17" s="5"/>
      <c r="N17" s="5"/>
      <c r="O17" s="5"/>
      <c r="P17" s="148"/>
      <c r="Q17" s="148"/>
    </row>
    <row r="18" spans="1:17" ht="15.6">
      <c r="A18" s="5"/>
      <c r="B18" s="332" t="s">
        <v>864</v>
      </c>
      <c r="C18" s="333" t="s">
        <v>135</v>
      </c>
      <c r="D18" s="334">
        <v>20</v>
      </c>
      <c r="E18" s="335" t="s">
        <v>865</v>
      </c>
      <c r="F18" s="5"/>
      <c r="G18" s="9"/>
      <c r="H18" s="9"/>
      <c r="I18" s="9"/>
      <c r="J18" s="5"/>
      <c r="K18" s="148"/>
      <c r="L18" s="5"/>
      <c r="M18" s="5"/>
      <c r="N18" s="5"/>
      <c r="O18" s="5"/>
      <c r="P18" s="148"/>
      <c r="Q18" s="148"/>
    </row>
    <row r="19" spans="1:17" ht="15.6">
      <c r="A19" s="5"/>
      <c r="B19" s="332" t="s">
        <v>864</v>
      </c>
      <c r="C19" s="333" t="s">
        <v>135</v>
      </c>
      <c r="D19" s="339">
        <f>D18/3.28084</f>
        <v>6.095999804928006</v>
      </c>
      <c r="E19" s="335" t="s">
        <v>655</v>
      </c>
      <c r="F19" s="5"/>
      <c r="G19" s="332" t="s">
        <v>866</v>
      </c>
      <c r="H19" s="333" t="s">
        <v>135</v>
      </c>
      <c r="I19" s="334">
        <v>4</v>
      </c>
      <c r="J19" s="5"/>
      <c r="K19" s="148"/>
      <c r="L19" s="5"/>
      <c r="M19" s="5"/>
      <c r="N19" s="5"/>
      <c r="O19" s="5"/>
      <c r="P19" s="148"/>
      <c r="Q19" s="148"/>
    </row>
    <row r="20" spans="1:17" ht="15.6">
      <c r="A20" s="5"/>
      <c r="B20" s="9"/>
      <c r="C20" s="9"/>
      <c r="D20" s="9"/>
      <c r="E20" s="5"/>
      <c r="F20" s="5"/>
      <c r="G20" s="332" t="s">
        <v>867</v>
      </c>
      <c r="H20" s="333" t="s">
        <v>135</v>
      </c>
      <c r="I20" s="334">
        <v>1</v>
      </c>
      <c r="J20" s="335" t="s">
        <v>843</v>
      </c>
      <c r="K20" s="148"/>
      <c r="L20" s="332" t="s">
        <v>868</v>
      </c>
      <c r="M20" s="333" t="s">
        <v>135</v>
      </c>
      <c r="N20" s="339">
        <f>(3.46*I21^2)/(PI()*C6)-C6</f>
        <v>1.8249118195311193E-2</v>
      </c>
      <c r="O20" s="335" t="s">
        <v>655</v>
      </c>
      <c r="P20" s="148"/>
      <c r="Q20" s="148"/>
    </row>
    <row r="21" spans="1:17" ht="15.6">
      <c r="A21" s="5"/>
      <c r="B21" s="332" t="s">
        <v>869</v>
      </c>
      <c r="C21" s="333" t="s">
        <v>135</v>
      </c>
      <c r="D21" s="334" t="s">
        <v>870</v>
      </c>
      <c r="E21" s="335" t="s">
        <v>859</v>
      </c>
      <c r="F21" s="5"/>
      <c r="G21" s="332" t="s">
        <v>867</v>
      </c>
      <c r="H21" s="333" t="s">
        <v>135</v>
      </c>
      <c r="I21" s="341">
        <f>I20/39.3701</f>
        <v>2.5399986284007407E-2</v>
      </c>
      <c r="J21" s="335" t="s">
        <v>655</v>
      </c>
      <c r="K21" s="148"/>
      <c r="L21" s="9"/>
      <c r="M21" s="9"/>
      <c r="N21" s="9"/>
      <c r="O21" s="5"/>
      <c r="P21" s="148"/>
      <c r="Q21" s="148"/>
    </row>
    <row r="22" spans="1:17" ht="15.6">
      <c r="A22" s="5"/>
      <c r="B22" s="332" t="s">
        <v>869</v>
      </c>
      <c r="C22" s="333" t="s">
        <v>135</v>
      </c>
      <c r="D22" s="339">
        <f>PI()*C6*D19</f>
        <v>0.36482917626790318</v>
      </c>
      <c r="E22" s="335" t="s">
        <v>859</v>
      </c>
      <c r="F22" s="5"/>
      <c r="G22" s="9"/>
      <c r="H22" s="9"/>
      <c r="I22" s="9"/>
      <c r="J22" s="5"/>
      <c r="K22" s="148"/>
      <c r="L22" s="332" t="s">
        <v>871</v>
      </c>
      <c r="M22" s="333" t="s">
        <v>135</v>
      </c>
      <c r="N22" s="334" t="s">
        <v>872</v>
      </c>
      <c r="P22" s="148"/>
      <c r="Q22" s="148"/>
    </row>
    <row r="23" spans="1:17" ht="15.6">
      <c r="A23" s="5"/>
      <c r="B23" s="9"/>
      <c r="C23" s="9"/>
      <c r="D23" s="9"/>
      <c r="E23" s="5"/>
      <c r="F23" s="5"/>
      <c r="G23" s="95"/>
      <c r="H23" s="9"/>
      <c r="I23" s="9"/>
      <c r="J23" s="5"/>
      <c r="K23" s="148"/>
      <c r="L23" s="332" t="s">
        <v>871</v>
      </c>
      <c r="M23" s="333" t="s">
        <v>135</v>
      </c>
      <c r="N23" s="339">
        <f>'Heat Exchanger'!AE100/('∆Tm Calculation'!C34*N16)</f>
        <v>0.57969360601366782</v>
      </c>
      <c r="P23" s="148"/>
      <c r="Q23" s="148"/>
    </row>
    <row r="24" spans="1:17" ht="15.6">
      <c r="A24" s="5"/>
      <c r="B24" s="332" t="s">
        <v>873</v>
      </c>
      <c r="C24" s="333" t="s">
        <v>135</v>
      </c>
      <c r="D24" s="334" t="s">
        <v>874</v>
      </c>
      <c r="E24" s="5"/>
      <c r="F24" s="5"/>
      <c r="G24" s="5"/>
      <c r="H24" s="5"/>
      <c r="I24" s="5"/>
      <c r="J24" s="5"/>
      <c r="K24" s="148"/>
      <c r="P24" s="148"/>
      <c r="Q24" s="148"/>
    </row>
    <row r="25" spans="1:17" ht="15.6">
      <c r="A25" s="5"/>
      <c r="B25" s="332" t="s">
        <v>873</v>
      </c>
      <c r="C25" s="333" t="s">
        <v>135</v>
      </c>
      <c r="D25" s="339">
        <f>D16/D22</f>
        <v>58.2777142164136</v>
      </c>
      <c r="E25" s="5"/>
      <c r="F25" s="5"/>
      <c r="G25" s="5"/>
      <c r="H25" s="5"/>
      <c r="I25" s="5"/>
      <c r="J25" s="5"/>
      <c r="K25" s="148"/>
      <c r="L25" s="332" t="s">
        <v>875</v>
      </c>
      <c r="M25" s="333" t="s">
        <v>135</v>
      </c>
      <c r="N25" s="334" t="s">
        <v>876</v>
      </c>
      <c r="O25" s="5"/>
      <c r="P25" s="148"/>
      <c r="Q25" s="148"/>
    </row>
    <row r="26" spans="1:17" ht="15.6">
      <c r="A26" s="5"/>
      <c r="B26" s="332" t="s">
        <v>873</v>
      </c>
      <c r="C26" s="333" t="s">
        <v>135</v>
      </c>
      <c r="D26" s="342">
        <f>ROUNDUP(D25,0)</f>
        <v>59</v>
      </c>
      <c r="E26" s="5"/>
      <c r="F26" s="5"/>
      <c r="G26" s="5"/>
      <c r="H26" s="5"/>
      <c r="I26" s="5"/>
      <c r="J26" s="5"/>
      <c r="K26" s="148"/>
      <c r="L26" s="332" t="s">
        <v>875</v>
      </c>
      <c r="M26" s="333" t="s">
        <v>135</v>
      </c>
      <c r="N26" s="339">
        <f>('Heat Exchanger'!AE100*N20)/('∆Tm Calculation'!E34*N16)</f>
        <v>43583.224157820667</v>
      </c>
      <c r="O26" s="5"/>
      <c r="P26" s="148"/>
      <c r="Q26" s="148"/>
    </row>
    <row r="27" spans="1:17" ht="15.6">
      <c r="A27" s="5"/>
      <c r="B27" s="9"/>
      <c r="C27" s="9"/>
      <c r="D27" s="9"/>
      <c r="E27" s="5" t="s">
        <v>410</v>
      </c>
      <c r="F27" s="5"/>
      <c r="G27" s="5"/>
      <c r="H27" s="5"/>
      <c r="I27" s="5"/>
      <c r="J27" s="5"/>
      <c r="K27" s="148"/>
      <c r="L27" s="148"/>
      <c r="M27" s="148"/>
      <c r="N27" s="148"/>
      <c r="O27" s="148"/>
      <c r="P27" s="148"/>
      <c r="Q27" s="148"/>
    </row>
    <row r="28" spans="1:17" ht="15.6">
      <c r="A28" s="5"/>
      <c r="B28" s="332" t="s">
        <v>877</v>
      </c>
      <c r="C28" s="333" t="s">
        <v>135</v>
      </c>
      <c r="D28" s="334" t="s">
        <v>878</v>
      </c>
      <c r="E28" s="335" t="s">
        <v>859</v>
      </c>
      <c r="F28" s="5"/>
      <c r="G28" s="5"/>
      <c r="H28" s="5"/>
      <c r="I28" s="5"/>
      <c r="J28" s="5"/>
      <c r="K28" s="148"/>
      <c r="L28" s="148"/>
      <c r="M28" s="148"/>
      <c r="N28" s="148"/>
      <c r="O28" s="148"/>
      <c r="P28" s="148"/>
      <c r="Q28" s="148"/>
    </row>
    <row r="29" spans="1:17" ht="15.6">
      <c r="A29" s="5"/>
      <c r="B29" s="332" t="s">
        <v>877</v>
      </c>
      <c r="C29" s="333" t="s">
        <v>135</v>
      </c>
      <c r="D29" s="339">
        <f>PI()*C6*D19*D26</f>
        <v>21.524921399806288</v>
      </c>
      <c r="E29" s="335" t="s">
        <v>859</v>
      </c>
      <c r="F29" s="5"/>
      <c r="G29" s="5"/>
      <c r="H29" s="5"/>
      <c r="I29" s="5"/>
      <c r="J29" s="5"/>
      <c r="K29" s="148"/>
      <c r="L29" s="148"/>
      <c r="M29" s="148"/>
      <c r="N29" s="148"/>
      <c r="O29" s="148"/>
      <c r="P29" s="148"/>
      <c r="Q29" s="148"/>
    </row>
    <row r="30" spans="1:17" ht="15.6">
      <c r="A30" s="5"/>
      <c r="B30" s="9"/>
      <c r="C30" s="9"/>
      <c r="D30" s="9"/>
      <c r="E30" s="5"/>
      <c r="F30" s="5"/>
      <c r="G30" s="5"/>
      <c r="H30" s="5"/>
      <c r="I30" s="5"/>
      <c r="J30" s="5"/>
      <c r="K30" s="148"/>
      <c r="L30" s="5"/>
      <c r="M30" s="5"/>
      <c r="N30" s="5"/>
      <c r="O30" s="5"/>
      <c r="P30" s="148"/>
      <c r="Q30" s="148"/>
    </row>
    <row r="31" spans="1:17" ht="15.6">
      <c r="A31" s="5"/>
      <c r="B31" s="332" t="s">
        <v>879</v>
      </c>
      <c r="C31" s="333" t="s">
        <v>135</v>
      </c>
      <c r="D31" s="334" t="s">
        <v>880</v>
      </c>
      <c r="E31" s="335" t="s">
        <v>859</v>
      </c>
      <c r="F31" s="5"/>
      <c r="G31" s="5"/>
      <c r="H31" s="5"/>
      <c r="I31" s="5"/>
      <c r="J31" s="5"/>
      <c r="K31" s="148"/>
      <c r="L31" s="332" t="s">
        <v>881</v>
      </c>
      <c r="M31" s="333" t="s">
        <v>135</v>
      </c>
      <c r="N31" s="339">
        <f>0.36*N26^0.55*'∆Tm Calculation'!G34^(1/3)*('∆Tm Calculation'!F34/N20)</f>
        <v>1915.803227306337</v>
      </c>
      <c r="O31" s="335" t="s">
        <v>849</v>
      </c>
      <c r="P31" s="148"/>
      <c r="Q31" s="148"/>
    </row>
    <row r="32" spans="1:17" ht="15.6">
      <c r="A32" s="5"/>
      <c r="B32" s="332" t="s">
        <v>879</v>
      </c>
      <c r="C32" s="333" t="s">
        <v>135</v>
      </c>
      <c r="D32" s="339">
        <f>PI()*C8*D19*D26</f>
        <v>13.833349486275509</v>
      </c>
      <c r="E32" s="335" t="s">
        <v>859</v>
      </c>
      <c r="F32" s="5"/>
      <c r="G32" s="5"/>
      <c r="H32" s="5"/>
      <c r="I32" s="5"/>
      <c r="J32" s="5"/>
      <c r="K32" s="148"/>
      <c r="L32" s="9"/>
      <c r="M32" s="9"/>
      <c r="N32" s="9"/>
      <c r="O32" s="5"/>
      <c r="P32" s="148"/>
      <c r="Q32" s="148"/>
    </row>
    <row r="33" spans="1:17" ht="15.6">
      <c r="A33" s="5"/>
      <c r="B33" s="9"/>
      <c r="C33" s="9"/>
      <c r="D33" s="9"/>
      <c r="E33" s="5"/>
      <c r="F33" s="5"/>
      <c r="G33" s="5"/>
      <c r="H33" s="5"/>
      <c r="I33" s="5"/>
      <c r="J33" s="5"/>
      <c r="K33" s="148"/>
      <c r="L33" s="332" t="s">
        <v>882</v>
      </c>
      <c r="M33" s="333" t="s">
        <v>135</v>
      </c>
      <c r="N33" s="339">
        <f>1/(1/N31+1/H14+((D29*I17/D26)+(D29/D32)*(1/H13+1/D47)))</f>
        <v>670.29422234154197</v>
      </c>
      <c r="O33" s="335" t="s">
        <v>849</v>
      </c>
      <c r="P33" s="148"/>
      <c r="Q33" s="148"/>
    </row>
    <row r="34" spans="1:17" ht="15.6">
      <c r="A34" s="5"/>
      <c r="B34" s="332" t="s">
        <v>883</v>
      </c>
      <c r="C34" s="333" t="s">
        <v>135</v>
      </c>
      <c r="D34" s="334" t="s">
        <v>884</v>
      </c>
      <c r="E34" s="335" t="s">
        <v>859</v>
      </c>
      <c r="F34" s="5"/>
      <c r="G34" s="5"/>
      <c r="H34" s="5"/>
      <c r="I34" s="5"/>
      <c r="J34" s="5"/>
      <c r="K34" s="9"/>
      <c r="L34" s="148"/>
      <c r="M34" s="148"/>
      <c r="N34" s="148"/>
      <c r="O34" s="148"/>
      <c r="P34" s="148"/>
      <c r="Q34" s="148"/>
    </row>
    <row r="35" spans="1:17" ht="15.6">
      <c r="A35" s="5"/>
      <c r="B35" s="332" t="s">
        <v>883</v>
      </c>
      <c r="C35" s="333" t="s">
        <v>135</v>
      </c>
      <c r="D35" s="339">
        <f>(PI()*C8^2*D26)/(4*I19)</f>
        <v>1.7363726732312508E-3</v>
      </c>
      <c r="E35" s="335" t="s">
        <v>859</v>
      </c>
      <c r="F35" s="5"/>
      <c r="G35" s="5"/>
      <c r="H35" s="5"/>
      <c r="I35" s="5"/>
      <c r="J35" s="5"/>
      <c r="K35" s="9"/>
      <c r="L35" s="336" t="s">
        <v>885</v>
      </c>
      <c r="M35" s="343" t="s">
        <v>135</v>
      </c>
      <c r="N35" s="337">
        <f>ABS((N33-D12)/D12*100)</f>
        <v>16.572908233311647</v>
      </c>
      <c r="O35" s="335" t="s">
        <v>886</v>
      </c>
      <c r="P35" s="148"/>
      <c r="Q35" s="148"/>
    </row>
    <row r="36" spans="1:17" ht="15.6">
      <c r="A36" s="5"/>
      <c r="B36" s="9"/>
      <c r="C36" s="9"/>
      <c r="D36" s="9"/>
      <c r="E36" s="5"/>
      <c r="F36" s="5"/>
      <c r="G36" s="5"/>
      <c r="H36" s="5"/>
      <c r="I36" s="5"/>
      <c r="J36" s="5"/>
      <c r="K36" s="9"/>
      <c r="L36" s="9"/>
      <c r="M36" s="96"/>
      <c r="N36" s="5"/>
      <c r="O36" s="148"/>
      <c r="P36" s="148"/>
      <c r="Q36" s="148"/>
    </row>
    <row r="37" spans="1:17" ht="15.6">
      <c r="A37" s="5"/>
      <c r="B37" s="332" t="s">
        <v>887</v>
      </c>
      <c r="C37" s="333" t="s">
        <v>135</v>
      </c>
      <c r="D37" s="334" t="s">
        <v>888</v>
      </c>
      <c r="E37" s="335" t="s">
        <v>761</v>
      </c>
      <c r="F37" s="5"/>
      <c r="G37" s="5"/>
      <c r="H37" s="5"/>
      <c r="I37" s="5"/>
      <c r="J37" s="5"/>
      <c r="K37" s="9"/>
      <c r="L37" s="9"/>
      <c r="M37" s="96"/>
      <c r="N37" s="5"/>
      <c r="O37" s="148"/>
      <c r="P37" s="148"/>
      <c r="Q37" s="148"/>
    </row>
    <row r="38" spans="1:17" ht="15.6">
      <c r="A38" s="5"/>
      <c r="B38" s="332" t="s">
        <v>887</v>
      </c>
      <c r="C38" s="333" t="s">
        <v>135</v>
      </c>
      <c r="D38" s="339">
        <f>'Heat Exchanger'!AE104/((PI()*C8^2)/4*'∆Tm Calculation'!C38)*(I19/D26)</f>
        <v>23.793599792471301</v>
      </c>
      <c r="E38" s="335" t="s">
        <v>761</v>
      </c>
      <c r="F38" s="5"/>
      <c r="G38" s="5"/>
      <c r="H38" s="5"/>
      <c r="I38" s="5"/>
      <c r="J38" s="5"/>
      <c r="K38" s="9"/>
      <c r="L38" s="9"/>
      <c r="M38" s="96"/>
      <c r="N38" s="5"/>
      <c r="O38" s="148"/>
      <c r="P38" s="148"/>
      <c r="Q38" s="148"/>
    </row>
    <row r="39" spans="1:17" ht="15.6">
      <c r="A39" s="5"/>
      <c r="B39" s="9"/>
      <c r="C39" s="9"/>
      <c r="D39" s="9"/>
      <c r="E39" s="5"/>
      <c r="F39" s="5"/>
      <c r="G39" s="5"/>
      <c r="H39" s="5"/>
      <c r="I39" s="5"/>
      <c r="J39" s="5"/>
      <c r="K39" s="9"/>
      <c r="L39" s="9"/>
      <c r="M39" s="96"/>
      <c r="N39" s="5"/>
      <c r="O39" s="148"/>
      <c r="P39" s="148"/>
      <c r="Q39" s="148"/>
    </row>
    <row r="40" spans="1:17" ht="15.6">
      <c r="A40" s="5"/>
      <c r="B40" s="332" t="s">
        <v>889</v>
      </c>
      <c r="C40" s="333" t="s">
        <v>135</v>
      </c>
      <c r="D40" s="334" t="s">
        <v>890</v>
      </c>
      <c r="E40" s="5"/>
      <c r="F40" s="5"/>
      <c r="G40" s="5"/>
      <c r="H40" s="5"/>
      <c r="I40" s="5"/>
      <c r="J40" s="5"/>
      <c r="K40" s="148"/>
      <c r="L40" s="148"/>
      <c r="M40" s="148"/>
      <c r="N40" s="148"/>
      <c r="O40" s="148"/>
      <c r="P40" s="148"/>
      <c r="Q40" s="148"/>
    </row>
    <row r="41" spans="1:17" ht="15.6">
      <c r="A41" s="5"/>
      <c r="B41" s="332" t="s">
        <v>889</v>
      </c>
      <c r="C41" s="333" t="s">
        <v>135</v>
      </c>
      <c r="D41" s="339">
        <f>(C8*D38*'∆Tm Calculation'!C38/'∆Tm Calculation'!E38)</f>
        <v>469817.28565461602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148"/>
      <c r="P41" s="148"/>
      <c r="Q41" s="148"/>
    </row>
    <row r="42" spans="1:17" ht="15.6">
      <c r="A42" s="5"/>
      <c r="B42" s="9"/>
      <c r="C42" s="9"/>
      <c r="D42" s="9"/>
      <c r="E42" s="5"/>
      <c r="F42" s="5"/>
      <c r="G42" s="5"/>
      <c r="H42" s="5"/>
      <c r="I42" s="5"/>
      <c r="J42" s="5"/>
      <c r="K42" s="5"/>
      <c r="L42" s="5"/>
      <c r="M42" s="5"/>
      <c r="N42" s="5"/>
      <c r="O42" s="148"/>
      <c r="P42" s="148"/>
      <c r="Q42" s="148"/>
    </row>
    <row r="43" spans="1:17" ht="15.6">
      <c r="A43" s="5"/>
      <c r="B43" s="419" t="s">
        <v>891</v>
      </c>
      <c r="C43" s="445"/>
      <c r="D43" s="9"/>
      <c r="E43" s="5"/>
      <c r="F43" s="5"/>
      <c r="G43" s="5"/>
      <c r="H43" s="5"/>
      <c r="I43" s="5"/>
      <c r="J43" s="5"/>
      <c r="K43" s="5"/>
      <c r="L43" s="5"/>
      <c r="M43" s="5"/>
      <c r="N43" s="5"/>
      <c r="O43" s="148"/>
      <c r="P43" s="148"/>
      <c r="Q43" s="148"/>
    </row>
    <row r="44" spans="1:17" ht="15.6">
      <c r="A44" s="5"/>
      <c r="B44" s="9"/>
      <c r="C44" s="9"/>
      <c r="D44" s="9"/>
      <c r="E44" s="5"/>
      <c r="F44" s="5"/>
      <c r="G44" s="5"/>
      <c r="H44" s="5"/>
      <c r="I44" s="5"/>
      <c r="J44" s="5"/>
      <c r="K44" s="5"/>
      <c r="L44" s="5"/>
      <c r="M44" s="5"/>
      <c r="N44" s="5"/>
      <c r="O44" s="148"/>
      <c r="P44" s="148"/>
      <c r="Q44" s="148"/>
    </row>
    <row r="45" spans="1:17" ht="15.6">
      <c r="A45" s="5"/>
      <c r="B45" s="9"/>
      <c r="C45" s="9"/>
      <c r="D45" s="9"/>
      <c r="E45" s="5"/>
      <c r="F45" s="5"/>
      <c r="G45" s="5"/>
      <c r="H45" s="5"/>
      <c r="I45" s="5"/>
      <c r="J45" s="5"/>
      <c r="K45" s="5"/>
      <c r="L45" s="5"/>
      <c r="M45" s="5"/>
      <c r="N45" s="5"/>
      <c r="O45" s="148"/>
      <c r="P45" s="148"/>
      <c r="Q45" s="148"/>
    </row>
    <row r="46" spans="1:17" ht="15.6">
      <c r="A46" s="5"/>
      <c r="B46" s="9"/>
      <c r="C46" s="9"/>
      <c r="D46" s="9"/>
      <c r="E46" s="5"/>
      <c r="F46" s="5"/>
      <c r="G46" s="5"/>
      <c r="H46" s="5"/>
      <c r="I46" s="5"/>
      <c r="J46" s="5"/>
      <c r="K46" s="5"/>
      <c r="L46" s="5"/>
      <c r="M46" s="5"/>
      <c r="N46" s="5"/>
      <c r="O46" s="148"/>
      <c r="P46" s="148"/>
      <c r="Q46" s="148"/>
    </row>
    <row r="47" spans="1:17" ht="15.6">
      <c r="A47" s="5"/>
      <c r="B47" s="344" t="s">
        <v>892</v>
      </c>
      <c r="C47" s="345" t="s">
        <v>135</v>
      </c>
      <c r="D47" s="346">
        <f>0.023*D41^0.8*'∆Tm Calculation'!G38^0.4*'∆Tm Calculation'!F38/C8</f>
        <v>8427.5160362977131</v>
      </c>
      <c r="E47" s="347" t="s">
        <v>849</v>
      </c>
      <c r="F47" s="5"/>
      <c r="G47" s="5"/>
      <c r="H47" s="5"/>
      <c r="I47" s="5"/>
      <c r="J47" s="5"/>
      <c r="K47" s="5"/>
      <c r="L47" s="5"/>
      <c r="M47" s="5"/>
      <c r="N47" s="5"/>
      <c r="O47" s="148"/>
      <c r="P47" s="148"/>
      <c r="Q47" s="148"/>
    </row>
    <row r="48" spans="1:17" ht="15.6">
      <c r="A48" s="5"/>
      <c r="B48" s="148"/>
      <c r="C48" s="148"/>
      <c r="D48" s="148"/>
      <c r="E48" s="148"/>
      <c r="F48" s="5"/>
      <c r="G48" s="5"/>
      <c r="H48" s="5"/>
      <c r="I48" s="5"/>
      <c r="J48" s="5"/>
      <c r="K48" s="5"/>
      <c r="L48" s="5"/>
      <c r="M48" s="5"/>
      <c r="N48" s="5"/>
      <c r="O48" s="148"/>
      <c r="P48" s="148"/>
      <c r="Q48" s="148"/>
    </row>
    <row r="49" spans="1:17" ht="15.6">
      <c r="A49" s="5"/>
      <c r="B49" s="9"/>
      <c r="C49" s="9"/>
      <c r="D49" s="9"/>
      <c r="E49" s="5"/>
      <c r="F49" s="5"/>
      <c r="G49" s="5"/>
      <c r="H49" s="5"/>
      <c r="I49" s="5"/>
      <c r="J49" s="5"/>
      <c r="K49" s="5"/>
      <c r="L49" s="5"/>
      <c r="M49" s="5"/>
      <c r="N49" s="5"/>
      <c r="O49" s="148"/>
      <c r="P49" s="148"/>
      <c r="Q49" s="148"/>
    </row>
    <row r="50" spans="1:17" ht="15.6">
      <c r="A50" s="5"/>
      <c r="B50" s="148"/>
      <c r="C50" s="148"/>
      <c r="D50" s="148"/>
      <c r="E50" s="148"/>
      <c r="F50" s="5"/>
      <c r="G50" s="5"/>
      <c r="H50" s="5"/>
      <c r="I50" s="5"/>
      <c r="J50" s="5"/>
      <c r="K50" s="5"/>
      <c r="L50" s="5"/>
      <c r="M50" s="5"/>
      <c r="N50" s="5"/>
      <c r="O50" s="148"/>
      <c r="P50" s="148"/>
      <c r="Q50" s="148"/>
    </row>
    <row r="51" spans="1:17" ht="15.6">
      <c r="A51" s="5"/>
      <c r="B51" s="148"/>
      <c r="C51" s="148"/>
      <c r="D51" s="148"/>
      <c r="E51" s="148"/>
      <c r="F51" s="5"/>
      <c r="G51" s="5"/>
      <c r="H51" s="5"/>
      <c r="I51" s="5"/>
      <c r="J51" s="5"/>
      <c r="K51" s="5"/>
      <c r="L51" s="5"/>
      <c r="M51" s="5"/>
      <c r="N51" s="5"/>
      <c r="O51" s="148"/>
      <c r="P51" s="148"/>
      <c r="Q51" s="148"/>
    </row>
    <row r="52" spans="1:17" ht="15.6">
      <c r="A52" s="5"/>
      <c r="B52" s="148"/>
      <c r="C52" s="148"/>
      <c r="D52" s="148"/>
      <c r="E52" s="148"/>
      <c r="F52" s="5"/>
      <c r="G52" s="5"/>
      <c r="H52" s="5"/>
      <c r="I52" s="5"/>
      <c r="J52" s="5"/>
      <c r="K52" s="5"/>
      <c r="L52" s="5"/>
      <c r="M52" s="5"/>
      <c r="N52" s="5"/>
      <c r="O52" s="148"/>
      <c r="P52" s="148"/>
      <c r="Q52" s="148"/>
    </row>
    <row r="53" spans="1:17" ht="15.6">
      <c r="A53" s="5"/>
      <c r="B53" s="148"/>
      <c r="C53" s="148"/>
      <c r="D53" s="148"/>
      <c r="E53" s="148"/>
      <c r="F53" s="5"/>
      <c r="G53" s="5"/>
      <c r="H53" s="5"/>
      <c r="I53" s="5"/>
      <c r="J53" s="5"/>
      <c r="K53" s="5"/>
      <c r="L53" s="5"/>
      <c r="M53" s="5"/>
      <c r="N53" s="5"/>
      <c r="O53" s="148"/>
      <c r="P53" s="148"/>
      <c r="Q53" s="148"/>
    </row>
  </sheetData>
  <mergeCells count="2">
    <mergeCell ref="N15:O15"/>
    <mergeCell ref="B43:C4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E8A7D-FB71-4A6D-B71D-E4733D79647C}">
  <dimension ref="A1:Q51"/>
  <sheetViews>
    <sheetView topLeftCell="A25" zoomScale="60" zoomScaleNormal="60" workbookViewId="0">
      <selection activeCell="N35" sqref="N35"/>
    </sheetView>
  </sheetViews>
  <sheetFormatPr defaultRowHeight="13.2"/>
  <cols>
    <col min="3" max="3" width="26.6640625" customWidth="1"/>
    <col min="4" max="4" width="17.5546875" customWidth="1"/>
    <col min="8" max="8" width="12.44140625" customWidth="1"/>
    <col min="9" max="9" width="14.88671875" customWidth="1"/>
    <col min="12" max="12" width="20.5546875" customWidth="1"/>
    <col min="14" max="14" width="15" customWidth="1"/>
  </cols>
  <sheetData>
    <row r="1" spans="1:17" ht="15.6">
      <c r="A1" s="5"/>
      <c r="B1" s="5" t="s">
        <v>836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48"/>
      <c r="P1" s="148"/>
      <c r="Q1" s="148"/>
    </row>
    <row r="2" spans="1:17" ht="15.6">
      <c r="A2" s="5"/>
      <c r="B2" s="5" t="s">
        <v>837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48"/>
      <c r="P2" s="148"/>
      <c r="Q2" s="148"/>
    </row>
    <row r="3" spans="1:17" ht="15.6">
      <c r="A3" s="5"/>
      <c r="B3" s="332" t="s">
        <v>838</v>
      </c>
      <c r="C3" s="333" t="s">
        <v>135</v>
      </c>
      <c r="D3" s="334">
        <v>384.7</v>
      </c>
      <c r="E3" s="335" t="s">
        <v>839</v>
      </c>
      <c r="F3" s="5"/>
      <c r="G3" s="5"/>
      <c r="H3" s="5"/>
      <c r="I3" s="5"/>
      <c r="J3" s="5"/>
      <c r="K3" s="5"/>
      <c r="L3" s="5"/>
      <c r="M3" s="5"/>
      <c r="N3" s="5"/>
      <c r="O3" s="148"/>
      <c r="P3" s="148"/>
      <c r="Q3" s="148"/>
    </row>
    <row r="4" spans="1:17" ht="15.6">
      <c r="A4" s="5"/>
      <c r="B4" s="11" t="s">
        <v>840</v>
      </c>
      <c r="C4" s="5"/>
      <c r="D4" s="5"/>
      <c r="E4" s="148"/>
      <c r="F4" s="11" t="s">
        <v>841</v>
      </c>
      <c r="G4" s="5"/>
      <c r="H4" s="5"/>
      <c r="I4" s="5"/>
      <c r="J4" s="5"/>
      <c r="K4" s="5"/>
      <c r="L4" s="5"/>
      <c r="M4" s="5"/>
      <c r="N4" s="5"/>
      <c r="O4" s="148"/>
      <c r="P4" s="148"/>
      <c r="Q4" s="148"/>
    </row>
    <row r="5" spans="1:17" ht="15.6">
      <c r="A5" s="5"/>
      <c r="B5" s="336" t="s">
        <v>842</v>
      </c>
      <c r="C5" s="327">
        <v>0.75</v>
      </c>
      <c r="D5" s="327" t="s">
        <v>843</v>
      </c>
      <c r="E5" s="148"/>
      <c r="F5" s="336" t="s">
        <v>844</v>
      </c>
      <c r="G5" s="327">
        <v>12</v>
      </c>
      <c r="H5" s="327" t="s">
        <v>843</v>
      </c>
      <c r="I5" s="5"/>
      <c r="J5" s="5"/>
      <c r="K5" s="5"/>
      <c r="L5" s="5"/>
      <c r="M5" s="5"/>
      <c r="N5" s="5"/>
      <c r="O5" s="148"/>
      <c r="P5" s="148"/>
      <c r="Q5" s="148"/>
    </row>
    <row r="6" spans="1:17" ht="15.6">
      <c r="A6" s="5"/>
      <c r="B6" s="336" t="s">
        <v>842</v>
      </c>
      <c r="C6" s="337">
        <f>C5/39.3701</f>
        <v>1.9049989713005554E-2</v>
      </c>
      <c r="D6" s="327" t="s">
        <v>655</v>
      </c>
      <c r="E6" s="148"/>
      <c r="F6" s="336" t="s">
        <v>844</v>
      </c>
      <c r="G6" s="337">
        <f>G5/39.3701</f>
        <v>0.30479983540808886</v>
      </c>
      <c r="H6" s="327" t="s">
        <v>655</v>
      </c>
      <c r="I6" s="5"/>
      <c r="J6" s="5"/>
      <c r="K6" s="5"/>
      <c r="L6" s="5"/>
      <c r="M6" s="5"/>
      <c r="N6" s="5"/>
      <c r="O6" s="148"/>
      <c r="P6" s="148"/>
      <c r="Q6" s="148"/>
    </row>
    <row r="7" spans="1:17" ht="15.6">
      <c r="A7" s="5"/>
      <c r="B7" s="336" t="s">
        <v>845</v>
      </c>
      <c r="C7" s="327">
        <v>0.48199999999999998</v>
      </c>
      <c r="D7" s="327" t="s">
        <v>843</v>
      </c>
      <c r="E7" s="148"/>
      <c r="F7" s="148"/>
      <c r="G7" s="148"/>
      <c r="H7" s="148"/>
      <c r="I7" s="5"/>
      <c r="J7" s="5"/>
      <c r="K7" s="5"/>
      <c r="L7" s="5"/>
      <c r="M7" s="5"/>
      <c r="N7" s="5"/>
      <c r="O7" s="148"/>
      <c r="P7" s="148"/>
      <c r="Q7" s="148"/>
    </row>
    <row r="8" spans="1:17" ht="15.6">
      <c r="A8" s="5"/>
      <c r="B8" s="336" t="s">
        <v>845</v>
      </c>
      <c r="C8" s="337">
        <f>C7/39.3701</f>
        <v>1.224279338889157E-2</v>
      </c>
      <c r="D8" s="327" t="s">
        <v>655</v>
      </c>
      <c r="E8" s="148"/>
      <c r="F8" s="21"/>
      <c r="G8" s="21"/>
      <c r="H8" s="21"/>
      <c r="I8" s="5"/>
      <c r="J8" s="5"/>
      <c r="K8" s="5"/>
      <c r="L8" s="5"/>
      <c r="M8" s="5"/>
      <c r="N8" s="5"/>
      <c r="O8" s="148"/>
      <c r="P8" s="148"/>
      <c r="Q8" s="148"/>
    </row>
    <row r="9" spans="1:17" ht="15.6">
      <c r="A9" s="5"/>
      <c r="B9" s="148"/>
      <c r="C9" s="148"/>
      <c r="D9" s="148"/>
      <c r="E9" s="148"/>
      <c r="F9" s="21"/>
      <c r="G9" s="21"/>
      <c r="H9" s="21"/>
      <c r="I9" s="5"/>
      <c r="J9" s="5"/>
      <c r="K9" s="5"/>
      <c r="L9" s="5"/>
      <c r="M9" s="5"/>
      <c r="N9" s="5"/>
      <c r="O9" s="148"/>
      <c r="P9" s="148"/>
      <c r="Q9" s="148"/>
    </row>
    <row r="10" spans="1:17" ht="15.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48"/>
      <c r="P10" s="148"/>
      <c r="Q10" s="148"/>
    </row>
    <row r="11" spans="1:17" ht="15.6">
      <c r="A11" s="5"/>
      <c r="B11" s="11" t="s">
        <v>846</v>
      </c>
      <c r="C11" s="5"/>
      <c r="D11" s="5"/>
      <c r="E11" s="5"/>
      <c r="F11" s="5"/>
      <c r="G11" s="5"/>
      <c r="H11" s="5"/>
      <c r="I11" s="5"/>
      <c r="J11" s="5"/>
      <c r="K11" s="148"/>
      <c r="L11" s="11" t="s">
        <v>847</v>
      </c>
      <c r="M11" s="5"/>
      <c r="N11" s="5"/>
      <c r="O11" s="5"/>
      <c r="P11" s="148"/>
      <c r="Q11" s="148"/>
    </row>
    <row r="12" spans="1:17" ht="15.6">
      <c r="A12" s="5"/>
      <c r="B12" s="332" t="s">
        <v>848</v>
      </c>
      <c r="C12" s="333" t="s">
        <v>135</v>
      </c>
      <c r="D12" s="339">
        <f>'Iteration 1 of HEX'!N33</f>
        <v>670.29422234154197</v>
      </c>
      <c r="E12" s="335" t="s">
        <v>849</v>
      </c>
      <c r="F12" s="5"/>
      <c r="G12" s="124" t="s">
        <v>850</v>
      </c>
      <c r="H12" s="9"/>
      <c r="I12" s="5"/>
      <c r="J12" s="5"/>
      <c r="K12" s="148"/>
      <c r="L12" s="332" t="s">
        <v>851</v>
      </c>
      <c r="M12" s="333" t="s">
        <v>135</v>
      </c>
      <c r="N12" s="334" t="s">
        <v>852</v>
      </c>
      <c r="O12" s="338" t="s">
        <v>655</v>
      </c>
      <c r="P12" s="148"/>
      <c r="Q12" s="148"/>
    </row>
    <row r="13" spans="1:17" ht="15.6">
      <c r="A13" s="5"/>
      <c r="B13" s="332" t="s">
        <v>853</v>
      </c>
      <c r="C13" s="333" t="s">
        <v>135</v>
      </c>
      <c r="D13" s="334" t="s">
        <v>854</v>
      </c>
      <c r="E13" s="335" t="s">
        <v>736</v>
      </c>
      <c r="F13" s="5"/>
      <c r="G13" s="332" t="s">
        <v>855</v>
      </c>
      <c r="H13" s="339">
        <f>1/0.0001763</f>
        <v>5672.1497447532611</v>
      </c>
      <c r="I13" s="335" t="s">
        <v>849</v>
      </c>
      <c r="J13" s="5"/>
      <c r="K13" s="148"/>
      <c r="L13" s="332" t="s">
        <v>851</v>
      </c>
      <c r="M13" s="333" t="s">
        <v>135</v>
      </c>
      <c r="N13" s="339">
        <f>0.3*G6</f>
        <v>9.1439950622426658E-2</v>
      </c>
      <c r="O13" s="338" t="s">
        <v>655</v>
      </c>
      <c r="P13" s="148"/>
      <c r="Q13" s="148"/>
    </row>
    <row r="14" spans="1:17" ht="15.6">
      <c r="A14" s="5"/>
      <c r="B14" s="9"/>
      <c r="C14" s="9"/>
      <c r="D14" s="9"/>
      <c r="E14" s="5"/>
      <c r="F14" s="5"/>
      <c r="G14" s="332" t="s">
        <v>856</v>
      </c>
      <c r="H14" s="334">
        <v>2000</v>
      </c>
      <c r="I14" s="335" t="s">
        <v>849</v>
      </c>
      <c r="J14" s="5"/>
      <c r="K14" s="148"/>
      <c r="L14" s="9"/>
      <c r="M14" s="9"/>
      <c r="N14" s="9"/>
      <c r="O14" s="9"/>
      <c r="P14" s="148"/>
      <c r="Q14" s="148"/>
    </row>
    <row r="15" spans="1:17" ht="15.6">
      <c r="A15" s="5"/>
      <c r="B15" s="332" t="s">
        <v>857</v>
      </c>
      <c r="C15" s="333" t="s">
        <v>135</v>
      </c>
      <c r="D15" s="334" t="s">
        <v>858</v>
      </c>
      <c r="E15" s="335" t="s">
        <v>859</v>
      </c>
      <c r="F15" s="5"/>
      <c r="G15" s="5"/>
      <c r="H15" s="5"/>
      <c r="I15" s="5"/>
      <c r="J15" s="5"/>
      <c r="K15" s="148"/>
      <c r="L15" s="332" t="s">
        <v>860</v>
      </c>
      <c r="M15" s="333" t="s">
        <v>135</v>
      </c>
      <c r="N15" s="518" t="s">
        <v>861</v>
      </c>
      <c r="O15" s="519"/>
      <c r="P15" s="338" t="s">
        <v>859</v>
      </c>
      <c r="Q15" s="148"/>
    </row>
    <row r="16" spans="1:17" ht="15.6">
      <c r="A16" s="5"/>
      <c r="B16" s="332" t="s">
        <v>857</v>
      </c>
      <c r="C16" s="333" t="s">
        <v>135</v>
      </c>
      <c r="D16" s="339">
        <f>-'Heat Exchanger'!AE99/('Iteration 1 of HEX'!D12*'∆Tm Calculation'!C13)</f>
        <v>21.261410472350445</v>
      </c>
      <c r="E16" s="335" t="s">
        <v>859</v>
      </c>
      <c r="F16" s="5"/>
      <c r="G16" s="332" t="s">
        <v>631</v>
      </c>
      <c r="H16" s="333" t="s">
        <v>135</v>
      </c>
      <c r="I16" s="334" t="s">
        <v>862</v>
      </c>
      <c r="J16" s="335" t="s">
        <v>863</v>
      </c>
      <c r="K16" s="148"/>
      <c r="L16" s="332" t="s">
        <v>860</v>
      </c>
      <c r="M16" s="333" t="s">
        <v>135</v>
      </c>
      <c r="N16" s="339">
        <f>(G6*N13*(I21-C6)/I21)</f>
        <v>6.9677204748598565E-3</v>
      </c>
      <c r="O16" s="338" t="s">
        <v>859</v>
      </c>
      <c r="P16" s="148"/>
      <c r="Q16" s="148"/>
    </row>
    <row r="17" spans="1:17" ht="15.6">
      <c r="A17" s="5"/>
      <c r="B17" s="9"/>
      <c r="C17" s="9"/>
      <c r="D17" s="9"/>
      <c r="E17" s="5"/>
      <c r="F17" s="5"/>
      <c r="G17" s="332" t="s">
        <v>631</v>
      </c>
      <c r="H17" s="333" t="s">
        <v>135</v>
      </c>
      <c r="I17" s="340">
        <f>LN(C5/C7)/(2*PI()*D3*D19)</f>
        <v>3.0005584678857994E-5</v>
      </c>
      <c r="J17" s="335" t="s">
        <v>863</v>
      </c>
      <c r="K17" s="148"/>
      <c r="L17" s="5"/>
      <c r="M17" s="5"/>
      <c r="N17" s="5"/>
      <c r="O17" s="5"/>
      <c r="P17" s="148"/>
      <c r="Q17" s="148"/>
    </row>
    <row r="18" spans="1:17" ht="15.6">
      <c r="A18" s="5"/>
      <c r="B18" s="332" t="s">
        <v>864</v>
      </c>
      <c r="C18" s="333" t="s">
        <v>135</v>
      </c>
      <c r="D18" s="334">
        <v>20</v>
      </c>
      <c r="E18" s="335" t="s">
        <v>865</v>
      </c>
      <c r="F18" s="5"/>
      <c r="G18" s="9"/>
      <c r="H18" s="9"/>
      <c r="I18" s="9"/>
      <c r="J18" s="5"/>
      <c r="K18" s="148"/>
      <c r="L18" s="5"/>
      <c r="M18" s="5"/>
      <c r="N18" s="5"/>
      <c r="O18" s="5"/>
      <c r="P18" s="148"/>
      <c r="Q18" s="148"/>
    </row>
    <row r="19" spans="1:17" ht="15.6">
      <c r="A19" s="5"/>
      <c r="B19" s="332" t="s">
        <v>864</v>
      </c>
      <c r="C19" s="333" t="s">
        <v>135</v>
      </c>
      <c r="D19" s="339">
        <f>D18/3.28084</f>
        <v>6.095999804928006</v>
      </c>
      <c r="E19" s="335" t="s">
        <v>655</v>
      </c>
      <c r="F19" s="5"/>
      <c r="G19" s="332" t="s">
        <v>866</v>
      </c>
      <c r="H19" s="333" t="s">
        <v>135</v>
      </c>
      <c r="I19" s="334">
        <v>4</v>
      </c>
      <c r="J19" s="5"/>
      <c r="K19" s="148"/>
      <c r="L19" s="5"/>
      <c r="M19" s="5"/>
      <c r="N19" s="5"/>
      <c r="O19" s="5"/>
      <c r="P19" s="148"/>
      <c r="Q19" s="148"/>
    </row>
    <row r="20" spans="1:17" ht="15.6">
      <c r="A20" s="5"/>
      <c r="B20" s="9"/>
      <c r="C20" s="9"/>
      <c r="D20" s="9"/>
      <c r="E20" s="5"/>
      <c r="F20" s="5"/>
      <c r="G20" s="332" t="s">
        <v>867</v>
      </c>
      <c r="H20" s="333" t="s">
        <v>135</v>
      </c>
      <c r="I20" s="334">
        <v>1</v>
      </c>
      <c r="J20" s="335" t="s">
        <v>843</v>
      </c>
      <c r="K20" s="148"/>
      <c r="L20" s="332" t="s">
        <v>868</v>
      </c>
      <c r="M20" s="333" t="s">
        <v>135</v>
      </c>
      <c r="N20" s="339">
        <f>(3.46*I21^2)/(PI()*C6)-C6</f>
        <v>1.8249118195311193E-2</v>
      </c>
      <c r="O20" s="335" t="s">
        <v>655</v>
      </c>
      <c r="P20" s="148"/>
      <c r="Q20" s="148"/>
    </row>
    <row r="21" spans="1:17" ht="15.6">
      <c r="A21" s="5"/>
      <c r="B21" s="332" t="s">
        <v>869</v>
      </c>
      <c r="C21" s="333" t="s">
        <v>135</v>
      </c>
      <c r="D21" s="334" t="s">
        <v>870</v>
      </c>
      <c r="E21" s="335" t="s">
        <v>859</v>
      </c>
      <c r="F21" s="5"/>
      <c r="G21" s="332" t="s">
        <v>867</v>
      </c>
      <c r="H21" s="333" t="s">
        <v>135</v>
      </c>
      <c r="I21" s="341">
        <f>I20/39.3701</f>
        <v>2.5399986284007407E-2</v>
      </c>
      <c r="J21" s="335" t="s">
        <v>655</v>
      </c>
      <c r="K21" s="148"/>
      <c r="L21" s="9"/>
      <c r="M21" s="9"/>
      <c r="N21" s="9"/>
      <c r="O21" s="5"/>
      <c r="P21" s="148"/>
      <c r="Q21" s="148"/>
    </row>
    <row r="22" spans="1:17" ht="15.6">
      <c r="A22" s="5"/>
      <c r="B22" s="332" t="s">
        <v>869</v>
      </c>
      <c r="C22" s="333" t="s">
        <v>135</v>
      </c>
      <c r="D22" s="339">
        <f>PI()*C6*D19</f>
        <v>0.36482917626790318</v>
      </c>
      <c r="E22" s="335" t="s">
        <v>859</v>
      </c>
      <c r="F22" s="5"/>
      <c r="G22" s="9"/>
      <c r="H22" s="9"/>
      <c r="I22" s="9"/>
      <c r="J22" s="5"/>
      <c r="K22" s="148"/>
      <c r="L22" s="332" t="s">
        <v>871</v>
      </c>
      <c r="M22" s="333" t="s">
        <v>135</v>
      </c>
      <c r="N22" s="334" t="s">
        <v>872</v>
      </c>
      <c r="P22" s="148"/>
      <c r="Q22" s="148"/>
    </row>
    <row r="23" spans="1:17" ht="15.6">
      <c r="A23" s="5"/>
      <c r="B23" s="9"/>
      <c r="C23" s="9"/>
      <c r="D23" s="9"/>
      <c r="E23" s="5"/>
      <c r="F23" s="5"/>
      <c r="G23" s="95"/>
      <c r="H23" s="9"/>
      <c r="I23" s="9"/>
      <c r="J23" s="5"/>
      <c r="K23" s="148"/>
      <c r="L23" s="332" t="s">
        <v>871</v>
      </c>
      <c r="M23" s="333" t="s">
        <v>135</v>
      </c>
      <c r="N23" s="339">
        <f>'Heat Exchanger'!AE100/('∆Tm Calculation'!C34*N16)</f>
        <v>0.57969360601366782</v>
      </c>
      <c r="P23" s="148"/>
      <c r="Q23" s="148"/>
    </row>
    <row r="24" spans="1:17" ht="15.6">
      <c r="A24" s="5"/>
      <c r="B24" s="332" t="s">
        <v>873</v>
      </c>
      <c r="C24" s="333" t="s">
        <v>135</v>
      </c>
      <c r="D24" s="334" t="s">
        <v>874</v>
      </c>
      <c r="E24" s="5"/>
      <c r="F24" s="5"/>
      <c r="G24" s="5"/>
      <c r="H24" s="5"/>
      <c r="I24" s="5"/>
      <c r="J24" s="5"/>
      <c r="K24" s="148"/>
      <c r="P24" s="148"/>
      <c r="Q24" s="148"/>
    </row>
    <row r="25" spans="1:17" ht="15.6">
      <c r="A25" s="5"/>
      <c r="B25" s="332" t="s">
        <v>873</v>
      </c>
      <c r="C25" s="333" t="s">
        <v>135</v>
      </c>
      <c r="D25" s="339">
        <f>D16/D22</f>
        <v>58.2777142164136</v>
      </c>
      <c r="E25" s="5"/>
      <c r="F25" s="5"/>
      <c r="G25" s="5"/>
      <c r="H25" s="5"/>
      <c r="I25" s="5"/>
      <c r="J25" s="5"/>
      <c r="K25" s="148"/>
      <c r="L25" s="332" t="s">
        <v>875</v>
      </c>
      <c r="M25" s="333" t="s">
        <v>135</v>
      </c>
      <c r="N25" s="334" t="s">
        <v>876</v>
      </c>
      <c r="O25" s="5"/>
      <c r="P25" s="148"/>
      <c r="Q25" s="148"/>
    </row>
    <row r="26" spans="1:17" ht="15.6">
      <c r="A26" s="5"/>
      <c r="B26" s="332" t="s">
        <v>873</v>
      </c>
      <c r="C26" s="333" t="s">
        <v>135</v>
      </c>
      <c r="D26" s="342">
        <f>ROUNDUP(D25,0)</f>
        <v>59</v>
      </c>
      <c r="E26" s="5"/>
      <c r="F26" s="5"/>
      <c r="G26" s="5"/>
      <c r="H26" s="5"/>
      <c r="I26" s="5"/>
      <c r="J26" s="5"/>
      <c r="K26" s="148"/>
      <c r="L26" s="332" t="s">
        <v>875</v>
      </c>
      <c r="M26" s="333" t="s">
        <v>135</v>
      </c>
      <c r="N26" s="339">
        <f>('Heat Exchanger'!AE100*N20)/('∆Tm Calculation'!E34*N16)</f>
        <v>43583.224157820667</v>
      </c>
      <c r="O26" s="5"/>
      <c r="P26" s="148"/>
      <c r="Q26" s="148"/>
    </row>
    <row r="27" spans="1:17" ht="15.6">
      <c r="A27" s="5"/>
      <c r="B27" s="9"/>
      <c r="C27" s="9"/>
      <c r="D27" s="9"/>
      <c r="E27" s="5" t="s">
        <v>410</v>
      </c>
      <c r="F27" s="5"/>
      <c r="G27" s="5"/>
      <c r="H27" s="5"/>
      <c r="I27" s="5"/>
      <c r="J27" s="5"/>
      <c r="K27" s="148"/>
      <c r="L27" s="148"/>
      <c r="M27" s="148"/>
      <c r="N27" s="148"/>
      <c r="O27" s="148"/>
      <c r="P27" s="148"/>
      <c r="Q27" s="148"/>
    </row>
    <row r="28" spans="1:17" ht="15.6">
      <c r="A28" s="5"/>
      <c r="B28" s="332" t="s">
        <v>877</v>
      </c>
      <c r="C28" s="333" t="s">
        <v>135</v>
      </c>
      <c r="D28" s="334" t="s">
        <v>878</v>
      </c>
      <c r="E28" s="335" t="s">
        <v>859</v>
      </c>
      <c r="F28" s="5"/>
      <c r="G28" s="5"/>
      <c r="H28" s="5"/>
      <c r="I28" s="5"/>
      <c r="J28" s="5"/>
      <c r="K28" s="148"/>
      <c r="L28" s="148"/>
      <c r="M28" s="148"/>
      <c r="N28" s="148"/>
      <c r="O28" s="148"/>
      <c r="P28" s="148"/>
      <c r="Q28" s="148"/>
    </row>
    <row r="29" spans="1:17" ht="15.6">
      <c r="A29" s="5"/>
      <c r="B29" s="332" t="s">
        <v>877</v>
      </c>
      <c r="C29" s="333" t="s">
        <v>135</v>
      </c>
      <c r="D29" s="339">
        <f>PI()*C6*D19*D26</f>
        <v>21.524921399806288</v>
      </c>
      <c r="E29" s="335" t="s">
        <v>859</v>
      </c>
      <c r="F29" s="5"/>
      <c r="G29" s="5"/>
      <c r="H29" s="5"/>
      <c r="I29" s="5"/>
      <c r="J29" s="5"/>
      <c r="K29" s="148"/>
      <c r="L29" s="148"/>
      <c r="M29" s="148"/>
      <c r="N29" s="148"/>
      <c r="O29" s="148"/>
      <c r="P29" s="148"/>
      <c r="Q29" s="148"/>
    </row>
    <row r="30" spans="1:17" ht="15.6">
      <c r="A30" s="5"/>
      <c r="B30" s="9"/>
      <c r="C30" s="9"/>
      <c r="D30" s="9"/>
      <c r="E30" s="5"/>
      <c r="F30" s="5"/>
      <c r="G30" s="5"/>
      <c r="H30" s="5"/>
      <c r="I30" s="5"/>
      <c r="J30" s="5"/>
      <c r="K30" s="148"/>
      <c r="L30" s="5"/>
      <c r="M30" s="5"/>
      <c r="N30" s="5"/>
      <c r="O30" s="5"/>
      <c r="P30" s="148"/>
      <c r="Q30" s="148"/>
    </row>
    <row r="31" spans="1:17" ht="15.6">
      <c r="A31" s="5"/>
      <c r="B31" s="332" t="s">
        <v>879</v>
      </c>
      <c r="C31" s="333" t="s">
        <v>135</v>
      </c>
      <c r="D31" s="334" t="s">
        <v>880</v>
      </c>
      <c r="E31" s="335" t="s">
        <v>859</v>
      </c>
      <c r="F31" s="5"/>
      <c r="G31" s="5"/>
      <c r="H31" s="5"/>
      <c r="I31" s="5"/>
      <c r="J31" s="5"/>
      <c r="K31" s="148"/>
      <c r="L31" s="332" t="s">
        <v>881</v>
      </c>
      <c r="M31" s="333" t="s">
        <v>135</v>
      </c>
      <c r="N31" s="339">
        <f>0.36*N26^0.55*'∆Tm Calculation'!G34^(1/3)*('∆Tm Calculation'!F34/N20)</f>
        <v>1915.803227306337</v>
      </c>
      <c r="O31" s="335" t="s">
        <v>849</v>
      </c>
      <c r="P31" s="148"/>
      <c r="Q31" s="148"/>
    </row>
    <row r="32" spans="1:17" ht="15.6">
      <c r="A32" s="5"/>
      <c r="B32" s="332" t="s">
        <v>879</v>
      </c>
      <c r="C32" s="333" t="s">
        <v>135</v>
      </c>
      <c r="D32" s="339">
        <f>PI()*C8*D19*D26</f>
        <v>13.833349486275509</v>
      </c>
      <c r="E32" s="335" t="s">
        <v>859</v>
      </c>
      <c r="F32" s="5"/>
      <c r="G32" s="5"/>
      <c r="H32" s="5"/>
      <c r="I32" s="5"/>
      <c r="J32" s="5"/>
      <c r="K32" s="148"/>
      <c r="L32" s="9"/>
      <c r="M32" s="9"/>
      <c r="N32" s="9"/>
      <c r="O32" s="5"/>
      <c r="P32" s="148"/>
      <c r="Q32" s="148"/>
    </row>
    <row r="33" spans="1:17" ht="15.6">
      <c r="A33" s="5"/>
      <c r="B33" s="9"/>
      <c r="C33" s="9"/>
      <c r="D33" s="9"/>
      <c r="E33" s="5"/>
      <c r="F33" s="5"/>
      <c r="G33" s="5"/>
      <c r="H33" s="5"/>
      <c r="I33" s="5"/>
      <c r="J33" s="5"/>
      <c r="K33" s="148"/>
      <c r="L33" s="332" t="s">
        <v>882</v>
      </c>
      <c r="M33" s="333" t="s">
        <v>135</v>
      </c>
      <c r="N33" s="339">
        <f>1/(1/N31+1/H14+((D29*I17/D26)+(D29/D32)*(1/H13+1/D47)))</f>
        <v>670.29422234154197</v>
      </c>
      <c r="O33" s="335" t="s">
        <v>849</v>
      </c>
      <c r="P33" s="148"/>
      <c r="Q33" s="148"/>
    </row>
    <row r="34" spans="1:17" ht="15.6">
      <c r="A34" s="5"/>
      <c r="B34" s="332" t="s">
        <v>883</v>
      </c>
      <c r="C34" s="333" t="s">
        <v>135</v>
      </c>
      <c r="D34" s="334" t="s">
        <v>884</v>
      </c>
      <c r="E34" s="335" t="s">
        <v>859</v>
      </c>
      <c r="F34" s="5"/>
      <c r="G34" s="5"/>
      <c r="H34" s="5"/>
      <c r="I34" s="5"/>
      <c r="J34" s="5"/>
      <c r="K34" s="9"/>
      <c r="L34" s="148"/>
      <c r="M34" s="148"/>
      <c r="N34" s="148"/>
      <c r="O34" s="148"/>
      <c r="P34" s="148"/>
      <c r="Q34" s="148"/>
    </row>
    <row r="35" spans="1:17" ht="15.6">
      <c r="A35" s="5"/>
      <c r="B35" s="332" t="s">
        <v>883</v>
      </c>
      <c r="C35" s="333" t="s">
        <v>135</v>
      </c>
      <c r="D35" s="339">
        <f>(PI()*C8^2*D26)/(4*I19)</f>
        <v>1.7363726732312508E-3</v>
      </c>
      <c r="E35" s="335" t="s">
        <v>859</v>
      </c>
      <c r="F35" s="5"/>
      <c r="G35" s="5"/>
      <c r="H35" s="5"/>
      <c r="I35" s="5"/>
      <c r="J35" s="5"/>
      <c r="K35" s="9"/>
      <c r="L35" s="336" t="s">
        <v>885</v>
      </c>
      <c r="M35" s="343" t="s">
        <v>135</v>
      </c>
      <c r="N35" s="337">
        <f>ABS((N33-D12)/D12*100)</f>
        <v>0</v>
      </c>
      <c r="O35" s="335" t="s">
        <v>886</v>
      </c>
      <c r="P35" s="148"/>
      <c r="Q35" s="148"/>
    </row>
    <row r="36" spans="1:17" ht="15.6">
      <c r="A36" s="5"/>
      <c r="B36" s="9"/>
      <c r="C36" s="9"/>
      <c r="D36" s="9"/>
      <c r="E36" s="5"/>
      <c r="F36" s="5"/>
      <c r="G36" s="5"/>
      <c r="H36" s="5"/>
      <c r="I36" s="5"/>
      <c r="J36" s="5"/>
      <c r="K36" s="9"/>
      <c r="L36" s="9"/>
      <c r="M36" s="96"/>
      <c r="N36" s="5"/>
      <c r="O36" s="148"/>
      <c r="P36" s="148"/>
      <c r="Q36" s="148"/>
    </row>
    <row r="37" spans="1:17" ht="15.6">
      <c r="A37" s="5"/>
      <c r="B37" s="332" t="s">
        <v>887</v>
      </c>
      <c r="C37" s="333" t="s">
        <v>135</v>
      </c>
      <c r="D37" s="334" t="s">
        <v>888</v>
      </c>
      <c r="E37" s="335" t="s">
        <v>761</v>
      </c>
      <c r="F37" s="5"/>
      <c r="G37" s="5"/>
      <c r="H37" s="5"/>
      <c r="I37" s="5"/>
      <c r="J37" s="5"/>
      <c r="K37" s="9"/>
      <c r="L37" s="9"/>
      <c r="M37" s="96"/>
      <c r="N37" s="5"/>
      <c r="O37" s="148"/>
      <c r="P37" s="148"/>
      <c r="Q37" s="148"/>
    </row>
    <row r="38" spans="1:17" ht="15.6">
      <c r="A38" s="5"/>
      <c r="B38" s="332" t="s">
        <v>887</v>
      </c>
      <c r="C38" s="333" t="s">
        <v>135</v>
      </c>
      <c r="D38" s="339">
        <f>'Heat Exchanger'!AE104/((PI()*C8^2)/4*'∆Tm Calculation'!C38)*(I19/D26)</f>
        <v>23.793599792471301</v>
      </c>
      <c r="E38" s="335" t="s">
        <v>761</v>
      </c>
      <c r="F38" s="5"/>
      <c r="G38" s="5"/>
      <c r="H38" s="5"/>
      <c r="I38" s="5"/>
      <c r="J38" s="5"/>
      <c r="K38" s="9"/>
      <c r="L38" s="9"/>
      <c r="M38" s="96"/>
      <c r="N38" s="5"/>
      <c r="O38" s="148"/>
      <c r="P38" s="148"/>
      <c r="Q38" s="148"/>
    </row>
    <row r="39" spans="1:17" ht="15.6">
      <c r="A39" s="5"/>
      <c r="B39" s="9"/>
      <c r="C39" s="9"/>
      <c r="D39" s="9"/>
      <c r="E39" s="5"/>
      <c r="F39" s="5"/>
      <c r="G39" s="5"/>
      <c r="H39" s="5"/>
      <c r="I39" s="5"/>
      <c r="J39" s="5"/>
      <c r="K39" s="9"/>
      <c r="L39" s="9"/>
      <c r="M39" s="96"/>
      <c r="N39" s="5"/>
      <c r="O39" s="148"/>
      <c r="P39" s="148"/>
      <c r="Q39" s="148"/>
    </row>
    <row r="40" spans="1:17" ht="15.6">
      <c r="A40" s="5"/>
      <c r="B40" s="332" t="s">
        <v>889</v>
      </c>
      <c r="C40" s="333" t="s">
        <v>135</v>
      </c>
      <c r="D40" s="334" t="s">
        <v>890</v>
      </c>
      <c r="E40" s="5"/>
      <c r="F40" s="5"/>
      <c r="G40" s="5"/>
      <c r="H40" s="5"/>
      <c r="I40" s="5"/>
      <c r="J40" s="5"/>
      <c r="K40" s="148"/>
      <c r="L40" s="148"/>
      <c r="M40" s="148"/>
      <c r="N40" s="148"/>
      <c r="O40" s="148"/>
      <c r="P40" s="148"/>
      <c r="Q40" s="148"/>
    </row>
    <row r="41" spans="1:17" ht="15.6">
      <c r="A41" s="5"/>
      <c r="B41" s="332" t="s">
        <v>889</v>
      </c>
      <c r="C41" s="333" t="s">
        <v>135</v>
      </c>
      <c r="D41" s="339">
        <f>(C8*D38*'∆Tm Calculation'!C38/'∆Tm Calculation'!E38)</f>
        <v>469817.28565461602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148"/>
      <c r="P41" s="148"/>
      <c r="Q41" s="148"/>
    </row>
    <row r="42" spans="1:17" ht="15.6">
      <c r="A42" s="5"/>
      <c r="B42" s="9"/>
      <c r="C42" s="9"/>
      <c r="D42" s="9"/>
      <c r="E42" s="5"/>
      <c r="F42" s="5"/>
      <c r="G42" s="5"/>
      <c r="H42" s="5"/>
      <c r="I42" s="5"/>
      <c r="J42" s="5"/>
      <c r="K42" s="5"/>
      <c r="L42" s="5"/>
      <c r="M42" s="5"/>
      <c r="N42" s="5"/>
      <c r="O42" s="148"/>
      <c r="P42" s="148"/>
      <c r="Q42" s="148"/>
    </row>
    <row r="43" spans="1:17" ht="15.6">
      <c r="A43" s="5"/>
      <c r="B43" s="419" t="s">
        <v>891</v>
      </c>
      <c r="C43" s="445"/>
      <c r="D43" s="9"/>
      <c r="E43" s="5"/>
      <c r="F43" s="5"/>
      <c r="G43" s="5"/>
      <c r="H43" s="5"/>
      <c r="I43" s="5"/>
      <c r="J43" s="5"/>
      <c r="K43" s="5"/>
      <c r="L43" s="5"/>
      <c r="M43" s="5"/>
      <c r="N43" s="5"/>
      <c r="O43" s="148"/>
      <c r="P43" s="148"/>
      <c r="Q43" s="148"/>
    </row>
    <row r="44" spans="1:17" ht="15.6">
      <c r="A44" s="5"/>
      <c r="B44" s="9"/>
      <c r="C44" s="9"/>
      <c r="D44" s="9"/>
      <c r="E44" s="5"/>
      <c r="F44" s="5"/>
      <c r="G44" s="5"/>
      <c r="H44" s="5"/>
      <c r="I44" s="5"/>
      <c r="J44" s="5"/>
      <c r="K44" s="5"/>
      <c r="L44" s="5"/>
      <c r="M44" s="5"/>
      <c r="N44" s="5"/>
      <c r="O44" s="148"/>
      <c r="P44" s="148"/>
      <c r="Q44" s="148"/>
    </row>
    <row r="45" spans="1:17" ht="15.6">
      <c r="A45" s="5"/>
      <c r="B45" s="9"/>
      <c r="C45" s="9"/>
      <c r="D45" s="9"/>
      <c r="E45" s="5"/>
      <c r="F45" s="5"/>
      <c r="G45" s="5"/>
      <c r="H45" s="5"/>
      <c r="I45" s="5"/>
      <c r="J45" s="5"/>
      <c r="K45" s="5"/>
      <c r="L45" s="5"/>
      <c r="M45" s="5"/>
      <c r="N45" s="5"/>
      <c r="O45" s="148"/>
      <c r="P45" s="148"/>
      <c r="Q45" s="148"/>
    </row>
    <row r="46" spans="1:17" ht="15.6">
      <c r="A46" s="5"/>
      <c r="B46" s="9"/>
      <c r="C46" s="9"/>
      <c r="D46" s="9"/>
      <c r="E46" s="5"/>
      <c r="F46" s="5"/>
      <c r="G46" s="5"/>
      <c r="H46" s="5"/>
      <c r="I46" s="5"/>
      <c r="J46" s="5"/>
      <c r="K46" s="5"/>
      <c r="L46" s="5"/>
      <c r="M46" s="5"/>
      <c r="N46" s="5"/>
      <c r="O46" s="148"/>
      <c r="P46" s="148"/>
      <c r="Q46" s="148"/>
    </row>
    <row r="47" spans="1:17" ht="15.6">
      <c r="A47" s="5"/>
      <c r="B47" s="344" t="s">
        <v>892</v>
      </c>
      <c r="C47" s="345" t="s">
        <v>135</v>
      </c>
      <c r="D47" s="346">
        <f>0.023*D41^0.8*'∆Tm Calculation'!G38^0.4*'∆Tm Calculation'!F38/C8</f>
        <v>8427.5160362977131</v>
      </c>
      <c r="E47" s="347" t="s">
        <v>849</v>
      </c>
      <c r="F47" s="5"/>
      <c r="G47" s="5"/>
      <c r="H47" s="5"/>
      <c r="I47" s="5"/>
      <c r="J47" s="5"/>
      <c r="K47" s="5"/>
      <c r="L47" s="5"/>
      <c r="M47" s="5"/>
      <c r="N47" s="5"/>
      <c r="O47" s="148"/>
      <c r="P47" s="148"/>
      <c r="Q47" s="148"/>
    </row>
    <row r="48" spans="1:17" ht="15.6">
      <c r="A48" s="5"/>
      <c r="B48" s="148"/>
      <c r="C48" s="148"/>
      <c r="D48" s="148"/>
      <c r="E48" s="148"/>
      <c r="F48" s="5"/>
      <c r="G48" s="5"/>
      <c r="H48" s="5"/>
      <c r="I48" s="5"/>
      <c r="J48" s="5"/>
      <c r="K48" s="5"/>
      <c r="L48" s="5"/>
      <c r="M48" s="5"/>
      <c r="N48" s="5"/>
      <c r="O48" s="148"/>
      <c r="P48" s="148"/>
      <c r="Q48" s="148"/>
    </row>
    <row r="49" spans="1:17" ht="15.6">
      <c r="A49" s="5"/>
      <c r="B49" s="9"/>
      <c r="C49" s="9"/>
      <c r="D49" s="9"/>
      <c r="E49" s="5"/>
      <c r="F49" s="5"/>
      <c r="G49" s="5"/>
      <c r="H49" s="5"/>
      <c r="I49" s="5"/>
      <c r="J49" s="5"/>
      <c r="K49" s="5"/>
      <c r="L49" s="5"/>
      <c r="M49" s="5"/>
      <c r="N49" s="5"/>
      <c r="O49" s="148"/>
      <c r="P49" s="148"/>
      <c r="Q49" s="148"/>
    </row>
    <row r="50" spans="1:17" ht="15.6">
      <c r="A50" s="5"/>
      <c r="B50" s="148"/>
      <c r="C50" s="148"/>
      <c r="D50" s="148"/>
      <c r="E50" s="148"/>
      <c r="F50" s="5"/>
      <c r="G50" s="5"/>
      <c r="H50" s="5"/>
      <c r="I50" s="5"/>
      <c r="J50" s="5"/>
      <c r="K50" s="5"/>
      <c r="L50" s="5"/>
      <c r="M50" s="5"/>
      <c r="N50" s="5"/>
      <c r="O50" s="148"/>
      <c r="P50" s="148"/>
    </row>
    <row r="51" spans="1:17" ht="15.6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</row>
  </sheetData>
  <mergeCells count="2">
    <mergeCell ref="N15:O15"/>
    <mergeCell ref="B43:C4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AF72-6E07-4126-B90F-B37FB8395565}">
  <dimension ref="A1:M145"/>
  <sheetViews>
    <sheetView topLeftCell="A127" zoomScale="96" zoomScaleNormal="96" workbookViewId="0">
      <selection activeCell="I141" sqref="I141"/>
    </sheetView>
  </sheetViews>
  <sheetFormatPr defaultRowHeight="13.2"/>
  <cols>
    <col min="2" max="2" width="16" customWidth="1"/>
    <col min="3" max="3" width="15.21875" customWidth="1"/>
    <col min="4" max="4" width="20.6640625" customWidth="1"/>
    <col min="5" max="5" width="18.21875" customWidth="1"/>
    <col min="6" max="6" width="18.5546875" customWidth="1"/>
    <col min="7" max="7" width="21" customWidth="1"/>
    <col min="8" max="8" width="14.21875" customWidth="1"/>
    <col min="9" max="9" width="11" customWidth="1"/>
    <col min="10" max="10" width="12.33203125" customWidth="1"/>
    <col min="11" max="11" width="12" customWidth="1"/>
    <col min="12" max="12" width="11" customWidth="1"/>
    <col min="13" max="13" width="13.21875" customWidth="1"/>
  </cols>
  <sheetData>
    <row r="1" spans="1:13" ht="15.6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</row>
    <row r="2" spans="1:13" ht="15.6">
      <c r="A2" s="148"/>
      <c r="B2" s="359" t="s">
        <v>893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1:13" ht="15.6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</row>
    <row r="4" spans="1:13" ht="15.6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</row>
    <row r="5" spans="1:13" ht="15.6">
      <c r="A5" s="148"/>
      <c r="B5" s="359" t="s">
        <v>894</v>
      </c>
      <c r="C5" s="359"/>
      <c r="D5" s="148"/>
      <c r="E5" s="148"/>
      <c r="F5" s="148"/>
      <c r="G5" s="148"/>
      <c r="H5" s="148"/>
      <c r="I5" s="148"/>
      <c r="J5" s="148"/>
      <c r="K5" s="148"/>
      <c r="L5" s="148"/>
      <c r="M5" s="148"/>
    </row>
    <row r="6" spans="1:13" ht="15.6">
      <c r="A6" s="148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</row>
    <row r="7" spans="1:13" ht="15.6">
      <c r="A7" s="148"/>
      <c r="B7" s="148"/>
      <c r="C7" s="522" t="s">
        <v>729</v>
      </c>
      <c r="D7" s="522" t="s">
        <v>730</v>
      </c>
      <c r="E7" s="520" t="s">
        <v>770</v>
      </c>
      <c r="F7" s="520"/>
      <c r="G7" s="520"/>
      <c r="H7" s="520" t="s">
        <v>727</v>
      </c>
      <c r="I7" s="520"/>
      <c r="J7" s="520"/>
      <c r="K7" s="520" t="s">
        <v>728</v>
      </c>
      <c r="L7" s="520"/>
      <c r="M7" s="520"/>
    </row>
    <row r="8" spans="1:13" ht="15.6">
      <c r="A8" s="148"/>
      <c r="B8" s="148"/>
      <c r="C8" s="523"/>
      <c r="D8" s="523"/>
      <c r="E8" s="241" t="s">
        <v>615</v>
      </c>
      <c r="F8" s="241" t="s">
        <v>616</v>
      </c>
      <c r="G8" s="241" t="s">
        <v>617</v>
      </c>
      <c r="H8" s="241" t="s">
        <v>771</v>
      </c>
      <c r="I8" s="241" t="s">
        <v>616</v>
      </c>
      <c r="J8" s="241" t="s">
        <v>617</v>
      </c>
      <c r="K8" s="241" t="s">
        <v>619</v>
      </c>
      <c r="L8" s="241" t="s">
        <v>616</v>
      </c>
      <c r="M8" s="241" t="s">
        <v>617</v>
      </c>
    </row>
    <row r="9" spans="1:13" ht="15.6">
      <c r="A9" s="148"/>
      <c r="B9" s="148"/>
      <c r="C9" s="241" t="s">
        <v>68</v>
      </c>
      <c r="D9" s="241">
        <f>'Distillation Column 1 '!R8</f>
        <v>44.052999999999997</v>
      </c>
      <c r="E9" s="217">
        <f>'Distillation Column 1 '!G24</f>
        <v>0.28358208955223885</v>
      </c>
      <c r="F9" s="217">
        <f>'Distillation Column 1 '!G17</f>
        <v>68.071127363343578</v>
      </c>
      <c r="G9" s="217">
        <f>F9*D9</f>
        <v>2998.7373737373746</v>
      </c>
      <c r="H9" s="217">
        <f>'Distillation Column 1 '!N16</f>
        <v>0.32629228919800796</v>
      </c>
      <c r="I9" s="217">
        <f>'Distillation Column 1 '!N9</f>
        <v>68.071127363343578</v>
      </c>
      <c r="J9" s="217">
        <f>I9*D9</f>
        <v>2998.7373737373746</v>
      </c>
      <c r="K9" s="217">
        <f>'Distillation Column 1 '!I55</f>
        <v>0</v>
      </c>
      <c r="L9" s="217">
        <f>'Distillation Column 1 '!I48</f>
        <v>0</v>
      </c>
      <c r="M9" s="217">
        <f>L9*D9</f>
        <v>0</v>
      </c>
    </row>
    <row r="10" spans="1:13" ht="15.6">
      <c r="A10" s="148"/>
      <c r="B10" s="251" t="s">
        <v>621</v>
      </c>
      <c r="C10" s="360" t="s">
        <v>768</v>
      </c>
      <c r="D10" s="241">
        <f>'Distillation Column 1 '!R9</f>
        <v>61.082999999999998</v>
      </c>
      <c r="E10" s="217">
        <f>'Distillation Column 1 '!G25</f>
        <v>0.59701492537313428</v>
      </c>
      <c r="F10" s="217">
        <f>'Distillation Column 1 '!G18</f>
        <v>143.30763655440751</v>
      </c>
      <c r="G10" s="217">
        <f t="shared" ref="G10:G12" si="0">F10*D10</f>
        <v>8753.6603636528744</v>
      </c>
      <c r="H10" s="217">
        <f>'Distillation Column 1 '!N17</f>
        <v>0.67319251245062672</v>
      </c>
      <c r="I10" s="217">
        <f>'Distillation Column 1 '!N10</f>
        <v>140.44148382331934</v>
      </c>
      <c r="J10" s="217">
        <f t="shared" ref="J10:J12" si="1">I10*D10</f>
        <v>8578.5871563798155</v>
      </c>
      <c r="K10" s="217">
        <f>'Distillation Column 1 '!I56</f>
        <v>9.12200684150513E-2</v>
      </c>
      <c r="L10" s="217">
        <f>'Distillation Column 1 '!I49</f>
        <v>2.8661527310881501</v>
      </c>
      <c r="M10" s="217">
        <f>L10*D10</f>
        <v>175.07320727305748</v>
      </c>
    </row>
    <row r="11" spans="1:13" ht="15.6">
      <c r="A11" s="148"/>
      <c r="B11" s="251" t="s">
        <v>767</v>
      </c>
      <c r="C11" s="360" t="s">
        <v>769</v>
      </c>
      <c r="D11" s="241">
        <f>'Distillation Column 1 '!R10</f>
        <v>105.136</v>
      </c>
      <c r="E11" s="217">
        <f>'Distillation Column 1 '!G26</f>
        <v>4.4776119402985079E-2</v>
      </c>
      <c r="F11" s="217">
        <f>'Distillation Column 1 '!G19</f>
        <v>10.748072741580565</v>
      </c>
      <c r="G11" s="217">
        <f t="shared" si="0"/>
        <v>1130.0093757588143</v>
      </c>
      <c r="H11" s="217">
        <f>'Distillation Column 1 '!N18</f>
        <v>5.1519835136527577E-4</v>
      </c>
      <c r="I11" s="217">
        <f>'Distillation Column 1 '!N11</f>
        <v>0.10748072741580565</v>
      </c>
      <c r="J11" s="217">
        <f t="shared" si="1"/>
        <v>11.300093757588142</v>
      </c>
      <c r="K11" s="217">
        <f>'Distillation Column 1 '!I57</f>
        <v>0.33865450399087799</v>
      </c>
      <c r="L11" s="217">
        <f>'Distillation Column 1 '!I50</f>
        <v>10.640592014164758</v>
      </c>
      <c r="M11" s="217">
        <f>L11*D11</f>
        <v>1118.709282001226</v>
      </c>
    </row>
    <row r="12" spans="1:13" ht="15.6">
      <c r="A12" s="148"/>
      <c r="B12" s="148"/>
      <c r="C12" s="241" t="s">
        <v>71</v>
      </c>
      <c r="D12" s="241">
        <f>'Distillation Column 1 '!R11</f>
        <v>149.18799999999999</v>
      </c>
      <c r="E12" s="217">
        <f>'Distillation Column 1 '!G27</f>
        <v>7.4626865671641784E-2</v>
      </c>
      <c r="F12" s="217">
        <f>'Distillation Column 1 '!G20</f>
        <v>17.913454569300939</v>
      </c>
      <c r="G12" s="217">
        <f t="shared" si="0"/>
        <v>2672.4724602848682</v>
      </c>
      <c r="H12" s="217">
        <f>'Distillation Column 1 '!N19</f>
        <v>0</v>
      </c>
      <c r="I12" s="217">
        <f>'Distillation Column 1 '!N12</f>
        <v>0</v>
      </c>
      <c r="J12" s="217">
        <f t="shared" si="1"/>
        <v>0</v>
      </c>
      <c r="K12" s="217">
        <f>'Distillation Column 1 '!I58</f>
        <v>0.5701254275940707</v>
      </c>
      <c r="L12" s="217">
        <f>'Distillation Column 1 '!I51</f>
        <v>17.913454569300939</v>
      </c>
      <c r="M12" s="217">
        <f>L12*D12</f>
        <v>2672.4724602848682</v>
      </c>
    </row>
    <row r="13" spans="1:13" ht="15.6">
      <c r="A13" s="148"/>
      <c r="B13" s="148"/>
      <c r="C13" s="520" t="s">
        <v>623</v>
      </c>
      <c r="D13" s="520"/>
      <c r="E13" s="217">
        <f t="shared" ref="E13:M13" si="2">SUM(E9:E12)</f>
        <v>1</v>
      </c>
      <c r="F13" s="217">
        <f t="shared" si="2"/>
        <v>240.04029122863258</v>
      </c>
      <c r="G13" s="217">
        <f t="shared" si="2"/>
        <v>15554.879573433933</v>
      </c>
      <c r="H13" s="217">
        <f t="shared" si="2"/>
        <v>0.99999999999999989</v>
      </c>
      <c r="I13" s="217">
        <f t="shared" si="2"/>
        <v>208.62009191407873</v>
      </c>
      <c r="J13" s="217">
        <f t="shared" si="2"/>
        <v>11588.624623874779</v>
      </c>
      <c r="K13" s="217">
        <f t="shared" si="2"/>
        <v>1</v>
      </c>
      <c r="L13" s="217">
        <f t="shared" si="2"/>
        <v>31.420199314553848</v>
      </c>
      <c r="M13" s="217">
        <f t="shared" si="2"/>
        <v>3966.254949559152</v>
      </c>
    </row>
    <row r="14" spans="1:13" ht="15.6">
      <c r="A14" s="148"/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</row>
    <row r="15" spans="1:13" ht="15.6">
      <c r="A15" s="148"/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</row>
    <row r="16" spans="1:13" ht="15.6">
      <c r="A16" s="148"/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</row>
    <row r="17" spans="1:13" ht="15.6">
      <c r="A17" s="148"/>
      <c r="B17" s="359" t="s">
        <v>896</v>
      </c>
      <c r="C17" s="359"/>
      <c r="D17" s="359"/>
      <c r="E17" s="148"/>
      <c r="F17" s="148"/>
      <c r="G17" s="148"/>
      <c r="H17" s="148"/>
      <c r="I17" s="148"/>
      <c r="J17" s="148"/>
      <c r="K17" s="148"/>
      <c r="L17" s="148"/>
      <c r="M17" s="148"/>
    </row>
    <row r="18" spans="1:13" ht="15.6">
      <c r="A18" s="148"/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</row>
    <row r="19" spans="1:13" ht="15.6">
      <c r="A19" s="148"/>
      <c r="B19" s="148" t="s">
        <v>897</v>
      </c>
      <c r="C19" s="148">
        <f>'Distillation Column 1 '!G31</f>
        <v>10</v>
      </c>
      <c r="D19" s="148" t="s">
        <v>898</v>
      </c>
      <c r="E19" s="148">
        <f>'Distillation Column 1 '!G31+273.15</f>
        <v>283.14999999999998</v>
      </c>
      <c r="F19" s="148" t="s">
        <v>611</v>
      </c>
      <c r="G19" s="148"/>
      <c r="H19" s="148"/>
      <c r="I19" s="148"/>
      <c r="J19" s="148"/>
      <c r="K19" s="148"/>
      <c r="L19" s="148"/>
      <c r="M19" s="148"/>
    </row>
    <row r="20" spans="1:13" ht="15.6">
      <c r="A20" s="148"/>
      <c r="B20" s="148" t="s">
        <v>899</v>
      </c>
      <c r="C20" s="148">
        <f>'Distillation Column 1 '!G32</f>
        <v>1</v>
      </c>
      <c r="D20" s="148" t="s">
        <v>734</v>
      </c>
      <c r="E20" s="148"/>
      <c r="F20" s="148"/>
      <c r="G20" s="148"/>
      <c r="H20" s="148"/>
      <c r="I20" s="148"/>
      <c r="J20" s="148"/>
      <c r="K20" s="148"/>
      <c r="L20" s="148"/>
      <c r="M20" s="148"/>
    </row>
    <row r="21" spans="1:13" ht="15.6">
      <c r="A21" s="148"/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</row>
    <row r="22" spans="1:13" ht="28.8" customHeight="1">
      <c r="A22" s="148"/>
      <c r="B22" s="521" t="s">
        <v>934</v>
      </c>
      <c r="C22" s="521"/>
      <c r="D22" s="521"/>
      <c r="E22" s="521"/>
      <c r="F22" s="521"/>
      <c r="G22" s="521"/>
      <c r="H22" s="521"/>
      <c r="I22" s="521"/>
      <c r="J22" s="521"/>
      <c r="K22" s="521"/>
      <c r="L22" s="148"/>
      <c r="M22" s="148"/>
    </row>
    <row r="23" spans="1:13" ht="15.6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</row>
    <row r="24" spans="1:13" ht="15.6">
      <c r="A24" s="148"/>
      <c r="B24" s="148" t="s">
        <v>900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</row>
    <row r="25" spans="1:13" ht="15.6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</row>
    <row r="26" spans="1:13" ht="15.6">
      <c r="A26" s="148"/>
      <c r="B26" s="241" t="s">
        <v>665</v>
      </c>
      <c r="C26" s="241" t="s">
        <v>666</v>
      </c>
      <c r="D26" s="241" t="s">
        <v>667</v>
      </c>
      <c r="E26" s="241" t="s">
        <v>668</v>
      </c>
      <c r="F26" s="241" t="s">
        <v>670</v>
      </c>
      <c r="G26" s="241" t="s">
        <v>935</v>
      </c>
      <c r="H26" s="241" t="s">
        <v>671</v>
      </c>
      <c r="I26" s="241" t="s">
        <v>672</v>
      </c>
      <c r="J26" s="148"/>
      <c r="K26" s="148"/>
      <c r="L26" s="148"/>
      <c r="M26" s="148"/>
    </row>
    <row r="27" spans="1:13" ht="15.6">
      <c r="A27" s="148"/>
      <c r="B27" s="241">
        <v>250</v>
      </c>
      <c r="C27" s="241">
        <f>B27+273.15</f>
        <v>523.15</v>
      </c>
      <c r="D27" s="200">
        <f>10^(Database!$C$56+Database!$D$56/C27+Database!$E$56*LOG10(C27)+Database!$F$56*C27+Database!$G$56*C27^2)</f>
        <v>109067.34792628427</v>
      </c>
      <c r="E27" s="217">
        <f>10^(Database!$C$57+Database!$D$57/C27+Database!$E$57*LOG10(C27)+Database!$F$57*C27+Database!$G$57*C27^2)</f>
        <v>5941.1132165713398</v>
      </c>
      <c r="F27" s="217">
        <f>10^(Database!$C$58+Database!$D$58/C27+Database!$E$58*LOG10(C27)+Database!$F$58*C27+Database!$G$58*C27^2)</f>
        <v>446.76750486669818</v>
      </c>
      <c r="G27" s="217">
        <f>10^(Database!$C$59+Database!$D$59/C27+Database!$E$59*LOG10(C27)+Database!$F$59*C27+Database!$G$59*C27^2)</f>
        <v>59.502646907900342</v>
      </c>
      <c r="H27" s="217">
        <f>D27*$E$9+E27*$E$10+F27*$E$11+G27*$E$12</f>
        <v>34500.924701662603</v>
      </c>
      <c r="I27" s="217">
        <f>H27/760</f>
        <v>45.395953554819215</v>
      </c>
      <c r="J27" s="148"/>
      <c r="K27" s="148"/>
      <c r="L27" s="148"/>
      <c r="M27" s="148"/>
    </row>
    <row r="28" spans="1:13" ht="15.6">
      <c r="A28" s="148"/>
      <c r="B28" s="241">
        <v>100</v>
      </c>
      <c r="C28" s="241">
        <f t="shared" ref="C28:C30" si="3">B28+273.15</f>
        <v>373.15</v>
      </c>
      <c r="D28" s="200">
        <f>10^(Database!$C$56+Database!$D$56/C28+Database!$E$56*LOG10(C28)+Database!$F$56*C28+Database!$G$56*C28^2)</f>
        <v>10326.032572922997</v>
      </c>
      <c r="E28" s="217">
        <f>10^(Database!$C$57+Database!$D$57/C28+Database!$E$57*LOG10(C28)+Database!$F$57*C28+Database!$G$57*C28^2)</f>
        <v>48.158951209088656</v>
      </c>
      <c r="F28" s="217">
        <f>10^(Database!$C$58+Database!$D$58/C28+Database!$E$58*LOG10(C28)+Database!$F$58*C28+Database!$G$58*C28^2)</f>
        <v>0.4766087932769737</v>
      </c>
      <c r="G28" s="217">
        <f>10^(Database!$C$59+Database!$D$59/C28+Database!$E$59*LOG10(C28)+Database!$F$59*C28+Database!$G$59*C28^2)</f>
        <v>1.7614019320443538E-2</v>
      </c>
      <c r="H28" s="217">
        <f t="shared" ref="H28:H30" si="4">D28*$E$9+E28*$E$10+F28*$E$11+G28*$E$12</f>
        <v>2957.0521616474171</v>
      </c>
      <c r="I28" s="217">
        <f t="shared" ref="I28:I30" si="5">H28/760</f>
        <v>3.890858107430812</v>
      </c>
      <c r="J28" s="148"/>
      <c r="K28" s="148"/>
      <c r="L28" s="148"/>
      <c r="M28" s="148"/>
    </row>
    <row r="29" spans="1:13" ht="15.6">
      <c r="A29" s="148"/>
      <c r="B29" s="241">
        <v>45</v>
      </c>
      <c r="C29" s="241">
        <f t="shared" si="3"/>
        <v>318.14999999999998</v>
      </c>
      <c r="D29" s="200">
        <f>10^(Database!$C$56+Database!$D$56/C29+Database!$E$56*LOG10(C29)+Database!$F$56*C29+Database!$G$56*C29^2)</f>
        <v>2532.4659596382298</v>
      </c>
      <c r="E29" s="217">
        <f>10^(Database!$C$57+Database!$D$57/C29+Database!$E$57*LOG10(C29)+Database!$F$57*C29+Database!$G$57*C29^2)</f>
        <v>1.8118310079353477</v>
      </c>
      <c r="F29" s="217">
        <f>10^(Database!$C$58+Database!$D$58/C29+Database!$E$58*LOG10(C29)+Database!$F$58*C29+Database!$G$58*C29^2)</f>
        <v>4.0512305720489545E-3</v>
      </c>
      <c r="G29" s="217">
        <f>10^(Database!$C$59+Database!$D$59/C29+Database!$E$59*LOG10(C29)+Database!$F$59*C29+Database!$G$59*C29^2)</f>
        <v>5.8804929770352189E-5</v>
      </c>
      <c r="H29" s="217">
        <f t="shared" si="4"/>
        <v>719.24386449492761</v>
      </c>
      <c r="I29" s="217">
        <f t="shared" si="5"/>
        <v>0.94637350591437841</v>
      </c>
      <c r="J29" s="148"/>
      <c r="K29" s="148"/>
      <c r="L29" s="148"/>
      <c r="M29" s="148"/>
    </row>
    <row r="30" spans="1:13" ht="15.6">
      <c r="A30" s="148"/>
      <c r="B30" s="241">
        <v>46.819000000000003</v>
      </c>
      <c r="C30" s="241">
        <f t="shared" si="3"/>
        <v>319.96899999999999</v>
      </c>
      <c r="D30" s="200">
        <f>10^(Database!$C$56+Database!$D$56/C30+Database!$E$56*LOG10(C30)+Database!$F$56*C30+Database!$G$56*C30^2)</f>
        <v>2675.5680100947275</v>
      </c>
      <c r="E30" s="217">
        <f>10^(Database!$C$57+Database!$D$57/C30+Database!$E$57*LOG10(C30)+Database!$F$57*C30+Database!$G$57*C30^2)</f>
        <v>2.0677914731733966</v>
      </c>
      <c r="F30" s="217">
        <f>10^(Database!$C$58+Database!$D$58/C30+Database!$E$58*LOG10(C30)+Database!$F$58*C30+Database!$G$58*C30^2)</f>
        <v>4.9099877413345053E-3</v>
      </c>
      <c r="G30" s="217">
        <f>10^(Database!$C$59+Database!$D$59/C30+Database!$E$59*LOG10(C30)+Database!$F$59*C30+Database!$G$59*C30^2)</f>
        <v>7.401009534134176E-5</v>
      </c>
      <c r="H30" s="217">
        <f t="shared" si="4"/>
        <v>759.97789478717118</v>
      </c>
      <c r="I30" s="217">
        <f t="shared" si="5"/>
        <v>0.99997091419364625</v>
      </c>
      <c r="J30" s="148"/>
      <c r="K30" s="148"/>
      <c r="L30" s="148"/>
      <c r="M30" s="148"/>
    </row>
    <row r="31" spans="1:13" ht="15.6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</row>
    <row r="32" spans="1:13" ht="15.6">
      <c r="A32" s="148"/>
      <c r="B32" s="361" t="s">
        <v>901</v>
      </c>
      <c r="C32" s="361">
        <f>B30</f>
        <v>46.819000000000003</v>
      </c>
      <c r="D32" s="361" t="s">
        <v>898</v>
      </c>
      <c r="E32" s="362">
        <f>C30</f>
        <v>319.96899999999999</v>
      </c>
      <c r="F32" s="361" t="s">
        <v>611</v>
      </c>
      <c r="G32" s="148"/>
      <c r="H32" s="148"/>
      <c r="I32" s="148"/>
      <c r="J32" s="148"/>
      <c r="K32" s="148"/>
      <c r="L32" s="148"/>
      <c r="M32" s="148"/>
    </row>
    <row r="33" spans="1:13" ht="15.6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</row>
    <row r="34" spans="1:13" ht="15.6">
      <c r="A34" s="148"/>
      <c r="B34" s="148" t="s">
        <v>902</v>
      </c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</row>
    <row r="35" spans="1:13" ht="15.6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</row>
    <row r="36" spans="1:13" ht="15.6">
      <c r="A36" s="148"/>
      <c r="B36" s="148" t="s">
        <v>903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</row>
    <row r="37" spans="1:13" ht="15.6">
      <c r="A37" s="148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</row>
    <row r="38" spans="1:13" ht="15.6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</row>
    <row r="39" spans="1:13" ht="15.6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</row>
    <row r="40" spans="1:13" ht="15.6">
      <c r="A40" s="14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</row>
    <row r="41" spans="1:13" ht="15.6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</row>
    <row r="42" spans="1:13" ht="15.6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</row>
    <row r="43" spans="1:13" ht="15.6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</row>
    <row r="44" spans="1:13" ht="15.6">
      <c r="A44" s="148"/>
      <c r="B44" s="148" t="s">
        <v>904</v>
      </c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</row>
    <row r="45" spans="1:13" ht="15.6">
      <c r="A45" s="148"/>
      <c r="B45" s="241" t="s">
        <v>729</v>
      </c>
      <c r="C45" s="241" t="s">
        <v>689</v>
      </c>
      <c r="D45" s="241" t="s">
        <v>936</v>
      </c>
      <c r="E45" s="241" t="s">
        <v>937</v>
      </c>
      <c r="F45" s="241" t="s">
        <v>159</v>
      </c>
      <c r="G45" s="241" t="s">
        <v>905</v>
      </c>
      <c r="H45" s="148"/>
      <c r="I45" s="148"/>
      <c r="J45" s="148"/>
      <c r="K45" s="148"/>
      <c r="L45" s="148"/>
      <c r="M45" s="148"/>
    </row>
    <row r="46" spans="1:13" ht="15.6">
      <c r="A46" s="148"/>
      <c r="B46" s="241" t="s">
        <v>68</v>
      </c>
      <c r="C46" s="217">
        <f>'Distillation Column 1 '!G24</f>
        <v>0.28358208955223885</v>
      </c>
      <c r="D46" s="217">
        <f>(Database!C44*(($E$32)-('Distillation Column 1 '!$G$31+273.15))+((Database!D44*(($E$32)^2-('Distillation Column 1 '!$G$31+273.15)^2))/2)+((Database!E44*(($E$32)^3-('Distillation Column 1 '!$G$31+273.15)^3))/3)+((Database!F44*(($E$32)^4-('Distillation Column 1 '!$G$31+273.15)^4))/4))/1000</f>
        <v>3.3315142031543536</v>
      </c>
      <c r="E46" s="217">
        <f>C46*D46</f>
        <v>0.94475775910347359</v>
      </c>
      <c r="F46" s="241">
        <v>25.7</v>
      </c>
      <c r="G46" s="241">
        <f>F46*C46</f>
        <v>7.2880597014925383</v>
      </c>
      <c r="H46" s="148"/>
      <c r="I46" s="148"/>
      <c r="J46" s="148"/>
      <c r="K46" s="148"/>
      <c r="L46" s="148"/>
      <c r="M46" s="148"/>
    </row>
    <row r="47" spans="1:13" ht="15.6">
      <c r="A47" s="148"/>
      <c r="B47" s="241" t="s">
        <v>69</v>
      </c>
      <c r="C47" s="217">
        <f>'Distillation Column 1 '!G25</f>
        <v>0.59701492537313428</v>
      </c>
      <c r="D47" s="217">
        <f>(Database!C45*(($E$32)-('Distillation Column 1 '!$G$31+273.15))+((Database!D45*(($E$32)^2-('Distillation Column 1 '!$G$31+273.15)^2))/2)+((Database!E45*(($E$32)^3-('Distillation Column 1 '!$G$31+273.15)^3))/3)+((Database!F45*(($E$32)^4-('Distillation Column 1 '!$G$31+273.15)^4))/4))/1000</f>
        <v>7.1360707588270946</v>
      </c>
      <c r="E47" s="217">
        <f t="shared" ref="E47:E49" si="6">C47*D47</f>
        <v>4.2603407515385632</v>
      </c>
      <c r="F47" s="241">
        <v>51.53</v>
      </c>
      <c r="G47" s="241">
        <f t="shared" ref="G47:G49" si="7">F47*C47</f>
        <v>30.764179104477609</v>
      </c>
      <c r="H47" s="148"/>
      <c r="I47" s="148"/>
      <c r="J47" s="148"/>
      <c r="K47" s="148"/>
      <c r="L47" s="148"/>
      <c r="M47" s="148"/>
    </row>
    <row r="48" spans="1:13" ht="15.6">
      <c r="A48" s="148"/>
      <c r="B48" s="241" t="s">
        <v>70</v>
      </c>
      <c r="C48" s="217">
        <f>'Distillation Column 1 '!G26</f>
        <v>4.4776119402985079E-2</v>
      </c>
      <c r="D48" s="217">
        <f>(Database!C46*(($E$32)-('Distillation Column 1 '!$G$31+273.15))+((Database!D46*(($E$32)^2-('Distillation Column 1 '!$G$31+273.15)^2))/2)+((Database!E46*(($E$32)^3-('Distillation Column 1 '!$G$31+273.15)^3))/3)+((Database!F46*(($E$32)^4-('Distillation Column 1 '!$G$31+273.15)^4))/4))/1000</f>
        <v>8.7847012041433032</v>
      </c>
      <c r="E48" s="217">
        <f t="shared" si="6"/>
        <v>0.39334483003626736</v>
      </c>
      <c r="F48" s="241">
        <v>64.459999999999994</v>
      </c>
      <c r="G48" s="241">
        <f t="shared" si="7"/>
        <v>2.886268656716418</v>
      </c>
      <c r="H48" s="148"/>
      <c r="I48" s="148"/>
      <c r="J48" s="148"/>
      <c r="K48" s="148"/>
      <c r="L48" s="148"/>
      <c r="M48" s="148"/>
    </row>
    <row r="49" spans="1:13" ht="15.6">
      <c r="A49" s="148"/>
      <c r="B49" s="241" t="s">
        <v>71</v>
      </c>
      <c r="C49" s="217">
        <f>'Distillation Column 1 '!G27</f>
        <v>7.4626865671641784E-2</v>
      </c>
      <c r="D49" s="217">
        <f>(Database!C47*(($E$32)-('Distillation Column 1 '!$G$31+273.15))+((Database!D47*(($E$32)^2-('Distillation Column 1 '!$G$31+273.15)^2))/2)+((Database!E47*(($E$32)^3-('Distillation Column 1 '!$G$31+273.15)^3))/3)+((Database!F47*(($E$32)^4-('Distillation Column 1 '!$G$31+273.15)^4))/4))/1000</f>
        <v>13.841733953565658</v>
      </c>
      <c r="E49" s="217">
        <f t="shared" si="6"/>
        <v>1.0329652204153474</v>
      </c>
      <c r="F49" s="241">
        <v>70.680000000000007</v>
      </c>
      <c r="G49" s="241">
        <f t="shared" si="7"/>
        <v>5.2746268656716415</v>
      </c>
      <c r="H49" s="148"/>
      <c r="I49" s="148"/>
      <c r="J49" s="148"/>
      <c r="K49" s="148"/>
      <c r="L49" s="148"/>
      <c r="M49" s="148"/>
    </row>
    <row r="50" spans="1:13" ht="15.6">
      <c r="A50" s="148"/>
      <c r="B50" s="241" t="s">
        <v>623</v>
      </c>
      <c r="C50" s="217">
        <f>SUM(C46:C49)</f>
        <v>1</v>
      </c>
      <c r="D50" s="241" t="s">
        <v>193</v>
      </c>
      <c r="E50" s="217">
        <f>SUM(E46:E49)</f>
        <v>6.6314085610936511</v>
      </c>
      <c r="F50" s="241" t="s">
        <v>193</v>
      </c>
      <c r="G50" s="241">
        <f>SUM(G46:G49)</f>
        <v>46.213134328358208</v>
      </c>
      <c r="H50" s="148"/>
      <c r="I50" s="148"/>
      <c r="J50" s="148"/>
      <c r="K50" s="148"/>
      <c r="L50" s="148"/>
      <c r="M50" s="148"/>
    </row>
    <row r="51" spans="1:13" ht="15.6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</row>
    <row r="52" spans="1:13" ht="15.6">
      <c r="A52" s="148"/>
      <c r="B52" s="148" t="s">
        <v>957</v>
      </c>
      <c r="C52" s="252" t="s">
        <v>135</v>
      </c>
      <c r="D52" s="148" t="s">
        <v>906</v>
      </c>
      <c r="E52" s="148"/>
      <c r="F52" s="148"/>
      <c r="G52" s="148"/>
      <c r="H52" s="148"/>
      <c r="I52" s="148"/>
      <c r="J52" s="148"/>
      <c r="K52" s="148"/>
      <c r="L52" s="148"/>
      <c r="M52" s="148"/>
    </row>
    <row r="53" spans="1:13" ht="15.6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</row>
    <row r="54" spans="1:13" ht="15.6">
      <c r="A54" s="148"/>
      <c r="B54" s="361" t="s">
        <v>957</v>
      </c>
      <c r="C54" s="363" t="s">
        <v>135</v>
      </c>
      <c r="D54" s="364">
        <f>(G50+E50)/G50</f>
        <v>1.1434961869059888</v>
      </c>
      <c r="E54" s="148"/>
      <c r="F54" s="148"/>
      <c r="G54" s="148"/>
      <c r="H54" s="148"/>
      <c r="I54" s="148"/>
      <c r="J54" s="148"/>
      <c r="K54" s="148"/>
      <c r="L54" s="148"/>
      <c r="M54" s="148"/>
    </row>
    <row r="55" spans="1:13" ht="15.6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</row>
    <row r="56" spans="1:13" ht="15.6">
      <c r="A56" s="148"/>
      <c r="B56" s="359" t="s">
        <v>907</v>
      </c>
      <c r="C56" s="359"/>
      <c r="D56" s="359"/>
      <c r="E56" s="148"/>
      <c r="F56" s="148"/>
      <c r="G56" s="148"/>
      <c r="H56" s="148"/>
      <c r="I56" s="148"/>
      <c r="J56" s="148"/>
      <c r="K56" s="148"/>
      <c r="L56" s="148"/>
      <c r="M56" s="148"/>
    </row>
    <row r="57" spans="1:13" ht="15.6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</row>
    <row r="58" spans="1:13" ht="15.6">
      <c r="A58" s="148"/>
      <c r="B58" s="148" t="s">
        <v>908</v>
      </c>
      <c r="C58" s="148" t="s">
        <v>909</v>
      </c>
      <c r="D58" s="148" t="s">
        <v>910</v>
      </c>
      <c r="E58" s="148"/>
      <c r="F58" s="148"/>
      <c r="G58" s="148"/>
      <c r="H58" s="148"/>
      <c r="I58" s="148"/>
      <c r="J58" s="148"/>
      <c r="K58" s="148"/>
      <c r="L58" s="148"/>
      <c r="M58" s="148"/>
    </row>
    <row r="59" spans="1:13" ht="15.6">
      <c r="A59" s="148"/>
      <c r="B59" s="148"/>
      <c r="C59" s="148" t="s">
        <v>909</v>
      </c>
      <c r="D59" s="148">
        <f>('Distillation Column 1 '!N23+'Distillation Column 1 '!I62)/2</f>
        <v>210</v>
      </c>
      <c r="E59" s="148" t="s">
        <v>898</v>
      </c>
      <c r="F59" s="148">
        <f>D59+273.15</f>
        <v>483.15</v>
      </c>
      <c r="G59" s="148" t="s">
        <v>611</v>
      </c>
      <c r="H59" s="148"/>
      <c r="I59" s="148"/>
      <c r="J59" s="148"/>
      <c r="K59" s="148"/>
      <c r="L59" s="148"/>
      <c r="M59" s="148"/>
    </row>
    <row r="60" spans="1:13" ht="15.6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</row>
    <row r="61" spans="1:13" ht="15.6">
      <c r="A61" s="148"/>
      <c r="B61" s="148" t="s">
        <v>938</v>
      </c>
      <c r="C61" s="256" t="s">
        <v>135</v>
      </c>
      <c r="D61" s="148">
        <v>1</v>
      </c>
      <c r="E61" s="148" t="s">
        <v>734</v>
      </c>
      <c r="F61" s="148"/>
      <c r="G61" s="148"/>
      <c r="H61" s="148"/>
      <c r="I61" s="148"/>
      <c r="J61" s="148"/>
      <c r="K61" s="148"/>
      <c r="L61" s="148"/>
      <c r="M61" s="148"/>
    </row>
    <row r="62" spans="1:13" ht="15.6">
      <c r="A62" s="148"/>
      <c r="B62" s="241" t="s">
        <v>729</v>
      </c>
      <c r="C62" s="241" t="s">
        <v>911</v>
      </c>
      <c r="D62" s="241" t="s">
        <v>912</v>
      </c>
      <c r="E62" s="241" t="s">
        <v>913</v>
      </c>
      <c r="F62" s="241" t="s">
        <v>914</v>
      </c>
      <c r="G62" s="241" t="s">
        <v>915</v>
      </c>
      <c r="H62" s="241" t="s">
        <v>916</v>
      </c>
      <c r="I62" s="241" t="s">
        <v>917</v>
      </c>
      <c r="J62" s="241" t="s">
        <v>918</v>
      </c>
      <c r="K62" s="148"/>
      <c r="L62" s="148"/>
      <c r="M62" s="148"/>
    </row>
    <row r="63" spans="1:13" ht="15.6">
      <c r="A63" s="148"/>
      <c r="B63" s="241" t="s">
        <v>68</v>
      </c>
      <c r="C63" s="200">
        <f>10^(Database!$C$56+Database!$D$56/F59+Database!$E$56*LOG10(F59)+Database!$F$56*F59+Database!$G$56*F59^2)</f>
        <v>65667.015409693529</v>
      </c>
      <c r="D63" s="217">
        <f>C63*0.00131579</f>
        <v>86.404002205920648</v>
      </c>
      <c r="E63" s="217">
        <f>D63/$D$61</f>
        <v>86.404002205920648</v>
      </c>
      <c r="F63" s="217">
        <f>E63/$E$65</f>
        <v>540.38385091920645</v>
      </c>
      <c r="G63" s="217">
        <f>E9</f>
        <v>0.28358208955223885</v>
      </c>
      <c r="H63" s="217">
        <f>G63*F63</f>
        <v>153.2431816039541</v>
      </c>
      <c r="I63" s="217">
        <f>H9</f>
        <v>0.32629228919800796</v>
      </c>
      <c r="J63" s="217">
        <f>I63*F63</f>
        <v>176.32308376206294</v>
      </c>
      <c r="K63" s="148"/>
      <c r="L63" s="148"/>
      <c r="M63" s="148"/>
    </row>
    <row r="64" spans="1:13" ht="15.6">
      <c r="A64" s="148"/>
      <c r="B64" s="241" t="s">
        <v>731</v>
      </c>
      <c r="C64" s="217">
        <f>10^(Database!$C$57+Database!$D$57/F59+Database!$E$57*LOG10(F59)+Database!$F$57*F59+Database!$G$57*F59^2)</f>
        <v>2305.2359500620755</v>
      </c>
      <c r="D64" s="217">
        <f t="shared" ref="D64:D66" si="8">C64*0.00131579</f>
        <v>3.0332064107321783</v>
      </c>
      <c r="E64" s="217">
        <f t="shared" ref="E64:E66" si="9">D64/$D$61</f>
        <v>3.0332064107321783</v>
      </c>
      <c r="F64" s="217">
        <f t="shared" ref="F64:F66" si="10">E64/$E$65</f>
        <v>18.970137019323893</v>
      </c>
      <c r="G64" s="241">
        <v>0.59699999999999998</v>
      </c>
      <c r="H64" s="217">
        <f t="shared" ref="H64:H66" si="11">G64*F64</f>
        <v>11.325171800536364</v>
      </c>
      <c r="I64" s="217">
        <v>0.67320000000000002</v>
      </c>
      <c r="J64" s="217">
        <f t="shared" ref="J64:J66" si="12">I64*F64</f>
        <v>12.770696241408846</v>
      </c>
      <c r="K64" s="148"/>
      <c r="L64" s="148"/>
      <c r="M64" s="148"/>
    </row>
    <row r="65" spans="1:13" ht="15.6">
      <c r="A65" s="148"/>
      <c r="B65" s="241" t="s">
        <v>732</v>
      </c>
      <c r="C65" s="241">
        <f>10^(Database!$C$58+Database!$D$58/F59+Database!$E$58*LOG10(F59)+Database!$F$58*F59+Database!$G$58*F59^2)</f>
        <v>121.5192039843387</v>
      </c>
      <c r="D65" s="217">
        <f t="shared" si="8"/>
        <v>0.15989375341055304</v>
      </c>
      <c r="E65" s="217">
        <f t="shared" si="9"/>
        <v>0.15989375341055304</v>
      </c>
      <c r="F65" s="217">
        <f t="shared" si="10"/>
        <v>1</v>
      </c>
      <c r="G65" s="241">
        <v>4.48E-2</v>
      </c>
      <c r="H65" s="217">
        <f t="shared" si="11"/>
        <v>4.48E-2</v>
      </c>
      <c r="I65" s="217">
        <v>5.0000000000000001E-4</v>
      </c>
      <c r="J65" s="217">
        <f t="shared" si="12"/>
        <v>5.0000000000000001E-4</v>
      </c>
      <c r="K65" s="148"/>
      <c r="L65" s="148"/>
      <c r="M65" s="148"/>
    </row>
    <row r="66" spans="1:13" ht="15.6">
      <c r="A66" s="148"/>
      <c r="B66" s="241" t="s">
        <v>71</v>
      </c>
      <c r="C66" s="241">
        <f>10^(Database!$C$59+Database!$D$59/F59+Database!$E$59*LOG10(F59)+Database!$F$59*F59+Database!$G$59*F59^2)</f>
        <v>12.878447402736846</v>
      </c>
      <c r="D66" s="217">
        <f t="shared" si="8"/>
        <v>1.6945332308047116E-2</v>
      </c>
      <c r="E66" s="217">
        <f t="shared" si="9"/>
        <v>1.6945332308047116E-2</v>
      </c>
      <c r="F66" s="217">
        <f t="shared" si="10"/>
        <v>0.10597870114748785</v>
      </c>
      <c r="G66" s="241">
        <v>7.46E-2</v>
      </c>
      <c r="H66" s="217">
        <f t="shared" si="11"/>
        <v>7.9060111056025936E-3</v>
      </c>
      <c r="I66" s="217">
        <v>0</v>
      </c>
      <c r="J66" s="217">
        <f t="shared" si="12"/>
        <v>0</v>
      </c>
      <c r="K66" s="148"/>
      <c r="L66" s="148"/>
      <c r="M66" s="148"/>
    </row>
    <row r="67" spans="1:13" ht="15.6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</row>
    <row r="68" spans="1:13" ht="15.6">
      <c r="A68" s="148"/>
      <c r="B68" s="148" t="s">
        <v>919</v>
      </c>
      <c r="C68" s="196">
        <f>1-D54</f>
        <v>-0.14349618690598875</v>
      </c>
      <c r="D68" s="148"/>
      <c r="E68" s="148"/>
      <c r="F68" s="148"/>
      <c r="G68" s="148"/>
      <c r="H68" s="148"/>
      <c r="I68" s="148"/>
      <c r="J68" s="148"/>
      <c r="K68" s="148"/>
      <c r="L68" s="148"/>
      <c r="M68" s="148"/>
    </row>
    <row r="69" spans="1:13" ht="15.6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</row>
    <row r="70" spans="1:13" ht="15.6">
      <c r="A70" s="148"/>
      <c r="B70" s="241" t="s">
        <v>698</v>
      </c>
      <c r="C70" s="241" t="s">
        <v>699</v>
      </c>
      <c r="D70" s="241" t="s">
        <v>700</v>
      </c>
      <c r="E70" s="241" t="s">
        <v>701</v>
      </c>
      <c r="F70" s="241" t="s">
        <v>702</v>
      </c>
      <c r="G70" s="241" t="s">
        <v>703</v>
      </c>
      <c r="H70" s="241" t="s">
        <v>704</v>
      </c>
      <c r="I70" s="148"/>
      <c r="J70" s="148"/>
      <c r="K70" s="148"/>
      <c r="L70" s="148"/>
      <c r="M70" s="148"/>
    </row>
    <row r="71" spans="1:13" ht="15.6">
      <c r="A71" s="148"/>
      <c r="B71" s="241">
        <v>2</v>
      </c>
      <c r="C71" s="217">
        <f>($F$63*$G$63)/($F$63-B71)</f>
        <v>0.28463554644574734</v>
      </c>
      <c r="D71" s="217">
        <f>($F$64*$G$64)/($F$64-B71)</f>
        <v>0.66735888977445446</v>
      </c>
      <c r="E71" s="217">
        <f>($F$65*$G$65)/($F$65-B71)</f>
        <v>-4.48E-2</v>
      </c>
      <c r="F71" s="217">
        <f>($F$66*$G$66)/($F$66-B71)</f>
        <v>-4.1741933474520217E-3</v>
      </c>
      <c r="G71" s="217">
        <f>-$C$68</f>
        <v>0.14349618690598875</v>
      </c>
      <c r="H71" s="217">
        <f>SUM(C71:G71)</f>
        <v>1.0465164297787384</v>
      </c>
      <c r="I71" s="148"/>
      <c r="J71" s="148"/>
      <c r="K71" s="148"/>
      <c r="L71" s="148"/>
      <c r="M71" s="148"/>
    </row>
    <row r="72" spans="1:13" ht="15.6">
      <c r="A72" s="148"/>
      <c r="B72" s="241">
        <v>1.5</v>
      </c>
      <c r="C72" s="217">
        <f t="shared" ref="C72:C74" si="13">($F$63*$G$63)/($F$63-B72)</f>
        <v>0.28437144913984347</v>
      </c>
      <c r="D72" s="217">
        <f t="shared" ref="D72:D74" si="14">($F$64*$G$64)/($F$64-B72)</f>
        <v>0.64825889963023631</v>
      </c>
      <c r="E72" s="217">
        <f t="shared" ref="E72:E74" si="15">($F$65*$G$65)/($F$65-B72)</f>
        <v>-8.9599999999999999E-2</v>
      </c>
      <c r="F72" s="217">
        <f t="shared" ref="F72:F74" si="16">($F$66*$G$66)/($F$66-B72)</f>
        <v>-5.671370381579121E-3</v>
      </c>
      <c r="G72" s="217">
        <f t="shared" ref="G72:G74" si="17">-$C$68</f>
        <v>0.14349618690598875</v>
      </c>
      <c r="H72" s="217">
        <f t="shared" ref="H72:H74" si="18">SUM(C72:G72)</f>
        <v>0.98085516529448935</v>
      </c>
      <c r="I72" s="148"/>
      <c r="J72" s="148"/>
      <c r="K72" s="148"/>
      <c r="L72" s="148"/>
      <c r="M72" s="148"/>
    </row>
    <row r="73" spans="1:13" ht="15.6">
      <c r="A73" s="148"/>
      <c r="B73" s="241">
        <v>1.2</v>
      </c>
      <c r="C73" s="217">
        <f t="shared" si="13"/>
        <v>0.28421322586480191</v>
      </c>
      <c r="D73" s="217">
        <f t="shared" si="14"/>
        <v>0.63731482701686315</v>
      </c>
      <c r="E73" s="217">
        <f t="shared" si="15"/>
        <v>-0.22400000000000006</v>
      </c>
      <c r="F73" s="217">
        <f t="shared" si="16"/>
        <v>-7.2265605010569571E-3</v>
      </c>
      <c r="G73" s="217">
        <f t="shared" si="17"/>
        <v>0.14349618690598875</v>
      </c>
      <c r="H73" s="217">
        <f t="shared" si="18"/>
        <v>0.83379767928659676</v>
      </c>
      <c r="I73" s="148"/>
      <c r="J73" s="148"/>
      <c r="K73" s="148"/>
      <c r="L73" s="148"/>
      <c r="M73" s="148"/>
    </row>
    <row r="74" spans="1:13" ht="15.6">
      <c r="A74" s="148"/>
      <c r="B74" s="241">
        <v>1.0426299999999999</v>
      </c>
      <c r="C74" s="217">
        <f t="shared" si="13"/>
        <v>0.28413029759301489</v>
      </c>
      <c r="D74" s="217">
        <f t="shared" si="14"/>
        <v>0.63172039415904657</v>
      </c>
      <c r="E74" s="217">
        <f t="shared" si="15"/>
        <v>-1.0509031198686385</v>
      </c>
      <c r="F74" s="217">
        <f t="shared" si="16"/>
        <v>-8.4407197377382778E-3</v>
      </c>
      <c r="G74" s="217">
        <f t="shared" si="17"/>
        <v>0.14349618690598875</v>
      </c>
      <c r="H74" s="217">
        <f t="shared" si="18"/>
        <v>3.03905167345353E-6</v>
      </c>
      <c r="I74" s="148"/>
      <c r="J74" s="148"/>
      <c r="K74" s="148"/>
      <c r="L74" s="148"/>
      <c r="M74" s="148"/>
    </row>
    <row r="75" spans="1:13" ht="15.6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</row>
    <row r="76" spans="1:13" ht="15.6">
      <c r="A76" s="148"/>
      <c r="B76" s="148" t="s">
        <v>705</v>
      </c>
      <c r="C76" s="256" t="s">
        <v>135</v>
      </c>
      <c r="D76" s="215">
        <f>B74</f>
        <v>1.0426299999999999</v>
      </c>
      <c r="E76" s="148"/>
      <c r="F76" s="148"/>
      <c r="G76" s="148"/>
      <c r="H76" s="148"/>
      <c r="I76" s="148"/>
      <c r="J76" s="148"/>
      <c r="K76" s="148"/>
      <c r="L76" s="148"/>
      <c r="M76" s="148"/>
    </row>
    <row r="77" spans="1:13" ht="15.6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</row>
    <row r="78" spans="1:13" ht="15.6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</row>
    <row r="79" spans="1:13" ht="15.6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</row>
    <row r="80" spans="1:13" ht="15.6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</row>
    <row r="81" spans="1:13" ht="15.6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</row>
    <row r="82" spans="1:13" ht="15.6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</row>
    <row r="83" spans="1:13" ht="15.6">
      <c r="A83" s="148"/>
      <c r="B83" s="148" t="s">
        <v>920</v>
      </c>
      <c r="C83" s="196">
        <f>(J63)/(F63-D76)+(J64)/(F64-D76)+(J65)/(F65-D76)+(J66)/(F66-D76)</f>
        <v>1.0275462756566147</v>
      </c>
      <c r="D83" s="148"/>
      <c r="E83" s="148"/>
      <c r="F83" s="148"/>
      <c r="G83" s="148"/>
      <c r="H83" s="148"/>
      <c r="I83" s="148"/>
      <c r="J83" s="148"/>
      <c r="K83" s="148"/>
      <c r="L83" s="148"/>
      <c r="M83" s="148"/>
    </row>
    <row r="84" spans="1:13" ht="15.6">
      <c r="A84" s="148"/>
      <c r="B84" s="148" t="s">
        <v>921</v>
      </c>
      <c r="C84" s="196">
        <f>C83-1</f>
        <v>2.7546275656614716E-2</v>
      </c>
      <c r="D84" s="148"/>
      <c r="E84" s="148"/>
      <c r="F84" s="148"/>
      <c r="G84" s="148"/>
      <c r="H84" s="148"/>
      <c r="I84" s="148"/>
      <c r="J84" s="148"/>
      <c r="K84" s="148"/>
      <c r="L84" s="148"/>
      <c r="M84" s="148"/>
    </row>
    <row r="85" spans="1:13" ht="15.6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</row>
    <row r="86" spans="1:13" ht="15.6">
      <c r="A86" s="148"/>
      <c r="B86" s="148" t="s">
        <v>922</v>
      </c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</row>
    <row r="87" spans="1:13" ht="15.6">
      <c r="A87" s="148"/>
      <c r="B87" s="148" t="s">
        <v>923</v>
      </c>
      <c r="C87" s="148">
        <v>0.25</v>
      </c>
      <c r="D87" s="148"/>
      <c r="E87" s="148"/>
      <c r="F87" s="148"/>
      <c r="G87" s="148"/>
      <c r="H87" s="148"/>
      <c r="I87" s="148"/>
      <c r="J87" s="148"/>
      <c r="K87" s="148"/>
      <c r="L87" s="148"/>
      <c r="M87" s="148"/>
    </row>
    <row r="88" spans="1:13" ht="15.6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</row>
    <row r="89" spans="1:13" ht="15.6">
      <c r="A89" s="148"/>
      <c r="B89" s="148" t="s">
        <v>924</v>
      </c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</row>
    <row r="90" spans="1:13" ht="15.6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</row>
    <row r="91" spans="1:13" ht="15.6">
      <c r="A91" s="148"/>
      <c r="B91" s="148" t="s">
        <v>940</v>
      </c>
      <c r="C91" s="256" t="s">
        <v>135</v>
      </c>
      <c r="D91" s="148">
        <v>170</v>
      </c>
      <c r="E91" s="148" t="s">
        <v>898</v>
      </c>
      <c r="F91" s="148">
        <v>443.15</v>
      </c>
      <c r="G91" s="148" t="s">
        <v>611</v>
      </c>
      <c r="H91" s="148"/>
      <c r="I91" s="148"/>
      <c r="J91" s="148"/>
      <c r="K91" s="148"/>
      <c r="L91" s="148"/>
      <c r="M91" s="148"/>
    </row>
    <row r="92" spans="1:13" ht="15.6">
      <c r="A92" s="148"/>
      <c r="B92" s="148" t="s">
        <v>629</v>
      </c>
      <c r="C92" s="256" t="s">
        <v>135</v>
      </c>
      <c r="D92" s="148">
        <f>'Distillation Column 1 '!N24</f>
        <v>1</v>
      </c>
      <c r="E92" s="148" t="s">
        <v>734</v>
      </c>
      <c r="F92" s="148"/>
      <c r="G92" s="148"/>
      <c r="H92" s="148"/>
      <c r="I92" s="148"/>
      <c r="J92" s="148"/>
      <c r="K92" s="148"/>
      <c r="L92" s="148"/>
      <c r="M92" s="148"/>
    </row>
    <row r="93" spans="1:13" ht="15.6">
      <c r="A93" s="148"/>
      <c r="B93" s="241" t="s">
        <v>729</v>
      </c>
      <c r="C93" s="241" t="s">
        <v>911</v>
      </c>
      <c r="D93" s="241" t="s">
        <v>912</v>
      </c>
      <c r="E93" s="241" t="s">
        <v>913</v>
      </c>
      <c r="F93" s="241" t="s">
        <v>914</v>
      </c>
      <c r="G93" s="241" t="s">
        <v>895</v>
      </c>
      <c r="H93" s="148"/>
      <c r="I93" s="148"/>
      <c r="J93" s="148"/>
      <c r="K93" s="148"/>
      <c r="L93" s="148"/>
      <c r="M93" s="148"/>
    </row>
    <row r="94" spans="1:13" ht="15.6">
      <c r="A94" s="148"/>
      <c r="B94" s="242" t="s">
        <v>68</v>
      </c>
      <c r="C94" s="200">
        <f>10^(Database!$C$56+Database!$D$56/$F$91+Database!$E$56*LOG10($F$91)+Database!$F$56*$F$91+Database!$G$56*$F$91^2)</f>
        <v>36896.056999430446</v>
      </c>
      <c r="D94" s="217">
        <f>C94*0.00131579</f>
        <v>48.547462839280591</v>
      </c>
      <c r="E94" s="217">
        <f>D94/$D$92</f>
        <v>48.547462839280591</v>
      </c>
      <c r="F94" s="217">
        <f>E94/$E$96</f>
        <v>1512.315076265515</v>
      </c>
      <c r="G94" s="217">
        <f>H9</f>
        <v>0.32629228919800796</v>
      </c>
      <c r="H94" s="148"/>
      <c r="I94" s="148"/>
      <c r="J94" s="148"/>
      <c r="K94" s="148"/>
      <c r="L94" s="148"/>
      <c r="M94" s="148"/>
    </row>
    <row r="95" spans="1:13" ht="15.6">
      <c r="A95" s="148"/>
      <c r="B95" s="242" t="s">
        <v>731</v>
      </c>
      <c r="C95" s="200">
        <f>10^(Database!$C$57+Database!$D$57/$F$91+Database!$E$57*LOG10($F$91)+Database!$F$57*$F$91+Database!$G$57*$F$91^2)</f>
        <v>739.21425525158043</v>
      </c>
      <c r="D95" s="217">
        <f t="shared" ref="D95:D97" si="19">C95*0.00131579</f>
        <v>0.97265072491747706</v>
      </c>
      <c r="E95" s="217">
        <f t="shared" ref="E95:E97" si="20">D95/$D$92</f>
        <v>0.97265072491747706</v>
      </c>
      <c r="F95" s="217">
        <f t="shared" ref="F95:F97" si="21">E95/$E$96</f>
        <v>30.299304416854266</v>
      </c>
      <c r="G95" s="217">
        <f t="shared" ref="G95:G97" si="22">H10</f>
        <v>0.67319251245062672</v>
      </c>
      <c r="H95" s="148"/>
      <c r="I95" s="148"/>
      <c r="J95" s="148"/>
      <c r="K95" s="148"/>
      <c r="L95" s="148"/>
      <c r="M95" s="148"/>
    </row>
    <row r="96" spans="1:13" ht="15.6">
      <c r="A96" s="148"/>
      <c r="B96" s="242" t="s">
        <v>732</v>
      </c>
      <c r="C96" s="200">
        <f>10^(Database!$C$58+Database!$D$58/$F$91+Database!$E$58*LOG10($F$91)+Database!$F$58*$F$91+Database!$G$58*$F$91^2)</f>
        <v>24.397070146613192</v>
      </c>
      <c r="D96" s="217">
        <f t="shared" si="19"/>
        <v>3.2101420928212172E-2</v>
      </c>
      <c r="E96" s="217">
        <f t="shared" si="20"/>
        <v>3.2101420928212172E-2</v>
      </c>
      <c r="F96" s="217">
        <f t="shared" si="21"/>
        <v>1</v>
      </c>
      <c r="G96" s="217">
        <f t="shared" si="22"/>
        <v>5.1519835136527577E-4</v>
      </c>
      <c r="H96" s="148"/>
      <c r="I96" s="148"/>
      <c r="J96" s="148"/>
      <c r="K96" s="148"/>
      <c r="L96" s="148"/>
      <c r="M96" s="148"/>
    </row>
    <row r="97" spans="1:13" ht="15.6">
      <c r="A97" s="148"/>
      <c r="B97" s="242" t="s">
        <v>71</v>
      </c>
      <c r="C97" s="200">
        <f>10^(Database!$C$59+Database!$D$59/$F$91+Database!$E$59*LOG10($F$91)+Database!$F$59*$F$91+Database!$G$59*$F$91^2)</f>
        <v>1.9227373413985533</v>
      </c>
      <c r="D97" s="217">
        <f t="shared" si="19"/>
        <v>2.5299185664388025E-3</v>
      </c>
      <c r="E97" s="217">
        <f t="shared" si="20"/>
        <v>2.5299185664388025E-3</v>
      </c>
      <c r="F97" s="217">
        <f t="shared" si="21"/>
        <v>7.8810173920226573E-2</v>
      </c>
      <c r="G97" s="217">
        <f t="shared" si="22"/>
        <v>0</v>
      </c>
      <c r="H97" s="148"/>
      <c r="I97" s="148"/>
      <c r="J97" s="148"/>
      <c r="K97" s="148"/>
      <c r="L97" s="148"/>
      <c r="M97" s="148"/>
    </row>
    <row r="98" spans="1:13" ht="15.6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</row>
    <row r="99" spans="1:13" ht="15.6">
      <c r="A99" s="148"/>
      <c r="B99" s="148" t="s">
        <v>941</v>
      </c>
      <c r="C99" s="256" t="s">
        <v>135</v>
      </c>
      <c r="D99" s="148">
        <v>250</v>
      </c>
      <c r="E99" s="148" t="s">
        <v>898</v>
      </c>
      <c r="F99" s="148">
        <v>523.15</v>
      </c>
      <c r="G99" s="148" t="s">
        <v>611</v>
      </c>
      <c r="H99" s="148"/>
      <c r="I99" s="148"/>
      <c r="J99" s="148"/>
      <c r="K99" s="148"/>
      <c r="L99" s="148"/>
      <c r="M99" s="148"/>
    </row>
    <row r="100" spans="1:13" ht="15.6">
      <c r="A100" s="148"/>
      <c r="B100" s="241" t="s">
        <v>729</v>
      </c>
      <c r="C100" s="241" t="s">
        <v>911</v>
      </c>
      <c r="D100" s="241" t="s">
        <v>912</v>
      </c>
      <c r="E100" s="241" t="s">
        <v>913</v>
      </c>
      <c r="F100" s="241" t="s">
        <v>914</v>
      </c>
      <c r="G100" s="241" t="s">
        <v>619</v>
      </c>
      <c r="H100" s="148"/>
      <c r="I100" s="148"/>
      <c r="J100" s="148"/>
      <c r="K100" s="148"/>
      <c r="L100" s="148"/>
      <c r="M100" s="148"/>
    </row>
    <row r="101" spans="1:13" ht="15.6">
      <c r="A101" s="148"/>
      <c r="B101" s="241" t="s">
        <v>68</v>
      </c>
      <c r="C101" s="217">
        <f>10^(Database!$C$56+Database!$D$56/$F$99+Database!$E$56*LOG10($F$99)+Database!$F$56*$F$99+Database!$G$56*$F$99^2)</f>
        <v>109067.34792628427</v>
      </c>
      <c r="D101" s="217">
        <f>C101*0.00131579</f>
        <v>143.5097257279256</v>
      </c>
      <c r="E101" s="217">
        <f>D101/$D$92</f>
        <v>143.5097257279256</v>
      </c>
      <c r="F101" s="217">
        <f>E101/$E$103</f>
        <v>244.12551660136216</v>
      </c>
      <c r="G101" s="217">
        <f>K9</f>
        <v>0</v>
      </c>
      <c r="H101" s="148"/>
      <c r="I101" s="148"/>
      <c r="J101" s="148"/>
      <c r="K101" s="148"/>
      <c r="L101" s="148"/>
      <c r="M101" s="148"/>
    </row>
    <row r="102" spans="1:13" ht="15.6">
      <c r="A102" s="148"/>
      <c r="B102" s="241" t="s">
        <v>731</v>
      </c>
      <c r="C102" s="217">
        <f>10^(Database!$C$57+Database!$D$57/$F$99+Database!$E$57*LOG10($F$99)+Database!$F$57*$F$99+Database!$G$57*$F$99^2)</f>
        <v>5941.1132165713398</v>
      </c>
      <c r="D102" s="217">
        <f t="shared" ref="D102:D104" si="23">C102*0.00131579</f>
        <v>7.8172573592324035</v>
      </c>
      <c r="E102" s="217">
        <f t="shared" ref="E102:E104" si="24">D102/$D$92</f>
        <v>7.8172573592324035</v>
      </c>
      <c r="F102" s="217">
        <f t="shared" ref="F102:F104" si="25">E102/$E$103</f>
        <v>13.297997620359581</v>
      </c>
      <c r="G102" s="217">
        <f t="shared" ref="G102:G104" si="26">K10</f>
        <v>9.12200684150513E-2</v>
      </c>
      <c r="H102" s="148"/>
      <c r="I102" s="148"/>
      <c r="J102" s="148"/>
      <c r="K102" s="148"/>
      <c r="L102" s="148"/>
      <c r="M102" s="148"/>
    </row>
    <row r="103" spans="1:13" ht="15.6">
      <c r="A103" s="148"/>
      <c r="B103" s="241" t="s">
        <v>732</v>
      </c>
      <c r="C103" s="217">
        <f>10^(Database!$C$58+Database!$D$58/$F$99+Database!$E$58*LOG10($F$99)+Database!$F$58*$F$99+Database!$G$58*$F$99^2)</f>
        <v>446.76750486669818</v>
      </c>
      <c r="D103" s="217">
        <f t="shared" si="23"/>
        <v>0.5878522152285528</v>
      </c>
      <c r="E103" s="217">
        <f t="shared" si="24"/>
        <v>0.5878522152285528</v>
      </c>
      <c r="F103" s="217">
        <f t="shared" si="25"/>
        <v>1</v>
      </c>
      <c r="G103" s="217">
        <f t="shared" si="26"/>
        <v>0.33865450399087799</v>
      </c>
      <c r="H103" s="148"/>
      <c r="I103" s="148"/>
      <c r="J103" s="148"/>
      <c r="K103" s="148"/>
      <c r="L103" s="148"/>
      <c r="M103" s="148"/>
    </row>
    <row r="104" spans="1:13" ht="15.6">
      <c r="A104" s="148"/>
      <c r="B104" s="241" t="s">
        <v>71</v>
      </c>
      <c r="C104" s="217">
        <f>10^(Database!$C$59+Database!$D$59/$F$99+Database!$E$59*LOG10($F$99)+Database!$F$59*$F$99+Database!$G$59*$F$99^2)</f>
        <v>59.502646907900342</v>
      </c>
      <c r="D104" s="217">
        <f t="shared" si="23"/>
        <v>7.8292987774946199E-2</v>
      </c>
      <c r="E104" s="217">
        <f t="shared" si="24"/>
        <v>7.8292987774946199E-2</v>
      </c>
      <c r="F104" s="217">
        <f t="shared" si="25"/>
        <v>0.13318481371122576</v>
      </c>
      <c r="G104" s="217">
        <f t="shared" si="26"/>
        <v>0.5701254275940707</v>
      </c>
      <c r="H104" s="148"/>
      <c r="I104" s="148"/>
      <c r="J104" s="148"/>
      <c r="K104" s="148"/>
      <c r="L104" s="148"/>
      <c r="M104" s="148"/>
    </row>
    <row r="105" spans="1:13" ht="15.6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</row>
    <row r="106" spans="1:13" ht="15.6">
      <c r="A106" s="148"/>
      <c r="B106" s="148" t="s">
        <v>925</v>
      </c>
      <c r="C106" s="196">
        <f>SQRT(F95*F102)</f>
        <v>20.07286920282894</v>
      </c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</row>
    <row r="107" spans="1:13" ht="15.6">
      <c r="A107" s="148"/>
      <c r="B107" s="148"/>
      <c r="C107" s="196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</row>
    <row r="108" spans="1:13" ht="15.6">
      <c r="A108" s="148"/>
      <c r="B108" s="148" t="s">
        <v>926</v>
      </c>
      <c r="C108" s="196">
        <f>LOG10(G95/G96*G103/G102)/LOG(C106)</f>
        <v>2.8295750973882434</v>
      </c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</row>
    <row r="109" spans="1:13" ht="15.6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</row>
    <row r="110" spans="1:13" ht="15.6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</row>
    <row r="111" spans="1:13" ht="15.6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</row>
    <row r="112" spans="1:13" ht="15.6">
      <c r="A112" s="148"/>
      <c r="B112" s="148" t="s">
        <v>927</v>
      </c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</row>
    <row r="113" spans="1:13" ht="15.6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</row>
    <row r="114" spans="1:13" ht="15.6">
      <c r="A114" s="148"/>
      <c r="B114" s="148" t="s">
        <v>928</v>
      </c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</row>
    <row r="115" spans="1:13" ht="15.6">
      <c r="A115" s="148"/>
      <c r="B115" s="148" t="s">
        <v>746</v>
      </c>
      <c r="C115" s="148">
        <f>1.5*C87</f>
        <v>0.375</v>
      </c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</row>
    <row r="116" spans="1:13" ht="15.6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</row>
    <row r="117" spans="1:13" ht="15.6">
      <c r="A117" s="148"/>
      <c r="B117" s="148" t="s">
        <v>929</v>
      </c>
      <c r="C117" s="196">
        <f>C115/(C115+1)</f>
        <v>0.27272727272727271</v>
      </c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</row>
    <row r="118" spans="1:13" ht="15.6">
      <c r="A118" s="148"/>
      <c r="B118" s="148" t="s">
        <v>930</v>
      </c>
      <c r="C118" s="148">
        <f>C87/(C87+1)</f>
        <v>0.2</v>
      </c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</row>
    <row r="119" spans="1:13" ht="15.6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</row>
    <row r="120" spans="1:13" ht="15.6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</row>
    <row r="121" spans="1:13" ht="15.6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</row>
    <row r="122" spans="1:13" ht="15.6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</row>
    <row r="123" spans="1:13" ht="15.6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</row>
    <row r="124" spans="1:13" ht="15.6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</row>
    <row r="125" spans="1:13" ht="15.6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</row>
    <row r="126" spans="1:13" ht="15.6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</row>
    <row r="127" spans="1:13" ht="15.6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</row>
    <row r="128" spans="1:13" ht="15.6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</row>
    <row r="129" spans="1:13" ht="15.6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</row>
    <row r="130" spans="1:13" ht="15.6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</row>
    <row r="131" spans="1:13" ht="15.6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</row>
    <row r="132" spans="1:13" ht="15.6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</row>
    <row r="133" spans="1:13" ht="15.6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</row>
    <row r="134" spans="1:13" ht="15.6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</row>
    <row r="135" spans="1:13" ht="15.6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</row>
    <row r="136" spans="1:13" ht="15.6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</row>
    <row r="137" spans="1:13" ht="15.6">
      <c r="A137" s="148"/>
      <c r="B137" s="148" t="s">
        <v>931</v>
      </c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</row>
    <row r="138" spans="1:13" ht="15.6">
      <c r="A138" s="148"/>
      <c r="B138" s="148" t="s">
        <v>932</v>
      </c>
      <c r="C138" s="148">
        <v>0.4</v>
      </c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</row>
    <row r="139" spans="1:13" ht="15.6">
      <c r="A139" s="148"/>
      <c r="B139" s="148" t="s">
        <v>942</v>
      </c>
      <c r="C139" s="256" t="s">
        <v>135</v>
      </c>
      <c r="D139" s="196">
        <f>C108/C138</f>
        <v>7.0739377434706086</v>
      </c>
      <c r="E139" s="148" t="s">
        <v>718</v>
      </c>
      <c r="F139" s="148"/>
      <c r="G139" s="148"/>
      <c r="H139" s="148"/>
      <c r="I139" s="148"/>
      <c r="J139" s="148"/>
      <c r="K139" s="148"/>
      <c r="L139" s="148"/>
      <c r="M139" s="148"/>
    </row>
    <row r="140" spans="1:13" ht="15.6">
      <c r="A140" s="148"/>
      <c r="B140" s="356" t="s">
        <v>717</v>
      </c>
      <c r="C140" s="358" t="s">
        <v>135</v>
      </c>
      <c r="D140" s="357">
        <f>D139-1</f>
        <v>6.0739377434706086</v>
      </c>
      <c r="E140" s="356" t="s">
        <v>933</v>
      </c>
      <c r="F140" s="356" t="s">
        <v>720</v>
      </c>
      <c r="G140" s="148"/>
      <c r="H140" s="148"/>
      <c r="I140" s="148"/>
      <c r="J140" s="148"/>
      <c r="K140" s="148"/>
      <c r="L140" s="148"/>
      <c r="M140" s="148"/>
    </row>
    <row r="141" spans="1:13" ht="15.6">
      <c r="A141" s="148"/>
      <c r="G141" s="148"/>
      <c r="H141" s="148"/>
      <c r="I141" s="148"/>
      <c r="J141" s="148"/>
      <c r="K141" s="148"/>
      <c r="L141" s="148"/>
      <c r="M141" s="148"/>
    </row>
    <row r="142" spans="1:13" ht="15.6">
      <c r="A142" s="148"/>
      <c r="G142" s="148"/>
      <c r="H142" s="148"/>
      <c r="I142" s="148"/>
      <c r="J142" s="148"/>
      <c r="K142" s="148"/>
      <c r="L142" s="148"/>
      <c r="M142" s="148"/>
    </row>
    <row r="143" spans="1:13" ht="15.6">
      <c r="A143" s="148"/>
      <c r="G143" s="148"/>
      <c r="H143" s="148"/>
      <c r="I143" s="148"/>
      <c r="J143" s="148"/>
      <c r="K143" s="148"/>
      <c r="L143" s="148"/>
      <c r="M143" s="148"/>
    </row>
    <row r="144" spans="1:13" ht="15.6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</row>
    <row r="145" spans="1:13" ht="15.6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</row>
  </sheetData>
  <mergeCells count="7">
    <mergeCell ref="K7:M7"/>
    <mergeCell ref="C13:D13"/>
    <mergeCell ref="B22:K22"/>
    <mergeCell ref="C7:C8"/>
    <mergeCell ref="D7:D8"/>
    <mergeCell ref="E7:G7"/>
    <mergeCell ref="H7:J7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4ABB-4F00-4688-A993-EEA94D99E239}">
  <dimension ref="A1:W122"/>
  <sheetViews>
    <sheetView topLeftCell="A97" zoomScale="68" zoomScaleNormal="68" workbookViewId="0">
      <selection activeCell="L16" sqref="L16"/>
    </sheetView>
  </sheetViews>
  <sheetFormatPr defaultRowHeight="13.2"/>
  <cols>
    <col min="2" max="2" width="16.109375" customWidth="1"/>
    <col min="3" max="3" width="11.5546875" customWidth="1"/>
    <col min="4" max="5" width="21.5546875" customWidth="1"/>
    <col min="6" max="6" width="15.5546875" customWidth="1"/>
    <col min="7" max="7" width="12.33203125" customWidth="1"/>
    <col min="9" max="9" width="11.6640625" customWidth="1"/>
    <col min="10" max="10" width="12.6640625" customWidth="1"/>
    <col min="12" max="12" width="9.77734375" customWidth="1"/>
    <col min="13" max="13" width="11.5546875" customWidth="1"/>
    <col min="14" max="14" width="11" customWidth="1"/>
    <col min="18" max="18" width="19" customWidth="1"/>
    <col min="20" max="20" width="9.33203125" bestFit="1" customWidth="1"/>
  </cols>
  <sheetData>
    <row r="1" spans="1:23" ht="15.6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</row>
    <row r="2" spans="1:23" ht="15.6">
      <c r="A2" s="148"/>
      <c r="B2" s="148" t="s">
        <v>726</v>
      </c>
      <c r="C2" s="522" t="s">
        <v>729</v>
      </c>
      <c r="D2" s="522" t="s">
        <v>730</v>
      </c>
      <c r="E2" s="520" t="s">
        <v>770</v>
      </c>
      <c r="F2" s="520"/>
      <c r="G2" s="520"/>
      <c r="H2" s="520" t="s">
        <v>727</v>
      </c>
      <c r="I2" s="520"/>
      <c r="J2" s="520"/>
      <c r="K2" s="520" t="s">
        <v>728</v>
      </c>
      <c r="L2" s="520"/>
      <c r="M2" s="520"/>
      <c r="N2" s="148"/>
      <c r="O2" s="148"/>
      <c r="P2" s="148"/>
      <c r="Q2" s="148"/>
      <c r="R2" s="148"/>
      <c r="S2" s="148"/>
      <c r="T2" s="148"/>
      <c r="U2" s="148"/>
      <c r="V2" s="148"/>
      <c r="W2" s="148"/>
    </row>
    <row r="3" spans="1:23" ht="15.6">
      <c r="A3" s="148"/>
      <c r="B3" s="148"/>
      <c r="C3" s="523"/>
      <c r="D3" s="523"/>
      <c r="E3" s="241" t="s">
        <v>615</v>
      </c>
      <c r="F3" s="241" t="s">
        <v>616</v>
      </c>
      <c r="G3" s="241" t="s">
        <v>617</v>
      </c>
      <c r="H3" s="241" t="s">
        <v>771</v>
      </c>
      <c r="I3" s="241" t="s">
        <v>616</v>
      </c>
      <c r="J3" s="241" t="s">
        <v>617</v>
      </c>
      <c r="K3" s="241" t="s">
        <v>619</v>
      </c>
      <c r="L3" s="241" t="s">
        <v>616</v>
      </c>
      <c r="M3" s="241" t="s">
        <v>617</v>
      </c>
      <c r="N3" s="148"/>
      <c r="O3" s="148"/>
      <c r="P3" s="148"/>
      <c r="Q3" s="148"/>
      <c r="R3" s="148"/>
      <c r="S3" s="148"/>
      <c r="T3" s="148"/>
      <c r="U3" s="148"/>
      <c r="V3" s="148"/>
      <c r="W3" s="148"/>
    </row>
    <row r="4" spans="1:23" ht="15.6">
      <c r="A4" s="148"/>
      <c r="B4" s="148"/>
      <c r="C4" s="241" t="s">
        <v>68</v>
      </c>
      <c r="D4" s="241">
        <f>'Distillation Column 1 '!R8</f>
        <v>44.052999999999997</v>
      </c>
      <c r="E4" s="217">
        <f>'Distillation Column 1 '!G24</f>
        <v>0.28358208955223885</v>
      </c>
      <c r="F4" s="217">
        <f>'Distillation Column 1 '!G17</f>
        <v>68.071127363343578</v>
      </c>
      <c r="G4" s="217">
        <f>F4*D4</f>
        <v>2998.7373737373746</v>
      </c>
      <c r="H4" s="217">
        <f>'Distillation Column 1 '!N16</f>
        <v>0.32629228919800796</v>
      </c>
      <c r="I4" s="217">
        <f>'Distillation Column 1 '!N9</f>
        <v>68.071127363343578</v>
      </c>
      <c r="J4" s="217">
        <f>I4*D4</f>
        <v>2998.7373737373746</v>
      </c>
      <c r="K4" s="217">
        <f>0</f>
        <v>0</v>
      </c>
      <c r="L4" s="217">
        <f>0</f>
        <v>0</v>
      </c>
      <c r="M4" s="217">
        <f>L4*D4</f>
        <v>0</v>
      </c>
      <c r="N4" s="148"/>
      <c r="O4" s="148"/>
      <c r="P4" s="148"/>
      <c r="Q4" s="148"/>
      <c r="R4" s="148"/>
      <c r="S4" s="148"/>
      <c r="T4" s="148"/>
      <c r="U4" s="148"/>
      <c r="V4" s="148"/>
      <c r="W4" s="148"/>
    </row>
    <row r="5" spans="1:23" ht="15.6">
      <c r="A5" s="148"/>
      <c r="B5" s="251" t="s">
        <v>621</v>
      </c>
      <c r="C5" s="241" t="s">
        <v>768</v>
      </c>
      <c r="D5" s="241">
        <f>'Distillation Column 1 '!R9</f>
        <v>61.082999999999998</v>
      </c>
      <c r="E5" s="217">
        <f>'Distillation Column 1 '!G25</f>
        <v>0.59701492537313428</v>
      </c>
      <c r="F5" s="217">
        <f>'Distillation Column 1 '!G18</f>
        <v>143.30763655440751</v>
      </c>
      <c r="G5" s="217">
        <f t="shared" ref="G5:G7" si="0">F5*D5</f>
        <v>8753.6603636528744</v>
      </c>
      <c r="H5" s="217">
        <f>'Distillation Column 1 '!N17</f>
        <v>0.67319251245062672</v>
      </c>
      <c r="I5" s="217">
        <f>'Distillation Column 1 '!N10</f>
        <v>140.44148382331934</v>
      </c>
      <c r="J5" s="217">
        <f t="shared" ref="J5:J7" si="1">I5*D5</f>
        <v>8578.5871563798155</v>
      </c>
      <c r="K5" s="217">
        <f>'Distillation Column 1 '!I56</f>
        <v>9.12200684150513E-2</v>
      </c>
      <c r="L5" s="217">
        <f>'Distillation Column 1 '!I49</f>
        <v>2.8661527310881501</v>
      </c>
      <c r="M5" s="217">
        <f>L5*D5</f>
        <v>175.07320727305748</v>
      </c>
      <c r="N5" s="148"/>
      <c r="O5" s="148"/>
      <c r="P5" s="148"/>
      <c r="Q5" s="148"/>
      <c r="R5" s="148"/>
      <c r="S5" s="148"/>
      <c r="T5" s="148"/>
      <c r="U5" s="148"/>
      <c r="V5" s="148"/>
      <c r="W5" s="148"/>
    </row>
    <row r="6" spans="1:23" ht="15.6">
      <c r="A6" s="148"/>
      <c r="B6" s="251" t="s">
        <v>767</v>
      </c>
      <c r="C6" s="241" t="s">
        <v>769</v>
      </c>
      <c r="D6" s="241">
        <f>'Distillation Column 1 '!R10</f>
        <v>105.136</v>
      </c>
      <c r="E6" s="217">
        <f>'Distillation Column 1 '!G26</f>
        <v>4.4776119402985079E-2</v>
      </c>
      <c r="F6" s="217">
        <f>'Distillation Column 1 '!G19</f>
        <v>10.748072741580565</v>
      </c>
      <c r="G6" s="217">
        <f t="shared" si="0"/>
        <v>1130.0093757588143</v>
      </c>
      <c r="H6" s="217">
        <f>'Distillation Column 1 '!N18</f>
        <v>5.1519835136527577E-4</v>
      </c>
      <c r="I6" s="217">
        <f>'Distillation Column 1 '!N11</f>
        <v>0.10748072741580565</v>
      </c>
      <c r="J6" s="217">
        <f t="shared" si="1"/>
        <v>11.300093757588142</v>
      </c>
      <c r="K6" s="217">
        <f>'Distillation Column 1 '!I57</f>
        <v>0.33865450399087799</v>
      </c>
      <c r="L6" s="217">
        <f>'Distillation Column 1 '!I50</f>
        <v>10.640592014164758</v>
      </c>
      <c r="M6" s="217">
        <f>L6*D6</f>
        <v>1118.709282001226</v>
      </c>
      <c r="N6" s="148"/>
      <c r="O6" s="148"/>
      <c r="P6" s="148"/>
      <c r="Q6" s="148"/>
      <c r="R6" s="148"/>
      <c r="S6" s="148"/>
      <c r="T6" s="148"/>
      <c r="U6" s="148"/>
      <c r="V6" s="148"/>
      <c r="W6" s="148"/>
    </row>
    <row r="7" spans="1:23" ht="15.6">
      <c r="A7" s="148"/>
      <c r="B7" s="148"/>
      <c r="C7" s="241" t="s">
        <v>71</v>
      </c>
      <c r="D7" s="241">
        <f>'Distillation Column 1 '!R11</f>
        <v>149.18799999999999</v>
      </c>
      <c r="E7" s="217">
        <f>'Distillation Column 1 '!G27</f>
        <v>7.4626865671641784E-2</v>
      </c>
      <c r="F7" s="217">
        <f>'Distillation Column 1 '!G20</f>
        <v>17.913454569300939</v>
      </c>
      <c r="G7" s="217">
        <f t="shared" si="0"/>
        <v>2672.4724602848682</v>
      </c>
      <c r="H7" s="217">
        <f>0</f>
        <v>0</v>
      </c>
      <c r="I7" s="217">
        <f>0</f>
        <v>0</v>
      </c>
      <c r="J7" s="217">
        <f t="shared" si="1"/>
        <v>0</v>
      </c>
      <c r="K7" s="217">
        <f>'Distillation Column 1 '!I58</f>
        <v>0.5701254275940707</v>
      </c>
      <c r="L7" s="217">
        <f>'Distillation Column 1 '!I51</f>
        <v>17.913454569300939</v>
      </c>
      <c r="M7" s="217">
        <f>L7*D7</f>
        <v>2672.4724602848682</v>
      </c>
      <c r="N7" s="148"/>
      <c r="O7" s="148"/>
      <c r="P7" s="148"/>
      <c r="Q7" s="148"/>
      <c r="R7" s="148"/>
      <c r="S7" s="148"/>
      <c r="T7" s="148"/>
      <c r="U7" s="148"/>
      <c r="V7" s="148"/>
      <c r="W7" s="148"/>
    </row>
    <row r="8" spans="1:23" ht="15.6">
      <c r="A8" s="148"/>
      <c r="B8" s="148"/>
      <c r="C8" s="520" t="s">
        <v>623</v>
      </c>
      <c r="D8" s="520"/>
      <c r="E8" s="217">
        <f t="shared" ref="E8:M8" si="2">SUM(E4:E7)</f>
        <v>1</v>
      </c>
      <c r="F8" s="217">
        <f t="shared" si="2"/>
        <v>240.04029122863258</v>
      </c>
      <c r="G8" s="217">
        <f t="shared" si="2"/>
        <v>15554.879573433933</v>
      </c>
      <c r="H8" s="217">
        <f t="shared" si="2"/>
        <v>0.99999999999999989</v>
      </c>
      <c r="I8" s="217">
        <f t="shared" si="2"/>
        <v>208.62009191407873</v>
      </c>
      <c r="J8" s="217">
        <f t="shared" si="2"/>
        <v>11588.624623874779</v>
      </c>
      <c r="K8" s="217">
        <f t="shared" si="2"/>
        <v>1</v>
      </c>
      <c r="L8" s="217">
        <f t="shared" si="2"/>
        <v>31.420199314553848</v>
      </c>
      <c r="M8" s="217">
        <f t="shared" si="2"/>
        <v>3966.254949559152</v>
      </c>
      <c r="N8" s="148"/>
      <c r="O8" s="148"/>
      <c r="P8" s="148"/>
      <c r="Q8" s="148"/>
      <c r="R8" s="148"/>
      <c r="S8" s="148"/>
      <c r="T8" s="148"/>
      <c r="U8" s="148"/>
      <c r="V8" s="148"/>
      <c r="W8" s="148"/>
    </row>
    <row r="9" spans="1:23" ht="15.6">
      <c r="A9" s="148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</row>
    <row r="10" spans="1:23" ht="15.6">
      <c r="A10" s="148"/>
      <c r="B10" s="148"/>
      <c r="C10" s="148" t="s">
        <v>633</v>
      </c>
      <c r="D10" s="256" t="s">
        <v>135</v>
      </c>
      <c r="E10" s="148">
        <v>443.15</v>
      </c>
      <c r="F10" s="148" t="s">
        <v>611</v>
      </c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</row>
    <row r="11" spans="1:23" ht="15.6">
      <c r="A11" s="148"/>
      <c r="B11" s="148"/>
      <c r="C11" s="148" t="s">
        <v>772</v>
      </c>
      <c r="D11" s="256" t="s">
        <v>135</v>
      </c>
      <c r="E11" s="148">
        <v>523.15</v>
      </c>
      <c r="F11" s="148" t="s">
        <v>611</v>
      </c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</row>
    <row r="12" spans="1:23" ht="15.6">
      <c r="A12" s="148"/>
      <c r="B12" s="148"/>
      <c r="C12" s="148" t="s">
        <v>733</v>
      </c>
      <c r="D12" s="148"/>
      <c r="E12" s="148">
        <f>(E10+E11)/2</f>
        <v>483.15</v>
      </c>
      <c r="F12" s="148" t="s">
        <v>611</v>
      </c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</row>
    <row r="13" spans="1:23" ht="15.6">
      <c r="A13" s="148"/>
      <c r="B13" s="148"/>
      <c r="C13" s="148" t="s">
        <v>631</v>
      </c>
      <c r="D13" s="256" t="s">
        <v>135</v>
      </c>
      <c r="E13" s="148">
        <v>8.3140000000000001</v>
      </c>
      <c r="F13" s="148" t="s">
        <v>632</v>
      </c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</row>
    <row r="14" spans="1:23" ht="15.6">
      <c r="A14" s="148"/>
      <c r="B14" s="148"/>
      <c r="C14" s="148" t="s">
        <v>629</v>
      </c>
      <c r="D14" s="256" t="s">
        <v>135</v>
      </c>
      <c r="E14" s="148">
        <f>'Distillation Column 1 '!I63*101.325</f>
        <v>101.325</v>
      </c>
      <c r="F14" s="148" t="s">
        <v>630</v>
      </c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</row>
    <row r="15" spans="1:23" ht="15.6">
      <c r="A15" s="148"/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</row>
    <row r="16" spans="1:23" ht="15.6">
      <c r="A16" s="148"/>
      <c r="B16" s="148" t="s">
        <v>737</v>
      </c>
      <c r="C16" s="241" t="s">
        <v>729</v>
      </c>
      <c r="D16" s="241" t="s">
        <v>773</v>
      </c>
      <c r="E16" s="400" t="s">
        <v>774</v>
      </c>
      <c r="F16" s="400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</row>
    <row r="17" spans="1:23" ht="15.6">
      <c r="A17" s="148"/>
      <c r="B17" s="148"/>
      <c r="C17" s="241" t="s">
        <v>68</v>
      </c>
      <c r="D17" s="257" t="s">
        <v>193</v>
      </c>
      <c r="E17" s="525" t="s">
        <v>193</v>
      </c>
      <c r="F17" s="526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</row>
    <row r="18" spans="1:23" ht="15.6">
      <c r="A18" s="148"/>
      <c r="B18" s="251" t="s">
        <v>621</v>
      </c>
      <c r="C18" s="241" t="s">
        <v>768</v>
      </c>
      <c r="D18" s="241">
        <f>Database!C67*Database!D67^(-((1-('Distillation Column 1 '!I62+273.15)/Database!F67)^Database!E67))*1000</f>
        <v>782.58923159001949</v>
      </c>
      <c r="E18" s="526">
        <f>M5/D18</f>
        <v>0.22371021757781392</v>
      </c>
      <c r="F18" s="526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</row>
    <row r="19" spans="1:23" ht="15.6">
      <c r="A19" s="148"/>
      <c r="B19" s="251" t="s">
        <v>622</v>
      </c>
      <c r="C19" s="241" t="s">
        <v>769</v>
      </c>
      <c r="D19" s="241">
        <f>Database!C68*Database!D68^(-((1-('Distillation Column 1 '!I62+273.15)/Database!F68)^Database!E68))*1000</f>
        <v>917.51622900659572</v>
      </c>
      <c r="E19" s="526">
        <f>M6/D19</f>
        <v>1.2192801027753635</v>
      </c>
      <c r="F19" s="526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</row>
    <row r="20" spans="1:23" ht="15.6">
      <c r="A20" s="148"/>
      <c r="B20" s="148"/>
      <c r="C20" s="241" t="s">
        <v>71</v>
      </c>
      <c r="D20" s="241">
        <f>Database!C69*Database!D69^(-((1-('Distillation Column 1 '!I62+273.15)/Database!F69)^Database!E69))*1000</f>
        <v>965.12746601283334</v>
      </c>
      <c r="E20" s="526">
        <f>M7/D20</f>
        <v>2.7690357537180819</v>
      </c>
      <c r="F20" s="526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</row>
    <row r="21" spans="1:23" ht="15.6">
      <c r="A21" s="148"/>
      <c r="B21" s="148"/>
      <c r="C21" s="520" t="s">
        <v>623</v>
      </c>
      <c r="D21" s="520"/>
      <c r="E21" s="526">
        <f>SUM(E17:E20)</f>
        <v>4.2120260740712592</v>
      </c>
      <c r="F21" s="526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</row>
    <row r="22" spans="1:23" ht="15.6">
      <c r="A22" s="148"/>
      <c r="B22" s="148" t="s">
        <v>735</v>
      </c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</row>
    <row r="23" spans="1:23" ht="15.6">
      <c r="A23" s="148"/>
      <c r="B23" s="148"/>
      <c r="C23" s="148" t="s">
        <v>625</v>
      </c>
      <c r="D23" s="256" t="s">
        <v>135</v>
      </c>
      <c r="E23" s="524" t="s">
        <v>750</v>
      </c>
      <c r="F23" s="524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</row>
    <row r="24" spans="1:23" ht="15.6">
      <c r="A24" s="148"/>
      <c r="B24" s="148"/>
      <c r="C24" s="148"/>
      <c r="D24" s="148"/>
      <c r="E24" s="455" t="s">
        <v>751</v>
      </c>
      <c r="F24" s="455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</row>
    <row r="25" spans="1:23" ht="15.6">
      <c r="A25" s="148"/>
      <c r="B25" s="148"/>
      <c r="C25" s="148" t="s">
        <v>625</v>
      </c>
      <c r="D25" s="148" t="s">
        <v>135</v>
      </c>
      <c r="E25" s="196">
        <f>M8/E21</f>
        <v>941.6501417156353</v>
      </c>
      <c r="F25" s="148" t="s">
        <v>626</v>
      </c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</row>
    <row r="26" spans="1:23" ht="15.6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</row>
    <row r="27" spans="1:23" ht="15.6">
      <c r="A27" s="148"/>
      <c r="B27" s="148"/>
      <c r="C27" s="148" t="s">
        <v>739</v>
      </c>
      <c r="D27" s="148"/>
      <c r="E27" s="148"/>
      <c r="F27" s="148"/>
      <c r="G27" s="148" t="s">
        <v>740</v>
      </c>
      <c r="H27" s="148" t="s">
        <v>741</v>
      </c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</row>
    <row r="28" spans="1:23" ht="15.6">
      <c r="A28" s="148"/>
      <c r="B28" s="148"/>
      <c r="C28" s="148"/>
      <c r="D28" s="148"/>
      <c r="E28" s="148"/>
      <c r="F28" s="148"/>
      <c r="G28" s="148" t="s">
        <v>742</v>
      </c>
      <c r="H28" s="148" t="s">
        <v>743</v>
      </c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</row>
    <row r="29" spans="1:23" ht="15.6">
      <c r="A29" s="148"/>
      <c r="B29" s="148"/>
      <c r="C29" s="148"/>
      <c r="D29" s="148"/>
      <c r="E29" s="148"/>
      <c r="F29" s="148"/>
      <c r="G29" s="148" t="s">
        <v>744</v>
      </c>
      <c r="H29" s="148" t="s">
        <v>745</v>
      </c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</row>
    <row r="30" spans="1:23" ht="15.6">
      <c r="A30" s="148"/>
      <c r="B30" s="148"/>
      <c r="C30" s="148"/>
      <c r="D30" s="148"/>
      <c r="E30" s="148"/>
      <c r="F30" s="148"/>
      <c r="G30" s="148" t="s">
        <v>746</v>
      </c>
      <c r="H30" s="148" t="s">
        <v>747</v>
      </c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</row>
    <row r="31" spans="1:23" ht="15.6">
      <c r="A31" s="148"/>
      <c r="B31" s="148"/>
      <c r="C31" s="148"/>
      <c r="D31" s="148"/>
      <c r="E31" s="148"/>
      <c r="F31" s="148"/>
      <c r="G31" s="148" t="s">
        <v>748</v>
      </c>
      <c r="H31" s="148" t="s">
        <v>749</v>
      </c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</row>
    <row r="32" spans="1:23" ht="15.6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</row>
    <row r="33" spans="1:23" ht="15.6">
      <c r="A33" s="148"/>
      <c r="B33" s="148"/>
      <c r="C33" s="148" t="s">
        <v>775</v>
      </c>
      <c r="D33" s="148" t="s">
        <v>135</v>
      </c>
      <c r="E33" s="196">
        <f>(E14/(E13*E10))*(H4*D4+H5*D5+H6*D6+H7*D7)</f>
        <v>1.5276772166090529</v>
      </c>
      <c r="F33" s="148" t="s">
        <v>626</v>
      </c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</row>
    <row r="34" spans="1:23" ht="15.6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</row>
    <row r="35" spans="1:23" ht="15.6">
      <c r="A35" s="148"/>
      <c r="B35" s="148"/>
      <c r="C35" s="148" t="s">
        <v>752</v>
      </c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</row>
    <row r="36" spans="1:23" ht="15.6">
      <c r="A36" s="148"/>
      <c r="B36" s="148"/>
      <c r="C36" s="148" t="s">
        <v>753</v>
      </c>
      <c r="D36" s="196">
        <f>M8</f>
        <v>3966.254949559152</v>
      </c>
      <c r="E36" s="148" t="s">
        <v>738</v>
      </c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</row>
    <row r="37" spans="1:23" ht="15.6">
      <c r="A37" s="148"/>
      <c r="B37" s="148"/>
      <c r="C37" s="148" t="s">
        <v>754</v>
      </c>
      <c r="D37" s="196">
        <f>J8</f>
        <v>11588.624623874779</v>
      </c>
      <c r="E37" s="148" t="s">
        <v>738</v>
      </c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</row>
    <row r="38" spans="1:23" ht="15.6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</row>
    <row r="39" spans="1:23" ht="15.6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</row>
    <row r="40" spans="1:23" ht="15.6">
      <c r="A40" s="148"/>
      <c r="B40" s="148"/>
      <c r="C40" s="148"/>
      <c r="D40" s="148"/>
      <c r="E40" s="256" t="s">
        <v>135</v>
      </c>
      <c r="F40" s="196">
        <f>D36/D37*(E33/E25)^0.5</f>
        <v>1.3785411812990466E-2</v>
      </c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</row>
    <row r="41" spans="1:23" ht="15.6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</row>
    <row r="42" spans="1:23" ht="15.6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</row>
    <row r="43" spans="1:23" ht="15.6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</row>
    <row r="44" spans="1:23" ht="15.6">
      <c r="A44" s="148"/>
      <c r="B44" s="148"/>
      <c r="C44" s="148" t="s">
        <v>776</v>
      </c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</row>
    <row r="45" spans="1:23" ht="15.6">
      <c r="A45" s="148"/>
      <c r="B45" s="148"/>
      <c r="C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</row>
    <row r="46" spans="1:23" ht="15.6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</row>
    <row r="47" spans="1:23" ht="15.6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</row>
    <row r="48" spans="1:23" ht="15.6">
      <c r="A48" s="148"/>
      <c r="B48" s="148"/>
      <c r="C48" s="148"/>
      <c r="D48" s="148"/>
      <c r="E48" s="148"/>
      <c r="F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</row>
    <row r="49" spans="1:23" ht="15.6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</row>
    <row r="50" spans="1:23" ht="15.6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</row>
    <row r="51" spans="1:23" ht="15.6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</row>
    <row r="52" spans="1:23" ht="15.6">
      <c r="A52" s="148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</row>
    <row r="53" spans="1:23" ht="15.6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</row>
    <row r="54" spans="1:23" ht="15.6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</row>
    <row r="55" spans="1:23" ht="15.6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</row>
    <row r="56" spans="1:23" ht="15.6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</row>
    <row r="57" spans="1:23" ht="15.6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</row>
    <row r="58" spans="1:23" ht="15.6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</row>
    <row r="59" spans="1:23" ht="15.6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</row>
    <row r="60" spans="1:23" ht="15.6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</row>
    <row r="61" spans="1:23" ht="15.6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</row>
    <row r="62" spans="1:23" ht="15.6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</row>
    <row r="63" spans="1:23" ht="15.6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</row>
    <row r="64" spans="1:23" ht="15.6">
      <c r="A64" s="148"/>
      <c r="B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</row>
    <row r="65" spans="1:23" ht="15.6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</row>
    <row r="66" spans="1:23" ht="15.6">
      <c r="A66" s="148"/>
      <c r="B66" s="148"/>
      <c r="C66" s="148" t="s">
        <v>958</v>
      </c>
      <c r="D66" s="252" t="s">
        <v>135</v>
      </c>
      <c r="E66" s="148">
        <v>0.39500000000000002</v>
      </c>
      <c r="F66" s="148" t="s">
        <v>650</v>
      </c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</row>
    <row r="67" spans="1:23" ht="15.6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</row>
    <row r="68" spans="1:23" ht="15.6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</row>
    <row r="69" spans="1:23" ht="15.6">
      <c r="A69" s="148"/>
      <c r="B69" s="148"/>
      <c r="C69" s="148" t="s">
        <v>755</v>
      </c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</row>
    <row r="70" spans="1:23" ht="15.6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</row>
    <row r="71" spans="1:23" ht="15.6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</row>
    <row r="72" spans="1:23" ht="15.6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</row>
    <row r="73" spans="1:23" ht="15.6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</row>
    <row r="74" spans="1:23" ht="15.6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</row>
    <row r="75" spans="1:23" ht="15.6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</row>
    <row r="76" spans="1:23" ht="15.6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</row>
    <row r="77" spans="1:23" ht="15.6">
      <c r="A77" s="148"/>
      <c r="B77" s="148"/>
      <c r="C77" s="241" t="s">
        <v>729</v>
      </c>
      <c r="D77" s="241" t="s">
        <v>619</v>
      </c>
      <c r="E77" s="520" t="s">
        <v>756</v>
      </c>
      <c r="F77" s="520"/>
      <c r="G77" s="241" t="s">
        <v>757</v>
      </c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</row>
    <row r="78" spans="1:23" ht="15.6">
      <c r="A78" s="148"/>
      <c r="B78" s="148"/>
      <c r="C78" s="241" t="s">
        <v>68</v>
      </c>
      <c r="D78" s="217">
        <f>K4</f>
        <v>0</v>
      </c>
      <c r="E78" s="520">
        <f>Database!C86*(1-$G$78/Database!D86)^Database!E86</f>
        <v>25.9937057199603</v>
      </c>
      <c r="F78" s="520"/>
      <c r="G78" s="520">
        <f>'Distillation Column 1 '!G31+273.15</f>
        <v>283.14999999999998</v>
      </c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</row>
    <row r="79" spans="1:23" ht="15.6">
      <c r="A79" s="148"/>
      <c r="B79" s="251" t="s">
        <v>621</v>
      </c>
      <c r="C79" s="241" t="s">
        <v>768</v>
      </c>
      <c r="D79" s="217">
        <f t="shared" ref="D79:D81" si="3">K5</f>
        <v>9.12200684150513E-2</v>
      </c>
      <c r="E79" s="520">
        <f>Database!C87*(1-$G$78/Database!D87)^Database!E87</f>
        <v>52.795534998188053</v>
      </c>
      <c r="F79" s="520"/>
      <c r="G79" s="520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</row>
    <row r="80" spans="1:23" ht="15.6">
      <c r="A80" s="148"/>
      <c r="B80" s="251" t="s">
        <v>622</v>
      </c>
      <c r="C80" s="241" t="s">
        <v>769</v>
      </c>
      <c r="D80" s="217">
        <f t="shared" si="3"/>
        <v>0.33865450399087799</v>
      </c>
      <c r="E80" s="520">
        <f>Database!C88*(1-$G$78/Database!D88)^Database!E88</f>
        <v>48.818445986161663</v>
      </c>
      <c r="F80" s="520"/>
      <c r="G80" s="520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</row>
    <row r="81" spans="1:23" ht="15.6">
      <c r="A81" s="148"/>
      <c r="B81" s="148"/>
      <c r="C81" s="241" t="s">
        <v>71</v>
      </c>
      <c r="D81" s="217">
        <f t="shared" si="3"/>
        <v>0.5701254275940707</v>
      </c>
      <c r="E81" s="520">
        <f>Database!C89*(1-$G$78/Database!D89)^Database!E89</f>
        <v>46.513133342731763</v>
      </c>
      <c r="F81" s="520"/>
      <c r="G81" s="520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</row>
    <row r="82" spans="1:23" ht="15.6">
      <c r="A82" s="148"/>
      <c r="B82" s="148"/>
      <c r="C82" s="148"/>
      <c r="D82" s="148"/>
      <c r="E82" s="148"/>
      <c r="F82" s="95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</row>
    <row r="83" spans="1:23" ht="15.6">
      <c r="A83" s="148"/>
      <c r="B83" s="148"/>
      <c r="C83" s="148" t="s">
        <v>758</v>
      </c>
      <c r="D83" s="196">
        <f>D78*E78+D79*E79+D80*E80+D81*E81</f>
        <v>47.866918961357968</v>
      </c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</row>
    <row r="84" spans="1:23" ht="15.6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</row>
    <row r="85" spans="1:23" ht="15.6">
      <c r="A85" s="148"/>
      <c r="B85" s="148"/>
      <c r="C85" s="148" t="s">
        <v>759</v>
      </c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</row>
    <row r="86" spans="1:23" ht="15.6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</row>
    <row r="87" spans="1:23" ht="15.6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</row>
    <row r="88" spans="1:23" ht="15.6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</row>
    <row r="89" spans="1:23" ht="15.6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</row>
    <row r="90" spans="1:23" ht="15.6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</row>
    <row r="91" spans="1:23" ht="15.6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</row>
    <row r="92" spans="1:23" ht="15.6">
      <c r="A92" s="148"/>
      <c r="B92" s="148"/>
      <c r="C92" s="148" t="s">
        <v>760</v>
      </c>
      <c r="D92" s="196">
        <f>E66*(D83/20)^0.2*SQRT((E25-E33)/E33)</f>
        <v>11.66741392697495</v>
      </c>
      <c r="E92" s="148" t="s">
        <v>650</v>
      </c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</row>
    <row r="93" spans="1:23" ht="15.6">
      <c r="A93" s="148"/>
      <c r="B93" s="148"/>
      <c r="C93" s="148"/>
      <c r="D93" s="196">
        <f>D92/3.281</f>
        <v>3.5560542294955653</v>
      </c>
      <c r="E93" s="148" t="s">
        <v>761</v>
      </c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</row>
    <row r="94" spans="1:23" ht="15.6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</row>
    <row r="95" spans="1:23" ht="15.6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</row>
    <row r="96" spans="1:23" ht="15.6">
      <c r="A96" s="148"/>
      <c r="B96" s="148"/>
      <c r="C96" s="148" t="s">
        <v>608</v>
      </c>
      <c r="D96" s="148" t="s">
        <v>762</v>
      </c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</row>
    <row r="97" spans="1:23" ht="15.6">
      <c r="A97" s="148"/>
      <c r="B97" s="148"/>
      <c r="C97" s="148"/>
      <c r="D97" s="148" t="s">
        <v>763</v>
      </c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</row>
    <row r="98" spans="1:23" ht="15.6">
      <c r="A98" s="148"/>
      <c r="B98" s="148"/>
      <c r="C98" s="148"/>
      <c r="D98" s="148" t="s">
        <v>764</v>
      </c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</row>
    <row r="99" spans="1:23" ht="15.6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</row>
    <row r="100" spans="1:23" ht="15.6">
      <c r="A100" s="148"/>
      <c r="B100" s="148"/>
      <c r="C100" s="148" t="s">
        <v>777</v>
      </c>
      <c r="D100" s="256" t="s">
        <v>135</v>
      </c>
      <c r="E100" s="148" t="s">
        <v>765</v>
      </c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</row>
    <row r="101" spans="1:23" ht="15.6">
      <c r="A101" s="148"/>
      <c r="B101" s="148"/>
      <c r="C101" s="148"/>
      <c r="D101" s="148" t="s">
        <v>135</v>
      </c>
      <c r="E101" s="196">
        <f>D93*0.91*0.95*0.8</f>
        <v>2.4593671051191333</v>
      </c>
      <c r="F101" s="148" t="s">
        <v>761</v>
      </c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</row>
    <row r="102" spans="1:23" ht="15.6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</row>
    <row r="103" spans="1:23" ht="15.6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</row>
    <row r="104" spans="1:23" ht="15.6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</row>
    <row r="105" spans="1:23" ht="15.6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</row>
    <row r="106" spans="1:23" ht="15.6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</row>
    <row r="107" spans="1:23" ht="15.6">
      <c r="A107" s="148"/>
      <c r="B107" s="148"/>
      <c r="C107" s="95" t="s">
        <v>179</v>
      </c>
      <c r="D107" s="365" t="s">
        <v>135</v>
      </c>
      <c r="E107" s="196">
        <f>D37/(3600*E33*E101)</f>
        <v>0.85679008708030147</v>
      </c>
      <c r="F107" s="148" t="s">
        <v>778</v>
      </c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</row>
    <row r="108" spans="1:23" ht="15.6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</row>
    <row r="109" spans="1:23" ht="15.6">
      <c r="A109" s="148"/>
      <c r="B109" s="148"/>
      <c r="C109" s="148" t="s">
        <v>766</v>
      </c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</row>
    <row r="110" spans="1:23" ht="15.6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</row>
    <row r="111" spans="1:23" ht="15.6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</row>
    <row r="112" spans="1:23" ht="15.6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</row>
    <row r="113" spans="1:23" ht="15.6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</row>
    <row r="114" spans="1:23" ht="15.6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</row>
    <row r="115" spans="1:23" ht="15.6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</row>
    <row r="116" spans="1:23" ht="15.6">
      <c r="A116" s="148"/>
      <c r="B116" s="148"/>
      <c r="C116" s="366" t="s">
        <v>191</v>
      </c>
      <c r="D116" s="367" t="s">
        <v>135</v>
      </c>
      <c r="E116" s="357">
        <f>SQRT(4*E107/PI())</f>
        <v>1.0444611148375624</v>
      </c>
      <c r="F116" s="356" t="s">
        <v>655</v>
      </c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</row>
    <row r="117" spans="1:23" ht="15.6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</row>
    <row r="118" spans="1:23" ht="15.6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</row>
    <row r="119" spans="1:23" ht="15.6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</row>
    <row r="120" spans="1:23" ht="15.6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</row>
    <row r="121" spans="1:23" ht="15.6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</row>
    <row r="122" spans="1:23" ht="15.6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</row>
  </sheetData>
  <mergeCells count="21">
    <mergeCell ref="H2:J2"/>
    <mergeCell ref="K2:M2"/>
    <mergeCell ref="G78:G81"/>
    <mergeCell ref="E77:F77"/>
    <mergeCell ref="E79:F79"/>
    <mergeCell ref="E80:F80"/>
    <mergeCell ref="E81:F81"/>
    <mergeCell ref="E78:F78"/>
    <mergeCell ref="E21:F21"/>
    <mergeCell ref="C21:D21"/>
    <mergeCell ref="E23:F23"/>
    <mergeCell ref="E24:F24"/>
    <mergeCell ref="E2:G2"/>
    <mergeCell ref="C8:D8"/>
    <mergeCell ref="C2:C3"/>
    <mergeCell ref="D2:D3"/>
    <mergeCell ref="E16:F16"/>
    <mergeCell ref="E17:F17"/>
    <mergeCell ref="E18:F18"/>
    <mergeCell ref="E19:F19"/>
    <mergeCell ref="E20:F20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A5EC-4ECD-46F5-9AE7-BC2DF8EE036D}">
  <dimension ref="A1:L36"/>
  <sheetViews>
    <sheetView topLeftCell="A16" zoomScale="73" zoomScaleNormal="73" workbookViewId="0">
      <selection activeCell="M35" sqref="M35"/>
    </sheetView>
  </sheetViews>
  <sheetFormatPr defaultRowHeight="13.2"/>
  <cols>
    <col min="3" max="3" width="14.33203125" customWidth="1"/>
    <col min="4" max="4" width="9.5546875" bestFit="1" customWidth="1"/>
    <col min="5" max="5" width="14.88671875" customWidth="1"/>
  </cols>
  <sheetData>
    <row r="1" spans="1:12" ht="15.6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</row>
    <row r="2" spans="1:12" ht="15.6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</row>
    <row r="3" spans="1:12" ht="15.6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</row>
    <row r="4" spans="1:12" ht="15.6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</row>
    <row r="5" spans="1:12" ht="15.6">
      <c r="A5" s="148"/>
      <c r="B5" s="148"/>
      <c r="C5" s="241" t="s">
        <v>729</v>
      </c>
      <c r="D5" s="241" t="s">
        <v>615</v>
      </c>
      <c r="E5" s="241" t="s">
        <v>943</v>
      </c>
      <c r="F5" s="241" t="s">
        <v>916</v>
      </c>
      <c r="G5" s="148"/>
      <c r="H5" s="148"/>
      <c r="I5" s="148"/>
      <c r="J5" s="148"/>
      <c r="K5" s="148"/>
      <c r="L5" s="148"/>
    </row>
    <row r="6" spans="1:12" ht="15.6">
      <c r="A6" s="148"/>
      <c r="B6" s="148"/>
      <c r="C6" s="241" t="s">
        <v>68</v>
      </c>
      <c r="D6" s="217">
        <f>'Distillation Column 1 '!G24</f>
        <v>0.28358208955223885</v>
      </c>
      <c r="E6" s="217">
        <f>10^(Database!C76+Database!D76/$I$6+Database!E76*$I$6+Database!F76*$I$6^2)</f>
        <v>4.3989269409573276E-2</v>
      </c>
      <c r="F6" s="241">
        <f>'No. stages of DC1'!H63</f>
        <v>153.2431816039541</v>
      </c>
      <c r="G6" s="148"/>
      <c r="H6" s="148" t="s">
        <v>733</v>
      </c>
      <c r="I6" s="148">
        <f>'No. stages of DC1'!F59</f>
        <v>483.15</v>
      </c>
      <c r="J6" s="148" t="s">
        <v>611</v>
      </c>
      <c r="K6" s="148"/>
      <c r="L6" s="148"/>
    </row>
    <row r="7" spans="1:12" ht="15.6">
      <c r="A7" s="148"/>
      <c r="B7" s="148"/>
      <c r="C7" s="241" t="s">
        <v>731</v>
      </c>
      <c r="D7" s="217">
        <f>'Distillation Column 1 '!G25</f>
        <v>0.59701492537313428</v>
      </c>
      <c r="E7" s="217">
        <f>10^(Database!C77+Database!D77/$I$6+Database!E77*$I$6+Database!F77*$I$6^2)</f>
        <v>0.30003780833329619</v>
      </c>
      <c r="F7" s="241">
        <f>'No. stages of DC1'!H64</f>
        <v>11.325171800536364</v>
      </c>
      <c r="G7" s="148"/>
      <c r="H7" s="148"/>
      <c r="I7" s="148"/>
      <c r="J7" s="148"/>
      <c r="K7" s="148"/>
      <c r="L7" s="148"/>
    </row>
    <row r="8" spans="1:12" ht="15.6">
      <c r="A8" s="148"/>
      <c r="B8" s="148"/>
      <c r="C8" s="241" t="s">
        <v>732</v>
      </c>
      <c r="D8" s="217">
        <f>'Distillation Column 1 '!G26</f>
        <v>4.4776119402985079E-2</v>
      </c>
      <c r="E8" s="217">
        <f>10^(Database!C78+Database!D78/$I$6+Database!E78*$I$6+Database!F78*$I$6^2)</f>
        <v>0.46094898113722582</v>
      </c>
      <c r="F8" s="241">
        <f>'No. stages of DC1'!H65</f>
        <v>4.48E-2</v>
      </c>
      <c r="G8" s="148"/>
      <c r="H8" s="148"/>
      <c r="I8" s="148"/>
      <c r="J8" s="148"/>
      <c r="K8" s="148"/>
      <c r="L8" s="148"/>
    </row>
    <row r="9" spans="1:12" ht="15.6">
      <c r="A9" s="148"/>
      <c r="B9" s="148"/>
      <c r="C9" s="241" t="s">
        <v>71</v>
      </c>
      <c r="D9" s="217">
        <f>'Distillation Column 1 '!G27</f>
        <v>7.4626865671641784E-2</v>
      </c>
      <c r="E9" s="217">
        <f>10^(Database!C79+Database!D79/$I$6+Database!E79*$I$6+Database!F79*$I$6^2)</f>
        <v>0.7492201510308838</v>
      </c>
      <c r="F9" s="241">
        <f>'No. stages of DC1'!H66</f>
        <v>7.9060111056025936E-3</v>
      </c>
      <c r="G9" s="148"/>
      <c r="H9" s="148"/>
      <c r="I9" s="148"/>
      <c r="J9" s="148"/>
      <c r="K9" s="148"/>
      <c r="L9" s="148"/>
    </row>
    <row r="10" spans="1:12" ht="15.6">
      <c r="A10" s="148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</row>
    <row r="11" spans="1:12" ht="15.6">
      <c r="A11" s="148"/>
      <c r="B11" s="148"/>
      <c r="C11" s="148" t="s">
        <v>953</v>
      </c>
      <c r="D11" s="256" t="s">
        <v>135</v>
      </c>
      <c r="E11" s="148" t="s">
        <v>944</v>
      </c>
      <c r="F11" s="148"/>
      <c r="G11" s="148"/>
      <c r="H11" s="148"/>
      <c r="I11" s="148"/>
      <c r="J11" s="148"/>
      <c r="K11" s="148"/>
      <c r="L11" s="148"/>
    </row>
    <row r="12" spans="1:12" ht="15.6">
      <c r="A12" s="148"/>
      <c r="B12" s="148"/>
      <c r="C12" s="148"/>
      <c r="D12" s="256" t="s">
        <v>135</v>
      </c>
      <c r="E12" s="196">
        <f>E6*D6+E7*D7+E8*D8+E9*D9</f>
        <v>0.26815307687581846</v>
      </c>
      <c r="F12" s="148" t="s">
        <v>945</v>
      </c>
      <c r="G12" s="148"/>
      <c r="H12" s="148"/>
      <c r="I12" s="148"/>
      <c r="J12" s="148"/>
      <c r="K12" s="148"/>
      <c r="L12" s="148"/>
    </row>
    <row r="13" spans="1:12" ht="15.6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</row>
    <row r="14" spans="1:12" ht="15.6">
      <c r="A14" s="148"/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</row>
    <row r="15" spans="1:12" ht="15.6">
      <c r="A15" s="148"/>
      <c r="B15" s="148"/>
      <c r="C15" s="148" t="s">
        <v>946</v>
      </c>
      <c r="D15" s="148"/>
      <c r="E15" s="148"/>
      <c r="F15" s="148"/>
      <c r="G15" s="148"/>
      <c r="H15" s="148"/>
      <c r="I15" s="148"/>
      <c r="J15" s="148"/>
      <c r="K15" s="148"/>
      <c r="L15" s="148"/>
    </row>
    <row r="16" spans="1:12" ht="15.6">
      <c r="A16" s="148"/>
      <c r="B16" s="148"/>
      <c r="C16" s="148" t="s">
        <v>954</v>
      </c>
      <c r="D16" s="256" t="s">
        <v>135</v>
      </c>
      <c r="E16" s="148" t="s">
        <v>947</v>
      </c>
      <c r="F16" s="148"/>
      <c r="G16" s="148"/>
      <c r="H16" s="148"/>
      <c r="I16" s="148"/>
      <c r="J16" s="148"/>
      <c r="K16" s="148"/>
      <c r="L16" s="148"/>
    </row>
    <row r="17" spans="1:12" ht="15.6">
      <c r="A17" s="148"/>
      <c r="B17" s="148"/>
      <c r="C17" s="148"/>
      <c r="D17" s="256" t="s">
        <v>135</v>
      </c>
      <c r="E17" s="196">
        <f>SUM(F6:F9)</f>
        <v>164.62105941559608</v>
      </c>
      <c r="F17" s="148"/>
      <c r="G17" s="148"/>
      <c r="H17" s="148"/>
      <c r="I17" s="148"/>
      <c r="J17" s="148"/>
      <c r="K17" s="148"/>
      <c r="L17" s="148"/>
    </row>
    <row r="18" spans="1:12" ht="15.6">
      <c r="A18" s="148"/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</row>
    <row r="19" spans="1:12" ht="15.6">
      <c r="A19" s="148"/>
      <c r="B19" s="148"/>
      <c r="C19" s="148" t="s">
        <v>948</v>
      </c>
      <c r="D19" s="148"/>
      <c r="E19" s="148"/>
      <c r="F19" s="148"/>
      <c r="G19" s="148"/>
      <c r="H19" s="148"/>
      <c r="I19" s="148"/>
      <c r="J19" s="148"/>
      <c r="K19" s="148"/>
      <c r="L19" s="148"/>
    </row>
    <row r="20" spans="1:12" ht="15.6">
      <c r="A20" s="148"/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</row>
    <row r="21" spans="1:12" ht="15.6">
      <c r="A21" s="148"/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</row>
    <row r="22" spans="1:12" ht="15.6">
      <c r="A22" s="148"/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</row>
    <row r="23" spans="1:12" ht="15.6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</row>
    <row r="24" spans="1:12" ht="15.6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</row>
    <row r="25" spans="1:12" ht="15.6">
      <c r="A25" s="148"/>
      <c r="B25" s="148"/>
      <c r="C25" s="148" t="s">
        <v>949</v>
      </c>
      <c r="D25" s="196">
        <f>0.492*((E12*E17)^(-0.245))</f>
        <v>0.19452364528159108</v>
      </c>
      <c r="E25" s="148"/>
      <c r="F25" s="148"/>
      <c r="G25" s="148"/>
      <c r="H25" s="148"/>
      <c r="I25" s="148"/>
      <c r="J25" s="148"/>
      <c r="K25" s="148"/>
      <c r="L25" s="148"/>
    </row>
    <row r="26" spans="1:12" ht="15.6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</row>
    <row r="27" spans="1:12" ht="15.6">
      <c r="A27" s="148"/>
      <c r="B27" s="148"/>
      <c r="C27" s="148" t="s">
        <v>955</v>
      </c>
      <c r="D27" s="256" t="s">
        <v>135</v>
      </c>
      <c r="E27" s="148">
        <v>24</v>
      </c>
      <c r="F27" s="148" t="s">
        <v>843</v>
      </c>
      <c r="G27" s="148"/>
      <c r="H27" s="148"/>
      <c r="I27" s="148"/>
      <c r="J27" s="148"/>
      <c r="K27" s="148"/>
      <c r="L27" s="148"/>
    </row>
    <row r="28" spans="1:12" ht="15.6">
      <c r="A28" s="148"/>
      <c r="B28" s="148"/>
      <c r="C28" s="148"/>
      <c r="D28" s="256" t="s">
        <v>135</v>
      </c>
      <c r="E28" s="196">
        <f>E27/39.37</f>
        <v>0.60960121920243848</v>
      </c>
      <c r="F28" s="148" t="s">
        <v>655</v>
      </c>
      <c r="G28" s="148"/>
      <c r="H28" s="148"/>
      <c r="I28" s="148"/>
      <c r="J28" s="148"/>
      <c r="K28" s="148"/>
      <c r="L28" s="148"/>
    </row>
    <row r="29" spans="1:12" ht="15.6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</row>
    <row r="30" spans="1:12" ht="15.6">
      <c r="A30" s="148"/>
      <c r="B30" s="148"/>
      <c r="C30" s="148" t="s">
        <v>722</v>
      </c>
      <c r="D30" s="256" t="s">
        <v>135</v>
      </c>
      <c r="E30" s="148" t="s">
        <v>950</v>
      </c>
      <c r="F30" s="148"/>
      <c r="G30" s="148"/>
      <c r="H30" s="148"/>
      <c r="I30" s="148"/>
      <c r="J30" s="148"/>
      <c r="K30" s="148"/>
      <c r="L30" s="148"/>
    </row>
    <row r="31" spans="1:12" ht="15.6">
      <c r="A31" s="148"/>
      <c r="B31" s="148"/>
      <c r="C31" s="148"/>
      <c r="D31" s="256" t="s">
        <v>135</v>
      </c>
      <c r="E31" s="148">
        <v>3.1337999999999999</v>
      </c>
      <c r="F31" s="148" t="s">
        <v>655</v>
      </c>
      <c r="G31" s="148"/>
      <c r="H31" s="148"/>
      <c r="I31" s="148"/>
      <c r="J31" s="148"/>
      <c r="K31" s="148"/>
      <c r="L31" s="148"/>
    </row>
    <row r="32" spans="1:12" ht="15.6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</row>
    <row r="33" spans="1:12" ht="15.6">
      <c r="A33" s="148"/>
      <c r="B33" s="148"/>
      <c r="C33" s="148" t="s">
        <v>951</v>
      </c>
      <c r="D33" s="148"/>
      <c r="E33" s="148"/>
      <c r="F33" s="148"/>
      <c r="G33" s="148"/>
      <c r="H33" s="148"/>
      <c r="I33" s="148"/>
      <c r="J33" s="148"/>
      <c r="K33" s="148"/>
      <c r="L33" s="148"/>
    </row>
    <row r="34" spans="1:12" ht="15.6">
      <c r="A34" s="148"/>
      <c r="B34" s="148"/>
      <c r="C34" s="148" t="s">
        <v>956</v>
      </c>
      <c r="D34" s="256" t="s">
        <v>135</v>
      </c>
      <c r="E34" s="148" t="s">
        <v>952</v>
      </c>
      <c r="F34" s="148"/>
      <c r="G34" s="148"/>
      <c r="H34" s="148"/>
      <c r="I34" s="148"/>
      <c r="J34" s="148"/>
      <c r="K34" s="148"/>
      <c r="L34" s="148"/>
    </row>
    <row r="35" spans="1:12" ht="15.6">
      <c r="A35" s="148"/>
      <c r="B35" s="148"/>
      <c r="C35" s="356" t="s">
        <v>956</v>
      </c>
      <c r="D35" s="358" t="s">
        <v>135</v>
      </c>
      <c r="E35" s="357">
        <f>'No. stages of DC1'!D140*E31</f>
        <v>19.034506100488194</v>
      </c>
      <c r="F35" s="356" t="s">
        <v>655</v>
      </c>
      <c r="G35" s="148"/>
      <c r="H35" s="148"/>
      <c r="I35" s="148"/>
      <c r="J35" s="148"/>
      <c r="K35" s="148"/>
      <c r="L35" s="148"/>
    </row>
    <row r="36" spans="1:12" ht="15.6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B15A-2BEA-4D80-A57D-63BD105FAA69}">
  <dimension ref="A1:P70"/>
  <sheetViews>
    <sheetView topLeftCell="A37" zoomScale="112" zoomScaleNormal="112" workbookViewId="0">
      <selection activeCell="L19" sqref="L19"/>
    </sheetView>
  </sheetViews>
  <sheetFormatPr defaultRowHeight="13.2"/>
  <cols>
    <col min="3" max="3" width="20.6640625" customWidth="1"/>
    <col min="4" max="4" width="26.44140625" customWidth="1"/>
    <col min="5" max="5" width="9.6640625" bestFit="1" customWidth="1"/>
    <col min="6" max="6" width="11.6640625" bestFit="1" customWidth="1"/>
    <col min="7" max="7" width="11.5546875" bestFit="1" customWidth="1"/>
    <col min="8" max="8" width="9.109375" bestFit="1" customWidth="1"/>
    <col min="9" max="9" width="9.6640625" bestFit="1" customWidth="1"/>
    <col min="10" max="10" width="10.6640625" bestFit="1" customWidth="1"/>
    <col min="11" max="11" width="9.21875" bestFit="1" customWidth="1"/>
    <col min="12" max="12" width="9.33203125" bestFit="1" customWidth="1"/>
    <col min="13" max="13" width="11.5546875" bestFit="1" customWidth="1"/>
    <col min="14" max="14" width="14.88671875" customWidth="1"/>
    <col min="15" max="15" width="29.33203125" customWidth="1"/>
  </cols>
  <sheetData>
    <row r="1" spans="1:16" ht="15.6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</row>
    <row r="2" spans="1:16" ht="15.6">
      <c r="A2" s="148"/>
      <c r="B2" s="148" t="s">
        <v>608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6" ht="15.6">
      <c r="A3" s="148"/>
      <c r="B3" s="148" t="s">
        <v>609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</row>
    <row r="4" spans="1:16" ht="15.6">
      <c r="A4" s="148"/>
      <c r="B4" s="148" t="s">
        <v>610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</row>
    <row r="5" spans="1:16" ht="15.6">
      <c r="A5" s="148"/>
      <c r="B5" s="148"/>
      <c r="C5" s="148" t="s">
        <v>772</v>
      </c>
      <c r="D5" s="148" t="s">
        <v>135</v>
      </c>
      <c r="E5" s="148">
        <f>'Distillation Column 3'!L27+273.15</f>
        <v>463.15</v>
      </c>
      <c r="F5" s="148" t="s">
        <v>611</v>
      </c>
      <c r="G5" s="148"/>
      <c r="H5" s="148"/>
      <c r="I5" s="148"/>
      <c r="J5" s="148"/>
      <c r="K5" s="148"/>
      <c r="L5" s="148"/>
      <c r="M5" s="148"/>
      <c r="N5" s="148"/>
      <c r="O5" s="148"/>
      <c r="P5" s="148"/>
    </row>
    <row r="6" spans="1:16" ht="15.6">
      <c r="A6" s="148"/>
      <c r="B6" s="148"/>
      <c r="C6" s="520" t="s">
        <v>6</v>
      </c>
      <c r="D6" s="520" t="s">
        <v>7</v>
      </c>
      <c r="E6" s="400" t="s">
        <v>612</v>
      </c>
      <c r="F6" s="400"/>
      <c r="G6" s="400"/>
      <c r="H6" s="400" t="s">
        <v>613</v>
      </c>
      <c r="I6" s="400"/>
      <c r="J6" s="400"/>
      <c r="K6" s="490" t="s">
        <v>614</v>
      </c>
      <c r="L6" s="527"/>
      <c r="M6" s="527"/>
      <c r="N6" s="527"/>
      <c r="O6" s="527"/>
      <c r="P6" s="172"/>
    </row>
    <row r="7" spans="1:16" ht="15.6">
      <c r="A7" s="148"/>
      <c r="B7" s="148"/>
      <c r="C7" s="520"/>
      <c r="D7" s="520"/>
      <c r="E7" s="241" t="s">
        <v>615</v>
      </c>
      <c r="F7" s="241" t="s">
        <v>616</v>
      </c>
      <c r="G7" s="241" t="s">
        <v>617</v>
      </c>
      <c r="H7" s="241" t="s">
        <v>618</v>
      </c>
      <c r="I7" s="241" t="s">
        <v>616</v>
      </c>
      <c r="J7" s="241" t="s">
        <v>617</v>
      </c>
      <c r="K7" s="241" t="s">
        <v>619</v>
      </c>
      <c r="L7" s="241" t="s">
        <v>616</v>
      </c>
      <c r="M7" s="241" t="s">
        <v>617</v>
      </c>
      <c r="N7" s="241" t="s">
        <v>620</v>
      </c>
      <c r="O7" s="241" t="s">
        <v>664</v>
      </c>
      <c r="P7" s="172"/>
    </row>
    <row r="8" spans="1:16" ht="15.6">
      <c r="A8" s="148"/>
      <c r="B8" s="148"/>
      <c r="C8" s="241" t="s">
        <v>68</v>
      </c>
      <c r="D8" s="241">
        <f>'Distillation Column 3'!$T$7</f>
        <v>44.052999999999997</v>
      </c>
      <c r="E8" s="217">
        <f>'Distillation Column 3'!$E$28</f>
        <v>2.9931865621676927E-3</v>
      </c>
      <c r="F8" s="217">
        <f>'Distillation Column 3'!$E$21</f>
        <v>1.3614225472668693</v>
      </c>
      <c r="G8" s="217">
        <f>D8*F8</f>
        <v>59.974747474747389</v>
      </c>
      <c r="H8" s="217">
        <f>'Distillation Column 3'!$H$60</f>
        <v>9.6968459732571077E-3</v>
      </c>
      <c r="I8" s="217">
        <f>'Distillation Column 3'!$H$53</f>
        <v>1.3614225472668693</v>
      </c>
      <c r="J8" s="217">
        <f>D8*I8</f>
        <v>59.974747474747389</v>
      </c>
      <c r="K8" s="217">
        <v>0</v>
      </c>
      <c r="L8" s="217">
        <f>0</f>
        <v>0</v>
      </c>
      <c r="M8" s="217">
        <v>0</v>
      </c>
      <c r="N8" s="217">
        <f>Database!C66*Database!D66^(-((1-('Distillation Column 3'!L27+273.15)/Database!F66)^Database!E66))*1000</f>
        <v>464.78354866502502</v>
      </c>
      <c r="O8" s="243">
        <f>M8/N8</f>
        <v>0</v>
      </c>
      <c r="P8" s="244"/>
    </row>
    <row r="9" spans="1:16" ht="15.6">
      <c r="A9" s="148"/>
      <c r="B9" s="251" t="s">
        <v>621</v>
      </c>
      <c r="C9" s="368" t="s">
        <v>69</v>
      </c>
      <c r="D9" s="241">
        <f>'Distillation Column 3'!$T$8</f>
        <v>61.082999999999998</v>
      </c>
      <c r="E9" s="217">
        <f>'Distillation Column 3'!$E$29</f>
        <v>0.3087708243078256</v>
      </c>
      <c r="F9" s="217">
        <f>'Distillation Column 3'!$E$22</f>
        <v>140.44148382331934</v>
      </c>
      <c r="G9" s="217">
        <f t="shared" ref="G9:G11" si="0">D9*F9</f>
        <v>8578.5871563798155</v>
      </c>
      <c r="H9" s="217">
        <f>'Distillation Column 3'!$H$61</f>
        <v>0.99030315402674285</v>
      </c>
      <c r="I9" s="217">
        <f>'Distillation Column 3'!$H$54</f>
        <v>139.03706898508614</v>
      </c>
      <c r="J9" s="217">
        <f>D9*I9</f>
        <v>8492.8012848160161</v>
      </c>
      <c r="K9" s="217">
        <f>'Distillation Column 3'!$L$21</f>
        <v>4.4663711873483671E-3</v>
      </c>
      <c r="L9" s="217">
        <f>'Distillation Column 3'!$L$14</f>
        <v>1.4044148382332082</v>
      </c>
      <c r="M9" s="217">
        <f>L9*D9</f>
        <v>85.785871563799063</v>
      </c>
      <c r="N9" s="217">
        <f>Database!C67*Database!D67^(-((1-('Distillation Column 3'!$L$27+273.15)/Database!F67)^Database!E67))*1000</f>
        <v>859.34871217622265</v>
      </c>
      <c r="O9" s="243">
        <f>M9/N9</f>
        <v>9.9826613280834656E-2</v>
      </c>
      <c r="P9" s="244"/>
    </row>
    <row r="10" spans="1:16" ht="15.6">
      <c r="A10" s="148"/>
      <c r="B10" s="251" t="s">
        <v>622</v>
      </c>
      <c r="C10" s="368" t="s">
        <v>72</v>
      </c>
      <c r="D10" s="241">
        <f>'Distillation Column 3'!$T$11</f>
        <v>62.07</v>
      </c>
      <c r="E10" s="217">
        <f>'Distillation Column 3'!$E$32</f>
        <v>0.68799968492773023</v>
      </c>
      <c r="F10" s="217">
        <f>'Distillation Column 3'!$E$25</f>
        <v>312.93013787111806</v>
      </c>
      <c r="G10" s="217">
        <f t="shared" si="0"/>
        <v>19423.573657660298</v>
      </c>
      <c r="H10" s="217">
        <f>0</f>
        <v>0</v>
      </c>
      <c r="I10" s="217">
        <f>0</f>
        <v>0</v>
      </c>
      <c r="J10" s="217">
        <f>D10*I10</f>
        <v>0</v>
      </c>
      <c r="K10" s="217">
        <f>'Distillation Column 3'!$L$24</f>
        <v>0.99519181469117091</v>
      </c>
      <c r="L10" s="217">
        <f>'Distillation Column 3'!$L$17</f>
        <v>312.93013787111806</v>
      </c>
      <c r="M10" s="217">
        <f t="shared" ref="M10:M11" si="1">L10*D10</f>
        <v>19423.573657660298</v>
      </c>
      <c r="N10" s="217">
        <f>Database!C70*Database!D70^(-((1-('Distillation Column 3'!$L$27+273.15)/Database!F70)^Database!E70))*1000</f>
        <v>975.58711448114514</v>
      </c>
      <c r="O10" s="243">
        <f t="shared" ref="O10:O11" si="2">M10/N10</f>
        <v>19.909625054847616</v>
      </c>
      <c r="P10" s="244"/>
    </row>
    <row r="11" spans="1:16" ht="15.6">
      <c r="A11" s="148"/>
      <c r="B11" s="148"/>
      <c r="C11" s="241" t="s">
        <v>70</v>
      </c>
      <c r="D11" s="241">
        <f>'Distillation Column 3'!$T$9</f>
        <v>105.136</v>
      </c>
      <c r="E11" s="217">
        <f>'Distillation Column 3'!$E$30</f>
        <v>2.3630420227639722E-4</v>
      </c>
      <c r="F11" s="217">
        <f>'Distillation Column 3'!$E$23</f>
        <v>0.10748072741580565</v>
      </c>
      <c r="G11" s="217">
        <f t="shared" si="0"/>
        <v>11.300093757588142</v>
      </c>
      <c r="H11" s="217">
        <f>0</f>
        <v>0</v>
      </c>
      <c r="I11" s="217">
        <f>0</f>
        <v>0</v>
      </c>
      <c r="J11" s="217">
        <f>D11*I11</f>
        <v>0</v>
      </c>
      <c r="K11" s="217">
        <f>'Distillation Column 3'!$L$22</f>
        <v>3.4181412148073884E-4</v>
      </c>
      <c r="L11" s="217">
        <f>'Distillation Column 3'!$L$15</f>
        <v>0.10748072741580565</v>
      </c>
      <c r="M11" s="217">
        <f t="shared" si="1"/>
        <v>11.300093757588142</v>
      </c>
      <c r="N11" s="217">
        <f>Database!C68*Database!D68^(-((1-('Distillation Column 3'!$L$27+273.15)/Database!F68)^Database!E68))*1000</f>
        <v>973.12323443092055</v>
      </c>
      <c r="O11" s="243">
        <f t="shared" si="2"/>
        <v>1.1612191917497893E-2</v>
      </c>
      <c r="P11" s="244"/>
    </row>
    <row r="12" spans="1:16" ht="15.6">
      <c r="A12" s="148"/>
      <c r="B12" s="148"/>
      <c r="C12" s="400" t="s">
        <v>623</v>
      </c>
      <c r="D12" s="400"/>
      <c r="E12" s="216">
        <f t="shared" ref="E12:M12" si="3">SUM(E8:E11)</f>
        <v>0.99999999999999989</v>
      </c>
      <c r="F12" s="216">
        <f t="shared" si="3"/>
        <v>454.84052496912011</v>
      </c>
      <c r="G12" s="216">
        <f t="shared" si="3"/>
        <v>28073.435655272449</v>
      </c>
      <c r="H12" s="216">
        <f t="shared" si="3"/>
        <v>1</v>
      </c>
      <c r="I12" s="216">
        <f t="shared" si="3"/>
        <v>140.39849153235301</v>
      </c>
      <c r="J12" s="216">
        <f t="shared" si="3"/>
        <v>8552.7760322907634</v>
      </c>
      <c r="K12" s="216">
        <f t="shared" si="3"/>
        <v>1</v>
      </c>
      <c r="L12" s="216">
        <f t="shared" si="3"/>
        <v>314.44203343676708</v>
      </c>
      <c r="M12" s="216">
        <f t="shared" si="3"/>
        <v>19520.659622981686</v>
      </c>
      <c r="N12" s="162"/>
      <c r="O12" s="216">
        <f>SUM(O8:O11)</f>
        <v>20.021063860045949</v>
      </c>
      <c r="P12" s="148"/>
    </row>
    <row r="13" spans="1:16" ht="15.6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</row>
    <row r="14" spans="1:16" ht="15.6">
      <c r="A14" s="148"/>
      <c r="B14" s="148"/>
      <c r="C14" s="148" t="s">
        <v>624</v>
      </c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</row>
    <row r="15" spans="1:16" ht="15.6">
      <c r="A15" s="148"/>
      <c r="B15" s="148"/>
      <c r="C15" s="369" t="s">
        <v>625</v>
      </c>
      <c r="D15" s="369" t="s">
        <v>135</v>
      </c>
      <c r="E15" s="370">
        <f>M12/O12</f>
        <v>975.00611153521811</v>
      </c>
      <c r="F15" s="369" t="s">
        <v>626</v>
      </c>
      <c r="G15" s="148"/>
      <c r="H15" s="148"/>
      <c r="I15" s="148"/>
      <c r="J15" s="148"/>
      <c r="K15" s="148"/>
      <c r="L15" s="148"/>
      <c r="M15" s="148"/>
      <c r="N15" s="148"/>
      <c r="O15" s="148"/>
    </row>
    <row r="16" spans="1:16" ht="15.6">
      <c r="A16" s="148"/>
      <c r="B16" s="148"/>
      <c r="C16" s="369" t="s">
        <v>625</v>
      </c>
      <c r="D16" s="369" t="s">
        <v>135</v>
      </c>
      <c r="E16" s="370">
        <f>E15*0.062427960576145</f>
        <v>60.867643092421027</v>
      </c>
      <c r="F16" s="369" t="s">
        <v>627</v>
      </c>
      <c r="G16" s="148"/>
      <c r="H16" s="148"/>
      <c r="I16" s="148"/>
      <c r="J16" s="148"/>
      <c r="K16" s="148"/>
      <c r="L16" s="148"/>
      <c r="M16" s="148"/>
      <c r="N16" s="148"/>
      <c r="O16" s="148"/>
    </row>
    <row r="17" spans="1:15" ht="15.6">
      <c r="A17" s="148"/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</row>
    <row r="18" spans="1:15" ht="15.6">
      <c r="A18" s="148"/>
      <c r="B18" s="148"/>
      <c r="C18" s="148" t="s">
        <v>628</v>
      </c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</row>
    <row r="19" spans="1:15" ht="15.6">
      <c r="A19" s="148"/>
      <c r="B19" s="148"/>
      <c r="C19" s="148" t="s">
        <v>629</v>
      </c>
      <c r="D19" s="148" t="s">
        <v>135</v>
      </c>
      <c r="E19" s="148">
        <f>'Distillation Column 3'!H68*101.325</f>
        <v>101.325</v>
      </c>
      <c r="F19" s="148" t="s">
        <v>630</v>
      </c>
      <c r="G19" s="148"/>
      <c r="H19" s="148"/>
      <c r="I19" s="148"/>
      <c r="J19" s="148"/>
      <c r="K19" s="148"/>
      <c r="L19" s="148"/>
      <c r="M19" s="148"/>
      <c r="N19" s="148"/>
      <c r="O19" s="148"/>
    </row>
    <row r="20" spans="1:15" ht="15.6">
      <c r="A20" s="148"/>
      <c r="B20" s="148"/>
      <c r="C20" s="148" t="s">
        <v>631</v>
      </c>
      <c r="D20" s="148" t="s">
        <v>135</v>
      </c>
      <c r="E20" s="148">
        <v>8.3140000000000001</v>
      </c>
      <c r="F20" s="148" t="s">
        <v>632</v>
      </c>
      <c r="G20" s="148"/>
      <c r="H20" s="148"/>
      <c r="I20" s="148"/>
      <c r="J20" s="148"/>
      <c r="K20" s="148"/>
      <c r="L20" s="148"/>
      <c r="M20" s="148"/>
      <c r="N20" s="148"/>
      <c r="O20" s="148"/>
    </row>
    <row r="21" spans="1:15" ht="15.6">
      <c r="A21" s="148"/>
      <c r="B21" s="148"/>
      <c r="C21" s="148" t="s">
        <v>633</v>
      </c>
      <c r="D21" s="148" t="s">
        <v>135</v>
      </c>
      <c r="E21" s="148">
        <f>'Distillation Column 3'!H67+273.15</f>
        <v>438.15</v>
      </c>
      <c r="F21" s="148" t="s">
        <v>611</v>
      </c>
      <c r="G21" s="148"/>
      <c r="H21" s="148"/>
      <c r="I21" s="148"/>
      <c r="J21" s="148"/>
      <c r="K21" s="148"/>
      <c r="L21" s="148"/>
      <c r="M21" s="148"/>
      <c r="N21" s="148"/>
      <c r="O21" s="148"/>
    </row>
    <row r="22" spans="1:15" ht="15.6">
      <c r="A22" s="148"/>
      <c r="B22" s="148"/>
      <c r="C22" s="369" t="s">
        <v>634</v>
      </c>
      <c r="D22" s="369" t="s">
        <v>135</v>
      </c>
      <c r="E22" s="370">
        <f>(E19/(E20*E21))*(H8*D8+H9*D9)</f>
        <v>1.6944487354180682</v>
      </c>
      <c r="F22" s="369" t="s">
        <v>626</v>
      </c>
      <c r="G22" s="148"/>
      <c r="H22" s="148"/>
      <c r="I22" s="148"/>
      <c r="J22" s="148"/>
      <c r="K22" s="148"/>
      <c r="L22" s="148"/>
      <c r="M22" s="148"/>
      <c r="N22" s="148"/>
      <c r="O22" s="148"/>
    </row>
    <row r="23" spans="1:15" ht="15.6">
      <c r="A23" s="148"/>
      <c r="B23" s="148"/>
      <c r="C23" s="369" t="s">
        <v>634</v>
      </c>
      <c r="D23" s="369" t="s">
        <v>135</v>
      </c>
      <c r="E23" s="370">
        <f>E22*0.062427960576145</f>
        <v>0.10578097885297791</v>
      </c>
      <c r="F23" s="369" t="s">
        <v>627</v>
      </c>
      <c r="G23" s="148"/>
      <c r="H23" s="148"/>
      <c r="I23" s="148"/>
      <c r="J23" s="148"/>
      <c r="K23" s="148"/>
      <c r="L23" s="148"/>
      <c r="M23" s="148"/>
      <c r="N23" s="148"/>
      <c r="O23" s="148"/>
    </row>
    <row r="24" spans="1:15" ht="15.6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</row>
    <row r="25" spans="1:15" ht="15.6">
      <c r="A25" s="148"/>
      <c r="B25" s="148"/>
      <c r="C25" s="148" t="s">
        <v>635</v>
      </c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</row>
    <row r="26" spans="1:15" ht="15.6">
      <c r="A26" s="148"/>
      <c r="B26" s="148"/>
      <c r="C26" s="162" t="s">
        <v>6</v>
      </c>
      <c r="D26" s="162" t="s">
        <v>636</v>
      </c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</row>
    <row r="27" spans="1:15" ht="15.6">
      <c r="A27" s="148"/>
      <c r="B27" s="148"/>
      <c r="C27" s="162" t="s">
        <v>68</v>
      </c>
      <c r="D27" s="216">
        <f>10^(Database!C76+Database!D76/$E$5+Database!E76*$E$5+Database!F76*$E$5^2)</f>
        <v>5.7261814424185681E-2</v>
      </c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</row>
    <row r="28" spans="1:15" ht="15.6">
      <c r="A28" s="148"/>
      <c r="B28" s="148"/>
      <c r="C28" s="162" t="s">
        <v>69</v>
      </c>
      <c r="D28" s="216">
        <f>10^(Database!C77+Database!D77/$E$5+Database!E77*$E$5+Database!F77*$E$5^2)</f>
        <v>0.38508426146972996</v>
      </c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</row>
    <row r="29" spans="1:15" ht="15.6">
      <c r="A29" s="148"/>
      <c r="B29" s="148"/>
      <c r="C29" s="162" t="s">
        <v>72</v>
      </c>
      <c r="D29" s="216">
        <f>10^(Database!C80+Database!D80/$E$5+Database!E80*$E$5+Database!F80*$E$5^2)</f>
        <v>0.53722007231121027</v>
      </c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</row>
    <row r="30" spans="1:15" ht="15.6">
      <c r="A30" s="148"/>
      <c r="B30" s="148"/>
      <c r="C30" s="162" t="s">
        <v>70</v>
      </c>
      <c r="D30" s="216">
        <f>10^(Database!C78+Database!D78/$E$5+Database!E78*$E$5+Database!F78*$E$5^2)</f>
        <v>0.63547917938990484</v>
      </c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</row>
    <row r="31" spans="1:15" ht="15.6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</row>
    <row r="32" spans="1:15" ht="15.6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</row>
    <row r="33" spans="1:15" ht="15.6">
      <c r="A33" s="148"/>
      <c r="B33" s="148"/>
      <c r="C33" s="148" t="s">
        <v>637</v>
      </c>
      <c r="D33" s="148" t="s">
        <v>135</v>
      </c>
      <c r="E33" s="245">
        <f>(D27*K8)/(N8/1000)+(D28*K9)/(N9/1000)+(D29*K10)/(N10/1000)+(D30*K11)/(N11/1000)</f>
        <v>0.55024031077491353</v>
      </c>
      <c r="F33" s="148" t="s">
        <v>638</v>
      </c>
      <c r="G33" s="148"/>
      <c r="H33" s="148"/>
      <c r="I33" s="148"/>
      <c r="J33" s="148"/>
      <c r="K33" s="148"/>
      <c r="L33" s="148"/>
      <c r="M33" s="148"/>
      <c r="N33" s="148"/>
      <c r="O33" s="148"/>
    </row>
    <row r="34" spans="1:15" ht="15.6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</row>
    <row r="35" spans="1:15" ht="15.6">
      <c r="A35" s="148"/>
      <c r="B35" s="148"/>
      <c r="C35" s="148" t="s">
        <v>639</v>
      </c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</row>
    <row r="36" spans="1:15" ht="15.6">
      <c r="A36" s="148"/>
      <c r="B36" s="148"/>
      <c r="C36" s="148" t="s">
        <v>640</v>
      </c>
      <c r="D36" s="148" t="s">
        <v>135</v>
      </c>
      <c r="E36" s="148">
        <v>70</v>
      </c>
      <c r="F36" s="148" t="s">
        <v>641</v>
      </c>
      <c r="G36" s="148"/>
      <c r="H36" s="148"/>
      <c r="I36" s="148"/>
      <c r="J36" s="148"/>
      <c r="K36" s="148"/>
      <c r="L36" s="148"/>
      <c r="M36" s="148"/>
      <c r="N36" s="148"/>
      <c r="O36" s="148"/>
    </row>
    <row r="37" spans="1:15" ht="15.6">
      <c r="A37" s="148"/>
      <c r="B37" s="148"/>
      <c r="C37" s="148" t="s">
        <v>642</v>
      </c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</row>
    <row r="38" spans="1:15" ht="15.6">
      <c r="A38" s="148"/>
      <c r="B38" s="148"/>
      <c r="C38" s="148" t="s">
        <v>643</v>
      </c>
      <c r="D38" s="148" t="s">
        <v>135</v>
      </c>
      <c r="E38" s="148">
        <v>2</v>
      </c>
      <c r="F38" s="148" t="s">
        <v>644</v>
      </c>
      <c r="G38" s="148"/>
      <c r="H38" s="148"/>
      <c r="I38" s="148"/>
      <c r="J38" s="148"/>
      <c r="K38" s="148"/>
      <c r="L38" s="148"/>
      <c r="M38" s="148"/>
      <c r="N38" s="148"/>
      <c r="O38" s="148"/>
    </row>
    <row r="39" spans="1:15" ht="15.6">
      <c r="A39" s="148"/>
      <c r="B39" s="148"/>
      <c r="C39" s="148" t="s">
        <v>645</v>
      </c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</row>
    <row r="40" spans="1:15" ht="15.6">
      <c r="A40" s="148"/>
      <c r="B40" s="148"/>
      <c r="C40" s="148" t="s">
        <v>646</v>
      </c>
      <c r="D40" s="148" t="s">
        <v>135</v>
      </c>
      <c r="E40" s="196">
        <f>(M12/J12)*(E22/E15)^0.5</f>
        <v>9.5147621742250485E-2</v>
      </c>
      <c r="F40" s="148"/>
      <c r="G40" s="148"/>
      <c r="H40" s="148"/>
      <c r="I40" s="148"/>
      <c r="J40" s="148"/>
      <c r="K40" s="148"/>
      <c r="L40" s="148"/>
      <c r="M40" s="148"/>
      <c r="N40" s="148"/>
      <c r="O40" s="148"/>
    </row>
    <row r="41" spans="1:15" ht="15.6">
      <c r="A41" s="148"/>
      <c r="B41" s="148"/>
      <c r="C41" s="148"/>
      <c r="D41" s="148"/>
      <c r="E41" s="168"/>
      <c r="F41" s="148"/>
      <c r="G41" s="148"/>
      <c r="H41" s="148"/>
      <c r="I41" s="148"/>
      <c r="J41" s="148"/>
      <c r="K41" s="148"/>
      <c r="L41" s="148"/>
      <c r="M41" s="148"/>
      <c r="N41" s="148"/>
      <c r="O41" s="148"/>
    </row>
    <row r="42" spans="1:15" ht="15.6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</row>
    <row r="43" spans="1:15" ht="15.6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</row>
    <row r="44" spans="1:15" ht="15.6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</row>
    <row r="45" spans="1:15" ht="15.6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</row>
    <row r="46" spans="1:15" ht="15.6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</row>
    <row r="47" spans="1:15" ht="15.6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</row>
    <row r="48" spans="1:15" ht="15.6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</row>
    <row r="49" spans="1:15" ht="15.6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</row>
    <row r="50" spans="1:15" ht="15.6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</row>
    <row r="51" spans="1:15" ht="15.6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</row>
    <row r="52" spans="1:15" ht="15.6">
      <c r="A52" s="148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</row>
    <row r="53" spans="1:15" ht="15.6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</row>
    <row r="54" spans="1:15" ht="15.6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</row>
    <row r="55" spans="1:15" ht="15.6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</row>
    <row r="56" spans="1:15" ht="15.6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</row>
    <row r="57" spans="1:15" ht="15.6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</row>
    <row r="58" spans="1:15" ht="15.6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</row>
    <row r="59" spans="1:15" ht="15.6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</row>
    <row r="60" spans="1:15" ht="15.6">
      <c r="A60" s="148"/>
      <c r="B60" s="148"/>
      <c r="C60" s="148" t="s">
        <v>647</v>
      </c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</row>
    <row r="61" spans="1:15" ht="15.6">
      <c r="A61" s="148"/>
      <c r="B61" s="148"/>
      <c r="C61" s="148" t="s">
        <v>648</v>
      </c>
      <c r="D61" s="148"/>
      <c r="E61" s="148" t="s">
        <v>135</v>
      </c>
      <c r="F61" s="148">
        <v>1.45</v>
      </c>
      <c r="G61" s="148"/>
      <c r="H61" s="148"/>
      <c r="I61" s="148"/>
      <c r="J61" s="148"/>
      <c r="K61" s="148"/>
      <c r="L61" s="148"/>
      <c r="M61" s="148"/>
      <c r="N61" s="148"/>
      <c r="O61" s="148"/>
    </row>
    <row r="62" spans="1:15" ht="15.6">
      <c r="A62" s="148"/>
      <c r="B62" s="148"/>
      <c r="C62" s="148"/>
      <c r="D62" s="148" t="s">
        <v>649</v>
      </c>
      <c r="E62" s="148" t="s">
        <v>135</v>
      </c>
      <c r="F62" s="196">
        <f>F61/((E23/(E16-E23))^0.5*(E36)^0.5*(E33)^0.05)</f>
        <v>4.2795993088631477</v>
      </c>
      <c r="G62" s="148" t="s">
        <v>650</v>
      </c>
      <c r="H62" s="148"/>
      <c r="I62" s="148"/>
      <c r="J62" s="148"/>
      <c r="K62" s="148"/>
      <c r="L62" s="148"/>
      <c r="M62" s="148"/>
      <c r="N62" s="148"/>
      <c r="O62" s="148"/>
    </row>
    <row r="63" spans="1:15" ht="15.6">
      <c r="A63" s="148"/>
      <c r="B63" s="148"/>
      <c r="C63" s="148" t="s">
        <v>651</v>
      </c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</row>
    <row r="64" spans="1:15" ht="15.6">
      <c r="A64" s="148"/>
      <c r="B64" s="148"/>
      <c r="C64" s="148"/>
      <c r="D64" s="148" t="s">
        <v>652</v>
      </c>
      <c r="E64" s="148" t="s">
        <v>135</v>
      </c>
      <c r="F64" s="196">
        <f>0.8*F62*E23</f>
        <v>0.36216016319205724</v>
      </c>
      <c r="G64" s="148" t="s">
        <v>653</v>
      </c>
      <c r="H64" s="148"/>
      <c r="I64" s="148"/>
      <c r="J64" s="148"/>
      <c r="K64" s="148"/>
      <c r="L64" s="148"/>
      <c r="M64" s="148"/>
      <c r="N64" s="148"/>
      <c r="O64" s="148"/>
    </row>
    <row r="65" spans="1:15" ht="15.6">
      <c r="A65" s="148"/>
      <c r="B65" s="148"/>
      <c r="C65" s="148"/>
      <c r="D65" s="148" t="s">
        <v>652</v>
      </c>
      <c r="E65" s="148" t="s">
        <v>135</v>
      </c>
      <c r="F65" s="196">
        <f>F64/(2.20462*0.3048^2)</f>
        <v>1.7682228924260317</v>
      </c>
      <c r="G65" s="148" t="s">
        <v>654</v>
      </c>
      <c r="H65" s="148"/>
      <c r="I65" s="148"/>
      <c r="J65" s="148"/>
      <c r="K65" s="148"/>
      <c r="L65" s="148"/>
      <c r="M65" s="148"/>
      <c r="N65" s="148"/>
      <c r="O65" s="148"/>
    </row>
    <row r="66" spans="1:15" ht="15.6">
      <c r="A66" s="148"/>
      <c r="B66" s="148"/>
      <c r="C66" s="148"/>
      <c r="D66" s="148"/>
      <c r="E66" s="148"/>
      <c r="F66" s="196"/>
      <c r="G66" s="148"/>
      <c r="H66" s="148"/>
      <c r="I66" s="148"/>
      <c r="J66" s="148"/>
      <c r="K66" s="148"/>
      <c r="L66" s="148"/>
      <c r="M66" s="148"/>
      <c r="N66" s="148"/>
      <c r="O66" s="148"/>
    </row>
    <row r="67" spans="1:15" ht="15.6">
      <c r="A67" s="148"/>
      <c r="B67" s="148"/>
      <c r="C67" s="148"/>
      <c r="D67" s="148"/>
      <c r="E67" s="148"/>
      <c r="F67" s="196"/>
      <c r="G67" s="148"/>
      <c r="H67" s="148"/>
      <c r="I67" s="148"/>
      <c r="J67" s="148"/>
      <c r="K67" s="148"/>
      <c r="L67" s="148"/>
      <c r="M67" s="148"/>
      <c r="N67" s="148"/>
      <c r="O67" s="148"/>
    </row>
    <row r="68" spans="1:15" ht="15.6">
      <c r="A68" s="148"/>
      <c r="B68" s="148"/>
      <c r="C68" s="148"/>
      <c r="D68" s="246" t="s">
        <v>191</v>
      </c>
      <c r="E68" s="246" t="s">
        <v>135</v>
      </c>
      <c r="F68" s="247">
        <f>SQRT(4*G12/(3600*F65*PI()))</f>
        <v>2.3696439007628367</v>
      </c>
      <c r="G68" s="246" t="s">
        <v>655</v>
      </c>
      <c r="H68" s="148"/>
      <c r="I68" s="148"/>
      <c r="J68" s="148"/>
      <c r="K68" s="148"/>
      <c r="L68" s="148"/>
      <c r="M68" s="148"/>
      <c r="N68" s="148"/>
      <c r="O68" s="148"/>
    </row>
    <row r="69" spans="1:15" ht="15.6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</row>
    <row r="70" spans="1:15" ht="15.6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</row>
  </sheetData>
  <mergeCells count="6">
    <mergeCell ref="K6:O6"/>
    <mergeCell ref="C12:D12"/>
    <mergeCell ref="C6:C7"/>
    <mergeCell ref="D6:D7"/>
    <mergeCell ref="E6:G6"/>
    <mergeCell ref="H6:J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B080-B3F5-409D-8C3F-3630E88AA694}">
  <dimension ref="A1:O119"/>
  <sheetViews>
    <sheetView topLeftCell="A91" zoomScale="83" zoomScaleNormal="83" workbookViewId="0">
      <selection activeCell="H82" sqref="H82"/>
    </sheetView>
  </sheetViews>
  <sheetFormatPr defaultRowHeight="13.2"/>
  <cols>
    <col min="3" max="3" width="20.109375" customWidth="1"/>
    <col min="4" max="4" width="17.44140625" customWidth="1"/>
    <col min="5" max="5" width="18.21875" customWidth="1"/>
    <col min="6" max="6" width="19.21875" customWidth="1"/>
    <col min="7" max="7" width="19.6640625" customWidth="1"/>
    <col min="8" max="8" width="17.5546875" customWidth="1"/>
    <col min="9" max="9" width="16.44140625" customWidth="1"/>
    <col min="10" max="10" width="14.44140625" customWidth="1"/>
    <col min="11" max="11" width="19.21875" customWidth="1"/>
    <col min="12" max="12" width="13.44140625" customWidth="1"/>
    <col min="13" max="13" width="14.21875" customWidth="1"/>
    <col min="14" max="14" width="15.44140625" customWidth="1"/>
    <col min="15" max="15" width="26.77734375" customWidth="1"/>
  </cols>
  <sheetData>
    <row r="1" spans="1:15" ht="15.6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</row>
    <row r="2" spans="1:15" ht="15.6">
      <c r="A2" s="148"/>
      <c r="B2" s="148"/>
      <c r="C2" s="520" t="s">
        <v>6</v>
      </c>
      <c r="D2" s="528" t="s">
        <v>612</v>
      </c>
      <c r="E2" s="529"/>
      <c r="F2" s="528" t="s">
        <v>613</v>
      </c>
      <c r="G2" s="529"/>
      <c r="H2" s="520" t="s">
        <v>614</v>
      </c>
      <c r="I2" s="520"/>
      <c r="J2" s="148"/>
      <c r="K2" s="148"/>
      <c r="L2" s="168"/>
      <c r="M2" s="148"/>
      <c r="N2" s="148"/>
      <c r="O2" s="148"/>
    </row>
    <row r="3" spans="1:15" ht="15.6">
      <c r="A3" s="148"/>
      <c r="B3" s="148"/>
      <c r="C3" s="520"/>
      <c r="D3" s="241" t="s">
        <v>615</v>
      </c>
      <c r="E3" s="241" t="s">
        <v>616</v>
      </c>
      <c r="F3" s="241" t="s">
        <v>618</v>
      </c>
      <c r="G3" s="241" t="s">
        <v>616</v>
      </c>
      <c r="H3" s="241" t="s">
        <v>619</v>
      </c>
      <c r="I3" s="241" t="s">
        <v>616</v>
      </c>
      <c r="J3" s="148"/>
      <c r="K3" s="148"/>
      <c r="L3" s="151"/>
      <c r="M3" s="148"/>
      <c r="N3" s="151"/>
      <c r="O3" s="151"/>
    </row>
    <row r="4" spans="1:15" ht="15.6">
      <c r="A4" s="148"/>
      <c r="B4" s="148"/>
      <c r="C4" s="241" t="s">
        <v>68</v>
      </c>
      <c r="D4" s="217">
        <f>'Distillation Column 3'!$E$28</f>
        <v>2.9931865621676927E-3</v>
      </c>
      <c r="E4" s="217">
        <f>'Distillation Column 3'!$E$21</f>
        <v>1.3614225472668693</v>
      </c>
      <c r="F4" s="217">
        <f>'Distillation Column 3'!$H$60</f>
        <v>9.6968459732571077E-3</v>
      </c>
      <c r="G4" s="217">
        <f>'Distillation Column 3'!$H$53</f>
        <v>1.3614225472668693</v>
      </c>
      <c r="H4" s="217">
        <v>0</v>
      </c>
      <c r="I4" s="217">
        <f>0</f>
        <v>0</v>
      </c>
      <c r="J4" s="148"/>
      <c r="K4" s="148"/>
      <c r="L4" s="215"/>
      <c r="M4" s="148"/>
      <c r="N4" s="215"/>
      <c r="O4" s="215"/>
    </row>
    <row r="5" spans="1:15" ht="15.6">
      <c r="A5" s="148"/>
      <c r="B5" s="251" t="s">
        <v>621</v>
      </c>
      <c r="C5" s="241" t="s">
        <v>69</v>
      </c>
      <c r="D5" s="217">
        <f>'Distillation Column 3'!$E$29</f>
        <v>0.3087708243078256</v>
      </c>
      <c r="E5" s="217">
        <f>'Distillation Column 3'!$E$22</f>
        <v>140.44148382331934</v>
      </c>
      <c r="F5" s="217">
        <f>'Distillation Column 3'!$H$61</f>
        <v>0.99030315402674285</v>
      </c>
      <c r="G5" s="217">
        <f>'Distillation Column 3'!$H$54</f>
        <v>139.03706898508614</v>
      </c>
      <c r="H5" s="217">
        <f>'Distillation Column 3'!$L$21</f>
        <v>4.4663711873483671E-3</v>
      </c>
      <c r="I5" s="217">
        <f>'Distillation Column 3'!$L$14</f>
        <v>1.4044148382332082</v>
      </c>
      <c r="J5" s="148"/>
      <c r="K5" s="148"/>
      <c r="L5" s="215"/>
      <c r="M5" s="148"/>
      <c r="N5" s="215"/>
      <c r="O5" s="215"/>
    </row>
    <row r="6" spans="1:15" ht="15.6">
      <c r="A6" s="148"/>
      <c r="B6" s="251" t="s">
        <v>622</v>
      </c>
      <c r="C6" s="241" t="s">
        <v>72</v>
      </c>
      <c r="D6" s="217">
        <f>'Distillation Column 3'!$E$32</f>
        <v>0.68799968492773023</v>
      </c>
      <c r="E6" s="217">
        <f>'Distillation Column 3'!$E$25</f>
        <v>312.93013787111806</v>
      </c>
      <c r="F6" s="217">
        <f>0</f>
        <v>0</v>
      </c>
      <c r="G6" s="217">
        <f>0</f>
        <v>0</v>
      </c>
      <c r="H6" s="217">
        <f>'Distillation Column 3'!$L$24</f>
        <v>0.99519181469117091</v>
      </c>
      <c r="I6" s="217">
        <f>'Distillation Column 3'!$L$17</f>
        <v>312.93013787111806</v>
      </c>
      <c r="J6" s="148"/>
      <c r="K6" s="148"/>
      <c r="L6" s="215"/>
      <c r="M6" s="148"/>
      <c r="N6" s="215"/>
      <c r="O6" s="215"/>
    </row>
    <row r="7" spans="1:15" ht="15.6">
      <c r="A7" s="148"/>
      <c r="B7" s="148"/>
      <c r="C7" s="241" t="s">
        <v>70</v>
      </c>
      <c r="D7" s="217">
        <f>'Distillation Column 3'!$E$30</f>
        <v>2.3630420227639722E-4</v>
      </c>
      <c r="E7" s="217">
        <f>'Distillation Column 3'!$E$23</f>
        <v>0.10748072741580565</v>
      </c>
      <c r="F7" s="217">
        <f>0</f>
        <v>0</v>
      </c>
      <c r="G7" s="217">
        <f>0</f>
        <v>0</v>
      </c>
      <c r="H7" s="217">
        <f>'Distillation Column 3'!$L$22</f>
        <v>3.4181412148073884E-4</v>
      </c>
      <c r="I7" s="217">
        <f>'Distillation Column 3'!$L$15</f>
        <v>0.10748072741580565</v>
      </c>
      <c r="J7" s="148"/>
      <c r="K7" s="148"/>
      <c r="L7" s="215"/>
      <c r="M7" s="148"/>
      <c r="N7" s="215"/>
      <c r="O7" s="215"/>
    </row>
    <row r="8" spans="1:15" ht="15.6">
      <c r="A8" s="148"/>
      <c r="B8" s="148"/>
      <c r="C8" s="250" t="s">
        <v>623</v>
      </c>
      <c r="D8" s="217">
        <f t="shared" ref="D8:I8" si="0">SUM(D4:D7)</f>
        <v>0.99999999999999989</v>
      </c>
      <c r="E8" s="217">
        <f t="shared" si="0"/>
        <v>454.84052496912011</v>
      </c>
      <c r="F8" s="217">
        <f t="shared" si="0"/>
        <v>1</v>
      </c>
      <c r="G8" s="217">
        <f t="shared" si="0"/>
        <v>140.39849153235301</v>
      </c>
      <c r="H8" s="217">
        <f t="shared" si="0"/>
        <v>1</v>
      </c>
      <c r="I8" s="217">
        <f t="shared" si="0"/>
        <v>314.44203343676708</v>
      </c>
      <c r="J8" s="148"/>
      <c r="K8" s="148"/>
      <c r="L8" s="215"/>
      <c r="M8" s="148"/>
      <c r="N8" s="148"/>
      <c r="O8" s="102"/>
    </row>
    <row r="9" spans="1:15" ht="15.6">
      <c r="A9" s="148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</row>
    <row r="10" spans="1:15" ht="15.6">
      <c r="A10" s="148"/>
      <c r="B10" s="148"/>
      <c r="C10" s="148" t="s">
        <v>959</v>
      </c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</row>
    <row r="11" spans="1:15" ht="15.6">
      <c r="A11" s="148"/>
      <c r="B11" s="148"/>
      <c r="C11" s="241" t="s">
        <v>665</v>
      </c>
      <c r="D11" s="241" t="s">
        <v>666</v>
      </c>
      <c r="E11" s="241" t="s">
        <v>667</v>
      </c>
      <c r="F11" s="241" t="s">
        <v>668</v>
      </c>
      <c r="G11" s="241" t="s">
        <v>669</v>
      </c>
      <c r="H11" s="241" t="s">
        <v>670</v>
      </c>
      <c r="I11" s="241" t="s">
        <v>671</v>
      </c>
      <c r="J11" s="241" t="s">
        <v>672</v>
      </c>
      <c r="K11" s="148"/>
      <c r="L11" s="148"/>
      <c r="M11" s="148"/>
      <c r="N11" s="148"/>
    </row>
    <row r="12" spans="1:15" ht="15.6">
      <c r="A12" s="148"/>
      <c r="B12" s="148"/>
      <c r="C12" s="241">
        <v>190</v>
      </c>
      <c r="D12" s="241">
        <f>C12+273.15</f>
        <v>463.15</v>
      </c>
      <c r="E12" s="200">
        <f>10^(Database!$C$56+Database!$D$56/D12+Database!$E$56*LOG10(D12)+Database!$F$56*D12+Database!$G$56*D12^2)</f>
        <v>49728.806998153508</v>
      </c>
      <c r="F12" s="217">
        <f>10^(Database!$C$57+Database!$D$57/D12+Database!$E$57*LOG10(D12)+Database!$F$57*D12+Database!$G$57*D12^2)</f>
        <v>1343.0836305000389</v>
      </c>
      <c r="G12" s="217">
        <f>10^(Database!$C$60+Database!$D$60/D12+Database!$E$60*LOG10(D12)+Database!$F$60*D12+Database!$G$60*D12^2)</f>
        <v>603.5604008709455</v>
      </c>
      <c r="H12" s="217">
        <f>10^(Database!$C$58+Database!$D$58/D12+Database!$E$58*LOG10(D12)+Database!$F$58*D12+Database!$G$58*D12^2)</f>
        <v>56.92135357349872</v>
      </c>
      <c r="I12" s="217">
        <f>E12*$D$4+F12*$D$5+H12*$D$7+G12*$D$6</f>
        <v>978.81545295246156</v>
      </c>
      <c r="J12" s="217">
        <f>I12/760</f>
        <v>1.2879150696742916</v>
      </c>
      <c r="K12" s="148"/>
      <c r="L12" s="148"/>
      <c r="M12" s="148"/>
      <c r="N12" s="148"/>
    </row>
    <row r="13" spans="1:15" ht="15.6">
      <c r="A13" s="148"/>
      <c r="B13" s="148"/>
      <c r="C13" s="241">
        <v>180</v>
      </c>
      <c r="D13" s="241">
        <f t="shared" ref="D13:D15" si="1">C13+273.15</f>
        <v>453.15</v>
      </c>
      <c r="E13" s="200">
        <f>10^(Database!$C$56+Database!$D$56/D13+Database!$E$56*LOG10(D13)+Database!$F$56*D13+Database!$G$56*D13^2)</f>
        <v>42954.32976971638</v>
      </c>
      <c r="F13" s="217">
        <f>10^(Database!$C$57+Database!$D$57/D13+Database!$E$57*LOG10(D13)+Database!$F$57*D13+Database!$G$57*D13^2)</f>
        <v>1004.2005375393554</v>
      </c>
      <c r="G13" s="217">
        <f>10^(Database!$C$60+Database!$D$60/D13+Database!$E$60*LOG10(D13)+Database!$F$60*D13+Database!$G$60*D13^2)</f>
        <v>435.75860193622498</v>
      </c>
      <c r="H13" s="217">
        <f>10^(Database!$C$58+Database!$D$58/D13+Database!$E$58*LOG10(D13)+Database!$F$58*D13+Database!$G$58*D13^2)</f>
        <v>37.717068552071098</v>
      </c>
      <c r="I13" s="217">
        <f t="shared" ref="I13:I15" si="2">E13*$D$4+F13*$D$5+H13*$D$7+G13*$D$6</f>
        <v>738.44884393849043</v>
      </c>
      <c r="J13" s="217">
        <f t="shared" ref="J13:J15" si="3">I13/760</f>
        <v>0.97164321570854006</v>
      </c>
      <c r="K13" s="148"/>
      <c r="L13" s="148"/>
      <c r="M13" s="148"/>
      <c r="N13" s="148"/>
    </row>
    <row r="14" spans="1:15" ht="15.6">
      <c r="A14" s="148"/>
      <c r="B14" s="148"/>
      <c r="C14" s="241">
        <v>185</v>
      </c>
      <c r="D14" s="241">
        <f t="shared" si="1"/>
        <v>458.15</v>
      </c>
      <c r="E14" s="200">
        <f>10^(Database!$C$56+Database!$D$56/D14+Database!$E$56*LOG10(D14)+Database!$F$56*D14+Database!$G$56*D14^2)</f>
        <v>46248.453043923131</v>
      </c>
      <c r="F14" s="217">
        <f>10^(Database!$C$57+Database!$D$57/D14+Database!$E$57*LOG10(D14)+Database!$F$57*D14+Database!$G$57*D14^2)</f>
        <v>1163.5064849231737</v>
      </c>
      <c r="G14" s="217">
        <f>10^(Database!$C$60+Database!$D$60/D14+Database!$E$60*LOG10(D14)+Database!$F$60*D14+Database!$G$60*D14^2)</f>
        <v>513.75626083017198</v>
      </c>
      <c r="H14" s="217">
        <f>10^(Database!$C$58+Database!$D$58/D14+Database!$E$58*LOG10(D14)+Database!$F$58*D14+Database!$G$58*D14^2)</f>
        <v>46.468646795362744</v>
      </c>
      <c r="I14" s="217">
        <f t="shared" si="2"/>
        <v>851.16223092666223</v>
      </c>
      <c r="J14" s="217">
        <f t="shared" si="3"/>
        <v>1.1199503038508714</v>
      </c>
      <c r="K14" s="148"/>
      <c r="L14" s="148"/>
      <c r="M14" s="148"/>
      <c r="N14" s="148"/>
    </row>
    <row r="15" spans="1:15" ht="15.6">
      <c r="A15" s="148"/>
      <c r="B15" s="148"/>
      <c r="C15" s="241">
        <v>181.00700000000001</v>
      </c>
      <c r="D15" s="241">
        <f t="shared" si="1"/>
        <v>454.15699999999998</v>
      </c>
      <c r="E15" s="200">
        <f>10^(Database!$C$56+Database!$D$56/D15+Database!$E$56*LOG10(D15)+Database!$F$56*D15+Database!$G$56*D15^2)</f>
        <v>43603.142627746871</v>
      </c>
      <c r="F15" s="217">
        <f>10^(Database!$C$57+Database!$D$57/D15+Database!$E$57*LOG10(D15)+Database!$F$57*D15+Database!$G$57*D15^2)</f>
        <v>1034.7444491371311</v>
      </c>
      <c r="G15" s="217">
        <f>10^(Database!$C$60+Database!$D$60/D15+Database!$E$60*LOG10(D15)+Database!$F$60*D15+Database!$G$60*D15^2)</f>
        <v>450.58489696495582</v>
      </c>
      <c r="H15" s="217">
        <f>10^(Database!$C$58+Database!$D$58/D15+Database!$E$58*LOG10(D15)+Database!$F$58*D15+Database!$G$58*D15^2)</f>
        <v>39.354638756991434</v>
      </c>
      <c r="I15" s="217">
        <f t="shared" si="2"/>
        <v>760.02280390127294</v>
      </c>
      <c r="J15" s="217">
        <f t="shared" si="3"/>
        <v>1.0000300051332538</v>
      </c>
      <c r="K15" s="148"/>
      <c r="L15" s="148"/>
      <c r="M15" s="148"/>
      <c r="N15" s="148"/>
    </row>
    <row r="16" spans="1:15" ht="15.6">
      <c r="A16" s="148"/>
      <c r="B16" s="148"/>
      <c r="C16" s="369" t="s">
        <v>939</v>
      </c>
      <c r="D16" s="372" t="s">
        <v>135</v>
      </c>
      <c r="E16" s="369">
        <f>D15</f>
        <v>454.15699999999998</v>
      </c>
      <c r="F16" s="369" t="s">
        <v>611</v>
      </c>
      <c r="G16" s="148"/>
      <c r="H16" s="148"/>
      <c r="I16" s="148"/>
      <c r="J16" s="148"/>
      <c r="K16" s="148"/>
      <c r="L16" s="148"/>
      <c r="M16" s="148"/>
      <c r="N16" s="148"/>
    </row>
    <row r="17" spans="1:14" ht="15.6">
      <c r="A17" s="148"/>
      <c r="B17" s="148"/>
      <c r="K17" s="148"/>
      <c r="L17" s="148"/>
      <c r="M17" s="148"/>
      <c r="N17" s="148"/>
    </row>
    <row r="18" spans="1:14" ht="15.6">
      <c r="A18" s="148"/>
      <c r="B18" s="148"/>
      <c r="C18" s="242" t="s">
        <v>6</v>
      </c>
      <c r="D18" s="490" t="s">
        <v>673</v>
      </c>
      <c r="E18" s="491"/>
      <c r="F18" s="490" t="s">
        <v>674</v>
      </c>
      <c r="G18" s="491"/>
      <c r="H18" s="148"/>
      <c r="I18" s="148"/>
      <c r="J18" s="148"/>
      <c r="K18" s="148"/>
      <c r="L18" s="148"/>
      <c r="M18" s="148"/>
      <c r="N18" s="148"/>
    </row>
    <row r="19" spans="1:14" ht="15.6">
      <c r="A19" s="148"/>
      <c r="B19" s="148"/>
      <c r="C19" s="242" t="s">
        <v>68</v>
      </c>
      <c r="D19" s="166">
        <f>Database!I21</f>
        <v>25.7</v>
      </c>
      <c r="E19" s="166"/>
      <c r="F19" s="216">
        <f>(Database!$C$44*(($E$16)-('Distillation Column 3'!$E$35+273.15))+((Database!$D$44*(($E$16)^2-('Distillation Column 3'!$E$35+273.15)^2))/2)+((Database!$E$44*(($E$16)^3-('Distillation Column 3'!$E$35+273.15)^3))/3)+((Database!$F$44*(($E$16)^4-('Distillation Column 3'!$E$35+273.15)^4))/4))/1000</f>
        <v>18.635521044904575</v>
      </c>
      <c r="G19" s="216"/>
      <c r="H19" s="148"/>
      <c r="I19" s="148"/>
      <c r="J19" s="148"/>
      <c r="K19" s="148"/>
      <c r="L19" s="148"/>
      <c r="M19" s="148"/>
      <c r="N19" s="148"/>
    </row>
    <row r="20" spans="1:14" ht="15.6">
      <c r="A20" s="148"/>
      <c r="B20" s="251" t="s">
        <v>621</v>
      </c>
      <c r="C20" s="242" t="s">
        <v>69</v>
      </c>
      <c r="D20" s="162">
        <f>Database!I22</f>
        <v>51.53</v>
      </c>
      <c r="E20" s="162"/>
      <c r="F20" s="216">
        <f>(Database!$C$45*(($E$16)-('Distillation Column 3'!$E$35+273.15))+((Database!$D$45*(($E$16)^2-('Distillation Column 3'!$E$35+273.15)^2))/2)+((Database!$E$45*(($E$16)^3-('Distillation Column 3'!$E$35+273.15)^3))/3)+((Database!$F$45*(($E$16)^4-('Distillation Column 3'!$E$35+273.15)^4))/4))/1000</f>
        <v>36.023487850967385</v>
      </c>
      <c r="G20" s="216"/>
      <c r="H20" s="148"/>
      <c r="I20" s="148"/>
      <c r="J20" s="148"/>
      <c r="K20" s="148"/>
      <c r="L20" s="148"/>
      <c r="M20" s="148"/>
      <c r="N20" s="148"/>
    </row>
    <row r="21" spans="1:14" ht="15.6">
      <c r="A21" s="148"/>
      <c r="B21" s="251" t="s">
        <v>622</v>
      </c>
      <c r="C21" s="242" t="s">
        <v>72</v>
      </c>
      <c r="D21" s="166">
        <f>Database!I25</f>
        <v>56.9</v>
      </c>
      <c r="E21" s="166"/>
      <c r="F21" s="216">
        <f>(Database!$C$48*(($E$16)-('Distillation Column 3'!$E$35+273.15))+((Database!$D$48*(($E$16)^2-('Distillation Column 3'!$E$35+273.15)^2))/2)+((Database!$E$48*(($E$16)^3-('Distillation Column 3'!$E$35+273.15)^3))/3)+((Database!$F$48*(($E$16)^4-('Distillation Column 3'!$E$35+273.15)^4))/4))/1000</f>
        <v>30.365434187119153</v>
      </c>
      <c r="G21" s="216"/>
      <c r="H21" s="148"/>
      <c r="I21" s="148"/>
      <c r="J21" s="148"/>
      <c r="K21" s="148"/>
      <c r="L21" s="148"/>
      <c r="M21" s="148"/>
      <c r="N21" s="148"/>
    </row>
    <row r="22" spans="1:14" ht="15.6">
      <c r="A22" s="148"/>
      <c r="B22" s="148"/>
      <c r="C22" s="242" t="s">
        <v>70</v>
      </c>
      <c r="D22" s="162">
        <f>Database!I23</f>
        <v>64.459999999999994</v>
      </c>
      <c r="E22" s="162"/>
      <c r="F22" s="216">
        <f>(Database!$C$46*(($E$16)-('Distillation Column 3'!$E$35+273.15))+((Database!$D$46*(($E$16)^2-('Distillation Column 3'!$E$35+273.15)^2))/2)+((Database!$E$46*(($E$16)^3-('Distillation Column 3'!$E$35+273.15)^3))/3)+((Database!$F$46*(($E$16)^4-('Distillation Column 3'!$E$35+273.15)^4))/4))/1000</f>
        <v>43.771815177232028</v>
      </c>
      <c r="G22" s="216"/>
      <c r="H22" s="148"/>
      <c r="I22" s="148"/>
      <c r="J22" s="148"/>
      <c r="K22" s="148"/>
      <c r="L22" s="148"/>
      <c r="M22" s="148"/>
      <c r="N22" s="148"/>
    </row>
    <row r="23" spans="1:14" ht="15.6">
      <c r="A23" s="148"/>
      <c r="B23" s="148"/>
      <c r="C23" s="148"/>
      <c r="D23" s="148" t="s">
        <v>675</v>
      </c>
      <c r="E23" s="196">
        <f>D19*$D$4+D20*$D$5+D22*$D$7+D21*$D$6</f>
        <v>55.150299712496547</v>
      </c>
      <c r="F23" s="148" t="s">
        <v>676</v>
      </c>
      <c r="G23" s="196">
        <f>F19*$D$4+F20*$D$5+F22*$D$7+F21*$D$6</f>
        <v>32.080534246656093</v>
      </c>
      <c r="H23" s="148"/>
      <c r="I23" s="148"/>
      <c r="J23" s="148"/>
      <c r="K23" s="148"/>
      <c r="L23" s="148"/>
      <c r="M23" s="148"/>
      <c r="N23" s="148"/>
    </row>
    <row r="24" spans="1:14" ht="15.6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</row>
    <row r="25" spans="1:14" ht="15.6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</row>
    <row r="26" spans="1:14" ht="15.6">
      <c r="A26" s="148"/>
      <c r="B26" s="148"/>
      <c r="C26" s="148" t="s">
        <v>677</v>
      </c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</row>
    <row r="27" spans="1:14" ht="15.6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</row>
    <row r="28" spans="1:14" ht="15.6">
      <c r="A28" s="148"/>
      <c r="C28" s="369" t="s">
        <v>678</v>
      </c>
      <c r="D28" s="369" t="s">
        <v>135</v>
      </c>
      <c r="E28" s="370">
        <f>(E23+G23)/E23</f>
        <v>1.5816928360116771</v>
      </c>
      <c r="F28" s="148"/>
      <c r="G28" s="148"/>
      <c r="H28" s="148"/>
      <c r="I28" s="148"/>
      <c r="J28" s="148"/>
      <c r="K28" s="148"/>
      <c r="L28" s="148"/>
      <c r="M28" s="148"/>
      <c r="N28" s="148"/>
    </row>
    <row r="29" spans="1:14" ht="15.6">
      <c r="A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</row>
    <row r="30" spans="1:14" ht="15.6">
      <c r="A30" s="148"/>
      <c r="B30" s="148"/>
      <c r="C30" s="148" t="s">
        <v>679</v>
      </c>
      <c r="D30" s="148" t="s">
        <v>135</v>
      </c>
      <c r="E30" s="148" t="s">
        <v>680</v>
      </c>
      <c r="F30" s="148"/>
      <c r="G30" s="148"/>
      <c r="H30" s="148"/>
      <c r="I30" s="148"/>
      <c r="J30" s="148"/>
      <c r="K30" s="148"/>
      <c r="L30" s="148"/>
      <c r="M30" s="148"/>
      <c r="N30" s="148"/>
    </row>
    <row r="31" spans="1:14" ht="15.6">
      <c r="A31" s="148"/>
      <c r="B31" s="148"/>
      <c r="C31" s="148" t="s">
        <v>679</v>
      </c>
      <c r="D31" s="148" t="s">
        <v>135</v>
      </c>
      <c r="E31" s="148">
        <f>('Distillation Column 3'!L27+'Distillation Column 3'!H67)/2+273.15</f>
        <v>450.65</v>
      </c>
      <c r="F31" s="148" t="s">
        <v>611</v>
      </c>
      <c r="G31" s="148" t="s">
        <v>681</v>
      </c>
      <c r="H31" s="148" t="s">
        <v>135</v>
      </c>
      <c r="I31" s="148">
        <f>'Distillation Column 3'!H67+273.15</f>
        <v>438.15</v>
      </c>
      <c r="J31" s="148" t="s">
        <v>611</v>
      </c>
      <c r="K31" s="148" t="s">
        <v>682</v>
      </c>
      <c r="L31" s="148" t="s">
        <v>135</v>
      </c>
      <c r="M31" s="148">
        <f>'Distillation Column 3'!L27+273.15</f>
        <v>463.15</v>
      </c>
      <c r="N31" s="148" t="s">
        <v>611</v>
      </c>
    </row>
    <row r="32" spans="1:14" ht="15.6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</row>
    <row r="33" spans="1:14" ht="15.6">
      <c r="A33" s="148"/>
      <c r="B33" s="148"/>
      <c r="C33" s="148" t="s">
        <v>683</v>
      </c>
      <c r="D33" s="148"/>
      <c r="E33" s="148"/>
      <c r="F33" s="148"/>
      <c r="G33" s="148" t="s">
        <v>684</v>
      </c>
      <c r="H33" s="148"/>
      <c r="I33" s="148"/>
      <c r="J33" s="148"/>
      <c r="K33" s="148" t="s">
        <v>685</v>
      </c>
      <c r="L33" s="148"/>
      <c r="M33" s="148"/>
      <c r="N33" s="148"/>
    </row>
    <row r="34" spans="1:14" ht="15.6">
      <c r="A34" s="148"/>
      <c r="B34" s="148"/>
      <c r="C34" s="162" t="s">
        <v>667</v>
      </c>
      <c r="D34" s="162" t="s">
        <v>135</v>
      </c>
      <c r="E34" s="200">
        <f>10^(Database!$C$56+Database!$D$56/E31+Database!$E$56*LOG10(E31)+Database!$F$56*E31+Database!$G$56*E31^2)</f>
        <v>41374.831384255434</v>
      </c>
      <c r="F34" s="148"/>
      <c r="G34" s="241" t="s">
        <v>667</v>
      </c>
      <c r="H34" s="241" t="s">
        <v>135</v>
      </c>
      <c r="I34" s="200">
        <f>10^(Database!$C$56+Database!$D$56/I31+Database!$E$56*LOG10(I31)+Database!$F$56*I31+Database!$G$56*I31^2)</f>
        <v>34118.163086657718</v>
      </c>
      <c r="J34" s="148"/>
      <c r="K34" s="241" t="s">
        <v>667</v>
      </c>
      <c r="L34" s="241" t="s">
        <v>135</v>
      </c>
      <c r="M34" s="200">
        <f>10^(Database!$C$56+Database!$D$56/M31+Database!$E$56*LOG10(M31)+Database!$F$56*M31+Database!$G$56*M31^2)</f>
        <v>49728.806998153508</v>
      </c>
      <c r="N34" s="148"/>
    </row>
    <row r="35" spans="1:14" ht="15.6">
      <c r="A35" s="148"/>
      <c r="B35" s="148"/>
      <c r="C35" s="162" t="s">
        <v>668</v>
      </c>
      <c r="D35" s="162" t="s">
        <v>135</v>
      </c>
      <c r="E35" s="217">
        <f>10^(Database!$C$57+Database!$D$57/E31+Database!$E$57*LOG10(E31)+Database!$F$57*E31+Database!$G$57*E31^2)</f>
        <v>931.57347477528629</v>
      </c>
      <c r="F35" s="148"/>
      <c r="G35" s="241" t="s">
        <v>668</v>
      </c>
      <c r="H35" s="241" t="s">
        <v>135</v>
      </c>
      <c r="I35" s="217">
        <f>10^(Database!$C$57+Database!$D$57/I31+Database!$E$57*LOG10(I31)+Database!$F$57*I31+Database!$G$57*I31^2)</f>
        <v>630.23632214046665</v>
      </c>
      <c r="J35" s="148"/>
      <c r="K35" s="241" t="s">
        <v>668</v>
      </c>
      <c r="L35" s="241" t="s">
        <v>135</v>
      </c>
      <c r="M35" s="217">
        <f>10^(Database!$C$57+Database!$D$57/M31+Database!$E$57*LOG10(M31)+Database!$F$57*M31+Database!$G$57*M31^2)</f>
        <v>1343.0836305000389</v>
      </c>
      <c r="N35" s="148"/>
    </row>
    <row r="36" spans="1:14" ht="15.6">
      <c r="A36" s="148"/>
      <c r="B36" s="148"/>
      <c r="C36" s="162" t="s">
        <v>669</v>
      </c>
      <c r="D36" s="162" t="s">
        <v>135</v>
      </c>
      <c r="E36" s="217">
        <f>10^(Database!$C$60+Database!$D$60/E31+Database!$E$60*LOG10(E31)+Database!$F$60*E31+Database!$G$60*E31^2)</f>
        <v>400.76041173453035</v>
      </c>
      <c r="F36" s="148"/>
      <c r="G36" s="241" t="s">
        <v>669</v>
      </c>
      <c r="H36" s="241" t="s">
        <v>135</v>
      </c>
      <c r="I36" s="217">
        <f>10^(Database!$C$60+Database!$D$60/I31+Database!$E$60*LOG10(I31)+Database!$F$60*I31+Database!$G$60*I31^2)</f>
        <v>259.77310801199644</v>
      </c>
      <c r="J36" s="148"/>
      <c r="K36" s="241" t="s">
        <v>669</v>
      </c>
      <c r="L36" s="241" t="s">
        <v>135</v>
      </c>
      <c r="M36" s="217">
        <f>10^(Database!$C$60+Database!$D$60/M31+Database!$E$60*LOG10(M31)+Database!$F$60*M31+Database!$G$60*M31^2)</f>
        <v>603.5604008709455</v>
      </c>
      <c r="N36" s="148"/>
    </row>
    <row r="37" spans="1:14" ht="15.6">
      <c r="A37" s="148"/>
      <c r="B37" s="148"/>
      <c r="C37" s="162" t="s">
        <v>670</v>
      </c>
      <c r="D37" s="162" t="s">
        <v>135</v>
      </c>
      <c r="E37" s="217">
        <f>10^(Database!$C$58+Database!$D$58/E31+Database!$E$58*LOG10(E31)+Database!$F$58*E31+Database!$G$58*E31^2)</f>
        <v>33.904192899326993</v>
      </c>
      <c r="F37" s="148"/>
      <c r="G37" s="241" t="s">
        <v>670</v>
      </c>
      <c r="H37" s="241" t="s">
        <v>135</v>
      </c>
      <c r="I37" s="217">
        <f>10^(Database!$C$58+Database!$D$58/I31+Database!$E$58*LOG10(I31)+Database!$F$58*I31+Database!$G$58*I31^2)</f>
        <v>19.432471832905698</v>
      </c>
      <c r="J37" s="148"/>
      <c r="K37" s="241" t="s">
        <v>670</v>
      </c>
      <c r="L37" s="241" t="s">
        <v>135</v>
      </c>
      <c r="M37" s="217">
        <f>10^(Database!$C$58+Database!$D$58/M31+Database!$E$58*LOG10(M31)+Database!$F$58*M31+Database!$G$58*M31^2)</f>
        <v>56.92135357349872</v>
      </c>
      <c r="N37" s="148"/>
    </row>
    <row r="38" spans="1:14" ht="15.6">
      <c r="A38" s="148"/>
      <c r="B38" s="148"/>
      <c r="C38" s="162" t="s">
        <v>671</v>
      </c>
      <c r="D38" s="162" t="s">
        <v>135</v>
      </c>
      <c r="E38" s="162">
        <f>'Distillation Column 3'!E36*760</f>
        <v>760</v>
      </c>
      <c r="F38" s="148"/>
      <c r="G38" s="241" t="s">
        <v>671</v>
      </c>
      <c r="H38" s="241" t="s">
        <v>135</v>
      </c>
      <c r="I38" s="241">
        <f>'Distillation Column 3'!H68*760</f>
        <v>760</v>
      </c>
      <c r="J38" s="148"/>
      <c r="K38" s="241" t="s">
        <v>671</v>
      </c>
      <c r="L38" s="241" t="s">
        <v>135</v>
      </c>
      <c r="M38" s="241">
        <f>'Distillation Column 3'!L28*760</f>
        <v>760</v>
      </c>
      <c r="N38" s="148"/>
    </row>
    <row r="39" spans="1:14" ht="15.6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</row>
    <row r="40" spans="1:14" ht="15.6">
      <c r="A40" s="148"/>
      <c r="B40" s="148"/>
      <c r="C40" s="148"/>
      <c r="D40" s="528" t="s">
        <v>686</v>
      </c>
      <c r="E40" s="530"/>
      <c r="F40" s="529"/>
      <c r="G40" s="528" t="s">
        <v>687</v>
      </c>
      <c r="H40" s="530"/>
      <c r="I40" s="529"/>
      <c r="J40" s="528" t="s">
        <v>688</v>
      </c>
      <c r="K40" s="530"/>
      <c r="L40" s="529"/>
      <c r="M40" s="148"/>
      <c r="N40" s="148"/>
    </row>
    <row r="41" spans="1:14" ht="15.6">
      <c r="A41" s="148"/>
      <c r="B41" s="148"/>
      <c r="C41" s="241" t="s">
        <v>6</v>
      </c>
      <c r="D41" s="241" t="s">
        <v>689</v>
      </c>
      <c r="E41" s="241" t="s">
        <v>690</v>
      </c>
      <c r="F41" s="241" t="s">
        <v>691</v>
      </c>
      <c r="G41" s="241" t="s">
        <v>692</v>
      </c>
      <c r="H41" s="241" t="s">
        <v>693</v>
      </c>
      <c r="I41" s="241" t="s">
        <v>694</v>
      </c>
      <c r="J41" s="241" t="s">
        <v>695</v>
      </c>
      <c r="K41" s="241" t="s">
        <v>696</v>
      </c>
      <c r="L41" s="241" t="s">
        <v>697</v>
      </c>
      <c r="M41" s="148"/>
      <c r="N41" s="148"/>
    </row>
    <row r="42" spans="1:14" ht="15.6">
      <c r="A42" s="148"/>
      <c r="B42" s="148"/>
      <c r="C42" s="241" t="s">
        <v>68</v>
      </c>
      <c r="D42" s="217">
        <f>D4</f>
        <v>2.9931865621676927E-3</v>
      </c>
      <c r="E42" s="217">
        <f>E34/$E$38</f>
        <v>54.440567610862416</v>
      </c>
      <c r="F42" s="217">
        <f>E42/$E$44</f>
        <v>103.24081464329551</v>
      </c>
      <c r="G42" s="217">
        <f>F4</f>
        <v>9.6968459732571077E-3</v>
      </c>
      <c r="H42" s="217">
        <f>I34/$I$38</f>
        <v>44.89231985086542</v>
      </c>
      <c r="I42" s="217">
        <f>H42/$H$44</f>
        <v>131.33831807210055</v>
      </c>
      <c r="J42" s="217">
        <f>H4</f>
        <v>0</v>
      </c>
      <c r="K42" s="217">
        <f>M34/$M$38</f>
        <v>65.432640787044093</v>
      </c>
      <c r="L42" s="217">
        <f>K42/$K$44</f>
        <v>82.392428208335389</v>
      </c>
      <c r="M42" s="148"/>
      <c r="N42" s="148"/>
    </row>
    <row r="43" spans="1:14" ht="15.6">
      <c r="A43" s="148"/>
      <c r="B43" s="148"/>
      <c r="C43" s="371" t="s">
        <v>69</v>
      </c>
      <c r="D43" s="217">
        <f>D5</f>
        <v>0.3087708243078256</v>
      </c>
      <c r="E43" s="217">
        <f>E35/$E$38</f>
        <v>1.2257545720727452</v>
      </c>
      <c r="F43" s="217">
        <f>E43/$E$44</f>
        <v>2.3245147162698658</v>
      </c>
      <c r="G43" s="217">
        <f>F5</f>
        <v>0.99030315402674285</v>
      </c>
      <c r="H43" s="217">
        <f>I35/$I$38</f>
        <v>0.82925831860587718</v>
      </c>
      <c r="I43" s="217">
        <f>H43/$H$44</f>
        <v>2.4261030210693022</v>
      </c>
      <c r="J43" s="217">
        <f>H5</f>
        <v>4.4663711873483671E-3</v>
      </c>
      <c r="K43" s="217">
        <f>M35/$M$38</f>
        <v>1.7672153032895248</v>
      </c>
      <c r="L43" s="217">
        <f>K43/$K$44</f>
        <v>2.2252679741115413</v>
      </c>
      <c r="M43" s="148"/>
      <c r="N43" s="148"/>
    </row>
    <row r="44" spans="1:14" ht="15.6">
      <c r="A44" s="148"/>
      <c r="B44" s="148"/>
      <c r="C44" s="371" t="s">
        <v>72</v>
      </c>
      <c r="D44" s="217">
        <f>D6</f>
        <v>0.68799968492773023</v>
      </c>
      <c r="E44" s="217">
        <f>E36/$E$38</f>
        <v>0.52731633122964516</v>
      </c>
      <c r="F44" s="217">
        <f>E44/$E$44</f>
        <v>1</v>
      </c>
      <c r="G44" s="217">
        <f>F6</f>
        <v>0</v>
      </c>
      <c r="H44" s="217">
        <f>I36/$I$38</f>
        <v>0.34180672106841636</v>
      </c>
      <c r="I44" s="217">
        <f>H44/$H$44</f>
        <v>1</v>
      </c>
      <c r="J44" s="217">
        <f>H6</f>
        <v>0.99519181469117091</v>
      </c>
      <c r="K44" s="217">
        <f>M36/$M$38</f>
        <v>0.79415842219861255</v>
      </c>
      <c r="L44" s="217">
        <f>K44/$K$44</f>
        <v>1</v>
      </c>
      <c r="M44" s="148"/>
      <c r="N44" s="148"/>
    </row>
    <row r="45" spans="1:14" ht="15.6">
      <c r="A45" s="148"/>
      <c r="B45" s="148"/>
      <c r="C45" s="241" t="s">
        <v>70</v>
      </c>
      <c r="D45" s="217">
        <f>D7</f>
        <v>2.3630420227639722E-4</v>
      </c>
      <c r="E45" s="217">
        <f>E37/$E$38</f>
        <v>4.461078013069341E-2</v>
      </c>
      <c r="F45" s="217">
        <f>E45/$E$44</f>
        <v>8.4599655820759151E-2</v>
      </c>
      <c r="G45" s="217">
        <f>F7</f>
        <v>0</v>
      </c>
      <c r="H45" s="217">
        <f>I37/$I$38</f>
        <v>2.5569041885402235E-2</v>
      </c>
      <c r="I45" s="217">
        <f>H45/$H$44</f>
        <v>7.4805556208721563E-2</v>
      </c>
      <c r="J45" s="217">
        <f>H7</f>
        <v>3.4181412148073884E-4</v>
      </c>
      <c r="K45" s="217">
        <f>M37/$M$38</f>
        <v>7.4896517859866743E-2</v>
      </c>
      <c r="L45" s="217">
        <f>K45/$K$44</f>
        <v>9.4309291151905381E-2</v>
      </c>
      <c r="M45" s="148"/>
      <c r="N45" s="148"/>
    </row>
    <row r="46" spans="1:14" ht="15.6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</row>
    <row r="47" spans="1:14" ht="15.6">
      <c r="A47" s="148"/>
      <c r="B47" s="148"/>
      <c r="C47" s="241" t="s">
        <v>698</v>
      </c>
      <c r="D47" s="241" t="s">
        <v>699</v>
      </c>
      <c r="E47" s="241" t="s">
        <v>700</v>
      </c>
      <c r="F47" s="241" t="s">
        <v>701</v>
      </c>
      <c r="G47" s="241" t="s">
        <v>702</v>
      </c>
      <c r="H47" s="241" t="s">
        <v>703</v>
      </c>
      <c r="I47" s="241" t="s">
        <v>704</v>
      </c>
      <c r="J47" s="148"/>
      <c r="K47" s="148"/>
      <c r="L47" s="148"/>
      <c r="M47" s="148"/>
      <c r="N47" s="148"/>
    </row>
    <row r="48" spans="1:14" ht="15.6">
      <c r="A48" s="148"/>
      <c r="B48" s="148"/>
      <c r="C48" s="241">
        <v>2</v>
      </c>
      <c r="D48" s="217">
        <f>($F$42*$D$42)/($F$42-C48)</f>
        <v>3.0523165992523147E-3</v>
      </c>
      <c r="E48" s="217">
        <f>($F$43*$D$43)/($F$43-C48)</f>
        <v>2.2117404514297734</v>
      </c>
      <c r="F48" s="217">
        <f>($F$45*$D$45)/($F$45-D48)</f>
        <v>2.4514906767564862E-4</v>
      </c>
      <c r="G48" s="217">
        <f>($F$44*$D$44)/($F$44-C48)</f>
        <v>-0.68799968492773023</v>
      </c>
      <c r="H48" s="217">
        <f>$E$28-1</f>
        <v>0.58169283601167709</v>
      </c>
      <c r="I48" s="217">
        <f>SUM(D48:H48)</f>
        <v>2.1087310681806484</v>
      </c>
      <c r="J48" s="148"/>
      <c r="K48" s="148"/>
      <c r="L48" s="148"/>
      <c r="M48" s="148"/>
      <c r="N48" s="148"/>
    </row>
    <row r="49" spans="1:14" ht="15.6">
      <c r="A49" s="148"/>
      <c r="B49" s="148"/>
      <c r="C49" s="241">
        <v>1.5</v>
      </c>
      <c r="D49" s="217">
        <f>($F$42*$D$42)/($F$42-C49)</f>
        <v>3.0373161463369642E-3</v>
      </c>
      <c r="E49" s="217">
        <f>($F$43*$D$43)/($F$43-C49)</f>
        <v>0.87050274651907955</v>
      </c>
      <c r="F49" s="217">
        <f>($F$45*$D$45)/($F$45-D49)</f>
        <v>2.4510398133970501E-4</v>
      </c>
      <c r="G49" s="217">
        <f>($F$44*$D$44)/($F$44-C49)</f>
        <v>-1.3759993698554605</v>
      </c>
      <c r="H49" s="217">
        <f>$E$28-1</f>
        <v>0.58169283601167709</v>
      </c>
      <c r="I49" s="217">
        <f t="shared" ref="I49:I51" si="4">SUM(D49:H49)</f>
        <v>7.9478632802972848E-2</v>
      </c>
      <c r="J49" s="148"/>
      <c r="K49" s="148"/>
      <c r="L49" s="148"/>
      <c r="M49" s="148"/>
      <c r="N49" s="148"/>
    </row>
    <row r="50" spans="1:14" ht="15.6">
      <c r="A50" s="148"/>
      <c r="B50" s="148"/>
      <c r="C50" s="241">
        <v>1.4</v>
      </c>
      <c r="D50" s="217">
        <f>($F$42*$D$42)/($F$42-C50)</f>
        <v>3.0343337309301599E-3</v>
      </c>
      <c r="E50" s="217">
        <f>($F$43*$D$43)/($F$43-C50)</f>
        <v>0.77634494338195992</v>
      </c>
      <c r="F50" s="217">
        <f>($F$45*$D$45)/($F$45-D50)</f>
        <v>2.4509501917451655E-4</v>
      </c>
      <c r="G50" s="217">
        <f>($F$44*$D$44)/($F$44-C50)</f>
        <v>-1.719999212319326</v>
      </c>
      <c r="H50" s="217">
        <f>$E$28-1</f>
        <v>0.58169283601167709</v>
      </c>
      <c r="I50" s="217">
        <f t="shared" si="4"/>
        <v>-0.35868200417558427</v>
      </c>
      <c r="J50" s="148"/>
      <c r="K50" s="148"/>
      <c r="L50" s="148"/>
      <c r="M50" s="148"/>
      <c r="N50" s="148"/>
    </row>
    <row r="51" spans="1:14" ht="15.6">
      <c r="A51" s="148"/>
      <c r="B51" s="251" t="s">
        <v>621</v>
      </c>
      <c r="C51" s="241">
        <v>1.4796199999999999</v>
      </c>
      <c r="D51" s="217">
        <f>($F$42*$D$42)/($F$42-C51)</f>
        <v>3.0367078545094229E-3</v>
      </c>
      <c r="E51" s="217">
        <f>($F$43*$D$43)/($F$43-C51)</f>
        <v>0.84950504629391643</v>
      </c>
      <c r="F51" s="217">
        <f>($F$45*$D$45)/($F$45-D51)</f>
        <v>2.4510215336815094E-4</v>
      </c>
      <c r="G51" s="217">
        <f>($F$44*$D$44)/($F$44-C51)</f>
        <v>-1.4344682976684258</v>
      </c>
      <c r="H51" s="217">
        <f>$E$28-1</f>
        <v>0.58169283601167709</v>
      </c>
      <c r="I51" s="217">
        <f t="shared" si="4"/>
        <v>1.1394645045292862E-5</v>
      </c>
      <c r="J51" s="148"/>
      <c r="K51" s="148"/>
      <c r="L51" s="148"/>
      <c r="M51" s="148"/>
      <c r="N51" s="148"/>
    </row>
    <row r="52" spans="1:14" ht="15.6">
      <c r="A52" s="148"/>
      <c r="B52" s="251" t="s">
        <v>622</v>
      </c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</row>
    <row r="53" spans="1:14" ht="15.6">
      <c r="A53" s="148"/>
      <c r="B53" s="148"/>
      <c r="C53" s="369" t="s">
        <v>705</v>
      </c>
      <c r="D53" s="369" t="s">
        <v>135</v>
      </c>
      <c r="E53" s="369">
        <f>C51</f>
        <v>1.4796199999999999</v>
      </c>
      <c r="F53" s="148"/>
      <c r="G53" s="148"/>
      <c r="H53" s="148"/>
      <c r="I53" s="148"/>
      <c r="J53" s="148"/>
      <c r="K53" s="148"/>
      <c r="L53" s="148"/>
      <c r="M53" s="148"/>
      <c r="N53" s="148"/>
    </row>
    <row r="54" spans="1:14" ht="15.6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</row>
    <row r="55" spans="1:14" ht="15.6">
      <c r="A55" s="148"/>
      <c r="B55" s="148"/>
      <c r="C55" s="148" t="s">
        <v>706</v>
      </c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</row>
    <row r="56" spans="1:14" ht="15.6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</row>
    <row r="57" spans="1:14" ht="15.6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</row>
    <row r="58" spans="1:14" ht="15.6">
      <c r="A58" s="148"/>
      <c r="B58" s="148"/>
      <c r="C58" s="148" t="s">
        <v>707</v>
      </c>
      <c r="D58" s="148" t="s">
        <v>135</v>
      </c>
      <c r="E58" s="196">
        <f>(F42*F4)/(F42-E53)+(F43*F5)/(F43-E53)+(F45*F7)/(F45-E53)+(F44*F6)/(F44-E53)-1</f>
        <v>1.7344071977745985</v>
      </c>
      <c r="F58" s="148"/>
      <c r="G58" s="148"/>
      <c r="H58" s="148"/>
      <c r="I58" s="148"/>
      <c r="J58" s="148"/>
      <c r="K58" s="148"/>
      <c r="L58" s="148"/>
      <c r="M58" s="148"/>
      <c r="N58" s="148"/>
    </row>
    <row r="59" spans="1:14" ht="15.6">
      <c r="A59" s="148"/>
      <c r="B59" s="148"/>
      <c r="C59" s="148" t="s">
        <v>708</v>
      </c>
      <c r="D59" s="148" t="s">
        <v>135</v>
      </c>
      <c r="E59" s="196">
        <f>E58/(E58+1)</f>
        <v>0.63429002058879469</v>
      </c>
      <c r="F59" s="148"/>
      <c r="G59" s="148"/>
      <c r="H59" s="148"/>
      <c r="I59" s="148"/>
      <c r="J59" s="148"/>
      <c r="K59" s="148"/>
      <c r="L59" s="148"/>
      <c r="M59" s="148"/>
      <c r="N59" s="148"/>
    </row>
    <row r="60" spans="1:14" ht="15.6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</row>
    <row r="61" spans="1:14" ht="15.6">
      <c r="A61" s="148"/>
      <c r="B61" s="148"/>
      <c r="C61" s="148" t="s">
        <v>709</v>
      </c>
      <c r="D61" s="148" t="s">
        <v>135</v>
      </c>
      <c r="E61" s="148">
        <v>1.5</v>
      </c>
      <c r="F61" s="148" t="s">
        <v>707</v>
      </c>
      <c r="G61" s="148"/>
      <c r="H61" s="148"/>
      <c r="I61" s="148"/>
      <c r="J61" s="148"/>
      <c r="K61" s="148"/>
      <c r="L61" s="148"/>
      <c r="M61" s="148"/>
      <c r="N61" s="148"/>
    </row>
    <row r="62" spans="1:14" ht="15.6">
      <c r="A62" s="148"/>
      <c r="B62" s="148"/>
      <c r="C62" s="148" t="s">
        <v>631</v>
      </c>
      <c r="D62" s="148" t="s">
        <v>135</v>
      </c>
      <c r="E62" s="348">
        <f>E61*E58</f>
        <v>2.6016107966618978</v>
      </c>
      <c r="F62" s="148"/>
      <c r="G62" s="148"/>
      <c r="H62" s="148"/>
      <c r="I62" s="148"/>
      <c r="J62" s="148"/>
      <c r="K62" s="148"/>
      <c r="L62" s="148"/>
      <c r="M62" s="148"/>
      <c r="N62" s="148"/>
    </row>
    <row r="63" spans="1:14" ht="15.6">
      <c r="A63" s="148"/>
      <c r="B63" s="148"/>
      <c r="C63" s="148" t="s">
        <v>710</v>
      </c>
      <c r="D63" s="148" t="s">
        <v>135</v>
      </c>
      <c r="E63" s="348">
        <f>E62/(E62+1)</f>
        <v>0.72234645650028706</v>
      </c>
      <c r="F63" s="148"/>
      <c r="G63" s="148"/>
      <c r="H63" s="148"/>
      <c r="I63" s="148"/>
      <c r="J63" s="148"/>
      <c r="K63" s="148"/>
      <c r="L63" s="148"/>
      <c r="M63" s="148"/>
      <c r="N63" s="148"/>
    </row>
    <row r="64" spans="1:14" ht="15.6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</row>
    <row r="65" spans="1:14" ht="15.6">
      <c r="A65" s="148"/>
      <c r="B65" s="148"/>
      <c r="C65" s="148" t="s">
        <v>711</v>
      </c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</row>
    <row r="66" spans="1:14" ht="15.6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</row>
    <row r="67" spans="1:14" ht="15.6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</row>
    <row r="68" spans="1:14" ht="15.6">
      <c r="A68" s="148"/>
      <c r="B68" s="148"/>
      <c r="C68" s="148" t="s">
        <v>712</v>
      </c>
      <c r="D68" s="148" t="s">
        <v>135</v>
      </c>
      <c r="E68" s="196">
        <f>SQRT(I43*L43)</f>
        <v>2.3235165922972825</v>
      </c>
      <c r="F68" s="148"/>
      <c r="G68" s="148"/>
      <c r="H68" s="148"/>
      <c r="I68" s="148"/>
      <c r="J68" s="148"/>
      <c r="K68" s="148"/>
      <c r="L68" s="148"/>
      <c r="M68" s="148"/>
      <c r="N68" s="148"/>
    </row>
    <row r="69" spans="1:14" ht="15.6">
      <c r="A69" s="148"/>
      <c r="B69" s="148"/>
      <c r="C69" s="148" t="s">
        <v>713</v>
      </c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</row>
    <row r="70" spans="1:14" ht="15.6">
      <c r="A70" s="148"/>
      <c r="B70" s="148"/>
      <c r="C70" s="369" t="s">
        <v>714</v>
      </c>
      <c r="D70" s="369" t="s">
        <v>135</v>
      </c>
      <c r="E70" s="370">
        <f>LOG10(G43/0.0001*J44/J43)/LOG10(E68)</f>
        <v>17.325667871129692</v>
      </c>
      <c r="F70" s="148"/>
      <c r="G70" s="148"/>
      <c r="H70" s="148"/>
      <c r="I70" s="148"/>
      <c r="J70" s="148"/>
      <c r="K70" s="148"/>
      <c r="L70" s="148"/>
      <c r="M70" s="148"/>
      <c r="N70" s="148"/>
    </row>
    <row r="71" spans="1:14" ht="15.6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</row>
    <row r="72" spans="1:14" ht="15.6">
      <c r="A72" s="148"/>
      <c r="B72" s="148"/>
      <c r="C72" s="148"/>
      <c r="D72" s="148"/>
      <c r="E72" s="148"/>
      <c r="F72" s="148" t="s">
        <v>715</v>
      </c>
      <c r="G72" s="148"/>
      <c r="H72" s="148"/>
      <c r="I72" s="148"/>
      <c r="J72" s="148"/>
      <c r="K72" s="148"/>
      <c r="L72" s="148"/>
      <c r="M72" s="148"/>
      <c r="N72" s="148"/>
    </row>
    <row r="73" spans="1:14" ht="15.6">
      <c r="A73" s="148"/>
      <c r="B73" s="148"/>
      <c r="C73" s="148"/>
      <c r="D73" s="148"/>
      <c r="E73" s="148"/>
      <c r="F73" s="148" t="s">
        <v>716</v>
      </c>
      <c r="G73" s="148" t="s">
        <v>135</v>
      </c>
      <c r="H73" s="148">
        <v>0.6</v>
      </c>
      <c r="I73" s="148"/>
      <c r="J73" s="148"/>
      <c r="K73" s="148"/>
      <c r="L73" s="148"/>
      <c r="M73" s="148"/>
      <c r="N73" s="148"/>
    </row>
    <row r="74" spans="1:14" ht="15.6">
      <c r="A74" s="148"/>
      <c r="B74" s="148"/>
      <c r="C74" s="148"/>
      <c r="D74" s="148"/>
      <c r="E74" s="148"/>
      <c r="F74" s="148" t="s">
        <v>717</v>
      </c>
      <c r="G74" s="148" t="s">
        <v>135</v>
      </c>
      <c r="H74" s="196">
        <f>E70/H73</f>
        <v>28.876113118549487</v>
      </c>
      <c r="I74" s="148" t="s">
        <v>718</v>
      </c>
      <c r="J74" s="148"/>
      <c r="K74" s="148"/>
      <c r="L74" s="148"/>
      <c r="M74" s="148"/>
      <c r="N74" s="148"/>
    </row>
    <row r="75" spans="1:14" ht="15.6">
      <c r="A75" s="148"/>
      <c r="B75" s="148"/>
      <c r="C75" s="148"/>
      <c r="D75" s="148"/>
      <c r="E75" s="148"/>
      <c r="F75" s="148" t="s">
        <v>717</v>
      </c>
      <c r="G75" s="148" t="s">
        <v>135</v>
      </c>
      <c r="H75" s="196">
        <f>H74-1</f>
        <v>27.876113118549487</v>
      </c>
      <c r="I75" s="148" t="s">
        <v>719</v>
      </c>
      <c r="J75" s="95" t="s">
        <v>284</v>
      </c>
      <c r="K75" s="148" t="s">
        <v>720</v>
      </c>
      <c r="L75" s="148"/>
      <c r="M75" s="148"/>
      <c r="N75" s="148"/>
    </row>
    <row r="76" spans="1:14" ht="15.6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</row>
    <row r="77" spans="1:14" ht="15.6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</row>
    <row r="78" spans="1:14" ht="15.6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</row>
    <row r="79" spans="1:14" ht="15.6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</row>
    <row r="80" spans="1:14" ht="15.6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</row>
    <row r="81" spans="1:14" ht="15.6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</row>
    <row r="82" spans="1:14" ht="15.6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</row>
    <row r="83" spans="1:14" ht="15.6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</row>
    <row r="84" spans="1:14" ht="15.6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</row>
    <row r="85" spans="1:14" ht="15.6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</row>
    <row r="86" spans="1:14" ht="15.6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</row>
    <row r="87" spans="1:14" ht="15.6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</row>
    <row r="88" spans="1:14" ht="15.6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</row>
    <row r="89" spans="1:14" ht="15.6">
      <c r="A89" s="148"/>
      <c r="B89" s="148"/>
      <c r="C89" s="148" t="s">
        <v>639</v>
      </c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</row>
    <row r="90" spans="1:14" ht="15.6">
      <c r="A90" s="148"/>
      <c r="B90" s="148"/>
      <c r="C90" s="148" t="s">
        <v>721</v>
      </c>
      <c r="D90" s="148" t="s">
        <v>135</v>
      </c>
      <c r="E90" s="251">
        <v>700</v>
      </c>
      <c r="F90" s="148"/>
      <c r="G90" s="148"/>
      <c r="H90" s="148"/>
      <c r="I90" s="148"/>
      <c r="J90" s="148"/>
      <c r="K90" s="148"/>
      <c r="L90" s="148"/>
      <c r="M90" s="148"/>
      <c r="N90" s="148"/>
    </row>
    <row r="91" spans="1:14" ht="15.6">
      <c r="A91" s="148"/>
      <c r="B91" s="148"/>
      <c r="C91" s="148" t="s">
        <v>722</v>
      </c>
      <c r="D91" s="148" t="s">
        <v>135</v>
      </c>
      <c r="E91" s="84" t="s">
        <v>723</v>
      </c>
      <c r="F91" s="148"/>
      <c r="G91" s="148"/>
      <c r="H91" s="148"/>
      <c r="I91" s="148"/>
      <c r="J91" s="148"/>
      <c r="K91" s="148"/>
      <c r="L91" s="148"/>
      <c r="M91" s="148"/>
      <c r="N91" s="148"/>
    </row>
    <row r="92" spans="1:14" ht="15.6">
      <c r="A92" s="148"/>
      <c r="B92" s="148"/>
      <c r="C92" s="148" t="s">
        <v>722</v>
      </c>
      <c r="D92" s="148" t="s">
        <v>135</v>
      </c>
      <c r="E92" s="349">
        <f>100/E90+0.1</f>
        <v>0.24285714285714285</v>
      </c>
      <c r="F92" s="148"/>
      <c r="G92" s="148"/>
      <c r="H92" s="148"/>
      <c r="I92" s="148"/>
      <c r="J92" s="148"/>
      <c r="K92" s="148"/>
      <c r="L92" s="148"/>
      <c r="M92" s="148"/>
      <c r="N92" s="148"/>
    </row>
    <row r="93" spans="1:14" ht="15.6">
      <c r="A93" s="148"/>
      <c r="B93" s="148"/>
      <c r="C93" s="148" t="s">
        <v>724</v>
      </c>
      <c r="D93" s="148" t="s">
        <v>135</v>
      </c>
      <c r="E93" s="95" t="s">
        <v>725</v>
      </c>
      <c r="F93" s="148"/>
      <c r="G93" s="148"/>
      <c r="H93" s="148"/>
      <c r="I93" s="148"/>
      <c r="J93" s="148"/>
      <c r="K93" s="148"/>
      <c r="L93" s="148"/>
      <c r="M93" s="148"/>
      <c r="N93" s="148"/>
    </row>
    <row r="94" spans="1:14" ht="15.6">
      <c r="A94" s="148"/>
      <c r="B94" s="148"/>
      <c r="C94" s="246" t="s">
        <v>724</v>
      </c>
      <c r="D94" s="246" t="s">
        <v>135</v>
      </c>
      <c r="E94" s="350">
        <f>H75*E92</f>
        <v>6.7699131859334472</v>
      </c>
      <c r="F94" s="246" t="s">
        <v>655</v>
      </c>
      <c r="G94" s="148"/>
      <c r="H94" s="148"/>
      <c r="I94" s="148"/>
      <c r="J94" s="148"/>
      <c r="K94" s="148"/>
      <c r="L94" s="148"/>
      <c r="M94" s="148"/>
      <c r="N94" s="148"/>
    </row>
    <row r="95" spans="1:14" ht="15.6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</row>
    <row r="96" spans="1:14" ht="15.6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</row>
    <row r="97" spans="1:14" ht="15.6">
      <c r="A97" s="148"/>
      <c r="B97" s="148"/>
    </row>
    <row r="98" spans="1:14" ht="15.6">
      <c r="A98" s="148"/>
      <c r="B98" s="148"/>
    </row>
    <row r="99" spans="1:14" ht="15.6">
      <c r="A99" s="148"/>
      <c r="B99" s="148"/>
    </row>
    <row r="100" spans="1:14" ht="15.6">
      <c r="A100" s="148"/>
      <c r="B100" s="148"/>
    </row>
    <row r="101" spans="1:14" ht="15.6">
      <c r="A101" s="148"/>
      <c r="B101" s="148"/>
    </row>
    <row r="102" spans="1:14" ht="15.6">
      <c r="A102" s="148"/>
      <c r="B102" s="148"/>
    </row>
    <row r="103" spans="1:14" ht="15.6">
      <c r="A103" s="148"/>
      <c r="B103" s="148"/>
    </row>
    <row r="104" spans="1:14" ht="15.6">
      <c r="A104" s="148"/>
      <c r="B104" s="148"/>
    </row>
    <row r="105" spans="1:14" ht="15.6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</row>
    <row r="106" spans="1:14" ht="15.6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</row>
    <row r="107" spans="1:14" ht="15.6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</row>
    <row r="108" spans="1:14" ht="15.6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</row>
    <row r="109" spans="1:14" ht="15.6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</row>
    <row r="110" spans="1:14" ht="15.6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</row>
    <row r="111" spans="1:14" ht="15.6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</row>
    <row r="112" spans="1:14" ht="15.6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</row>
    <row r="113" spans="1:14" ht="15.6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</row>
    <row r="114" spans="1:14" ht="15.6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</row>
    <row r="115" spans="1:14" ht="15.6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</row>
    <row r="116" spans="1:14" ht="15.6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</row>
    <row r="117" spans="1:14" ht="15.6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</row>
    <row r="118" spans="1:14" ht="15.6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</row>
    <row r="119" spans="1:14" ht="15.6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</row>
  </sheetData>
  <mergeCells count="9">
    <mergeCell ref="J40:L40"/>
    <mergeCell ref="D40:F40"/>
    <mergeCell ref="G40:I40"/>
    <mergeCell ref="H2:I2"/>
    <mergeCell ref="F2:G2"/>
    <mergeCell ref="D2:E2"/>
    <mergeCell ref="C2:C3"/>
    <mergeCell ref="F18:G18"/>
    <mergeCell ref="D18:E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Cover page</vt:lpstr>
      <vt:lpstr>Answer Table</vt:lpstr>
      <vt:lpstr>Process Flow Diagram</vt:lpstr>
      <vt:lpstr>Conversion </vt:lpstr>
      <vt:lpstr>Database</vt:lpstr>
      <vt:lpstr>Reactor</vt:lpstr>
      <vt:lpstr>Cooler 1</vt:lpstr>
      <vt:lpstr>Phase Separator</vt:lpstr>
      <vt:lpstr>Heater 3</vt:lpstr>
      <vt:lpstr>Distillation Column 1 </vt:lpstr>
      <vt:lpstr>Distillation Column 2</vt:lpstr>
      <vt:lpstr>Cooler 2</vt:lpstr>
      <vt:lpstr>Liquid-liquid Extractor </vt:lpstr>
      <vt:lpstr>Distillation Column 3</vt:lpstr>
      <vt:lpstr>Heater 4</vt:lpstr>
      <vt:lpstr>Holding Tank</vt:lpstr>
      <vt:lpstr>Heater 2</vt:lpstr>
      <vt:lpstr>Heater 1</vt:lpstr>
      <vt:lpstr>Heat Exchanger</vt:lpstr>
      <vt:lpstr>∆Tm Calculation</vt:lpstr>
      <vt:lpstr>Iteration 1 of HEX</vt:lpstr>
      <vt:lpstr>Iteration 2 of HEX</vt:lpstr>
      <vt:lpstr>No. stages of DC1</vt:lpstr>
      <vt:lpstr>Diameter of DC1</vt:lpstr>
      <vt:lpstr>Height of DC1</vt:lpstr>
      <vt:lpstr>Diameter of DC3</vt:lpstr>
      <vt:lpstr>Height of DC3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asuscustomer009710@outlook.com</dc:creator>
  <cp:lastModifiedBy>asuscustomer009710@outlook.com</cp:lastModifiedBy>
  <cp:lastPrinted>2025-01-12T02:08:06Z</cp:lastPrinted>
  <dcterms:created xsi:type="dcterms:W3CDTF">2025-01-06T04:15:41Z</dcterms:created>
  <dcterms:modified xsi:type="dcterms:W3CDTF">2026-01-16T15:17:19Z</dcterms:modified>
</cp:coreProperties>
</file>